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795" windowHeight="12270" activeTab="0"/>
  </bookViews>
  <sheets>
    <sheet name="NCP1379_80" sheetId="1" r:id="rId1"/>
    <sheet name="Calculations sheet" sheetId="2" r:id="rId2"/>
    <sheet name="Transfer function" sheetId="3" r:id="rId3"/>
  </sheets>
  <definedNames>
    <definedName name="alimit">'NCP1379_80'!$G$143</definedName>
    <definedName name="blimit">'NCP1379_80'!$G$144</definedName>
    <definedName name="Boost">'NCP1379_80'!$G$232</definedName>
    <definedName name="BVdss">'NCP1379_80'!$F$27</definedName>
    <definedName name="climit">'NCP1379_80'!$G$145</definedName>
    <definedName name="Copto">'NCP1379_80'!$G$211</definedName>
    <definedName name="Coss">'NCP1379_80'!$G$30</definedName>
    <definedName name="Cout">'NCP1379_80'!$G$120</definedName>
    <definedName name="Cpole">'NCP1379_80'!$G$239</definedName>
    <definedName name="Ct">'NCP1379_80'!$G$132</definedName>
    <definedName name="CTR">'NCP1379_80'!$F$210</definedName>
    <definedName name="Cvcc1">'NCP1379_80'!$G$188</definedName>
    <definedName name="Czero">'NCP1379_80'!$G$238</definedName>
    <definedName name="Dmax">'NCP1379_80'!$H$99</definedName>
    <definedName name="FC">'NCP1379_80'!$F$213</definedName>
    <definedName name="fpc">'NCP1379_80'!$G$235</definedName>
    <definedName name="Fsw">'NCP1379_80'!$G$25</definedName>
    <definedName name="Fsw_limit">'NCP1379_80'!$G$148</definedName>
    <definedName name="Fsw2">'NCP1379_80'!#REF!</definedName>
    <definedName name="fzc">'NCP1379_80'!$G$237</definedName>
    <definedName name="Go">'NCP1379_80'!$G$224</definedName>
    <definedName name="Gs">'NCP1379_80'!$G$240</definedName>
    <definedName name="Ho">'NCP1379_80'!$G$243</definedName>
    <definedName name="IBO">'NCP1379_80'!$G$184</definedName>
    <definedName name="Ibridge">'NCP1379_80'!$F$208</definedName>
    <definedName name="ICC1">'NCP1379_80'!$G$180</definedName>
    <definedName name="ICC2">'NCP1379_80'!$G$181</definedName>
    <definedName name="ICC3">'NCP1379_80'!#REF!</definedName>
    <definedName name="Ict">'NCP1379_80'!$G$125</definedName>
    <definedName name="ICVCC1">'NCP1379_80'!$G$189</definedName>
    <definedName name="Iout">'NCP1379_80'!$G$20</definedName>
    <definedName name="Ipk">'NCP1379_80'!$G$85</definedName>
    <definedName name="Ipk_limit">'NCP1379_80'!$G$147</definedName>
    <definedName name="Ipk_max">'NCP1379_80'!$H$137</definedName>
    <definedName name="IpriAC">'NCP1379_80'!$G$104</definedName>
    <definedName name="IpriDC">'NCP1379_80'!$G$103</definedName>
    <definedName name="Iprms">'NCP1379_80'!$G$100</definedName>
    <definedName name="Ips">'NCP1379_80'!$G$101</definedName>
    <definedName name="IsRMS">'NCP1379_80'!$G$102</definedName>
    <definedName name="k">'NCP1379_80'!$G$233</definedName>
    <definedName name="kc">'NCP1379_80'!$F$73</definedName>
    <definedName name="kleak1">'NCP1379_80'!$F$44</definedName>
    <definedName name="kleak2">'NCP1379_80'!$F$45</definedName>
    <definedName name="kleak3">'NCP1379_80'!$F$46</definedName>
    <definedName name="Lp">'NCP1379_80'!$G$89</definedName>
    <definedName name="Nap">'NCP1379_80'!$F$154</definedName>
    <definedName name="Nap_calc">'NCP1379_80'!$G$109</definedName>
    <definedName name="Nsp">'NCP1379_80'!$F$77</definedName>
    <definedName name="OPP">'NCP1379_80'!$G$151</definedName>
    <definedName name="PM">'NCP1379_80'!$F$214</definedName>
    <definedName name="Pout">'NCP1379_80'!$G$19</definedName>
    <definedName name="Pout_limit">'NCP1379_80'!$F$141</definedName>
    <definedName name="PS">'NCP1379_80'!$G$230</definedName>
    <definedName name="Qg">'NCP1379_80'!$G$29</definedName>
    <definedName name="RBO_lower">'NCP1379_80'!$G$203</definedName>
    <definedName name="Rclamp">'NCP1379_80'!$G$171</definedName>
    <definedName name="Rcout">'NCP1379_80'!$F$119</definedName>
    <definedName name="Rdson110">'NCP1379_80'!$F$28</definedName>
    <definedName name="Req">'NCP1379_80'!$G$222</definedName>
    <definedName name="Rled">'NCP1379_80'!$G$241</definedName>
    <definedName name="Rload">'NCP1379_80'!$G$220</definedName>
    <definedName name="Rlower">'NCP1379_80'!$G$217</definedName>
    <definedName name="ROPP_ratio">'NCP1379_80'!$G$157</definedName>
    <definedName name="RpriAC">'NCP1379_80'!#REF!</definedName>
    <definedName name="RpriDC">'NCP1379_80'!#REF!</definedName>
    <definedName name="Rpullup">'NCP1379_80'!$G$207</definedName>
    <definedName name="RsecAC">'NCP1379_80'!#REF!</definedName>
    <definedName name="RsecDC">'NCP1379_80'!#REF!</definedName>
    <definedName name="Rsense">'NCP1379_80'!$F$93</definedName>
    <definedName name="Rstart">'NCP1379_80'!$G$191</definedName>
    <definedName name="Rstart2">'NCP1379_80'!$G$196</definedName>
    <definedName name="Rupper">'NCP1379_80'!$G$219</definedName>
    <definedName name="sw">'NCP1379_80'!$G$25</definedName>
    <definedName name="Tonmax">'NCP1379_80'!$H$98</definedName>
    <definedName name="Tprop">'NCP1379_80'!$G$33</definedName>
    <definedName name="tprop_OPP">'NCP1379_80'!$F$136</definedName>
    <definedName name="treg">'NCP1379_80'!$F$36</definedName>
    <definedName name="Tstartup">'NCP1379_80'!$F$35</definedName>
    <definedName name="Tsw_max">'NCP1379_80'!$H$139</definedName>
    <definedName name="Tsw2">'NCP1379_80'!#REF!</definedName>
    <definedName name="Tsw4th">'NCP1379_80'!$G$129</definedName>
    <definedName name="VBO">'NCP1379_80'!$G$185</definedName>
    <definedName name="VbulkOFF">'NCP1379_80'!$F$201</definedName>
    <definedName name="VbulkON">'NCP1379_80'!$F$200</definedName>
    <definedName name="Vc">'NCP1379_80'!$G$226</definedName>
    <definedName name="Vcc_aux">'NCP1379_80'!$G$108</definedName>
    <definedName name="Vcc_off">'NCP1379_80'!$G$183</definedName>
    <definedName name="Vcc_on">'NCP1379_80'!$G$182</definedName>
    <definedName name="Vclamp">'NCP1379_80'!$G$163</definedName>
    <definedName name="VCSmax">'NCP1379_80'!$G$39</definedName>
    <definedName name="VCt">'NCP1379_80'!$G$130</definedName>
    <definedName name="VDSmax">'NCP1379_80'!$G$32</definedName>
    <definedName name="VFB1">'NCP1379_80'!$G$126</definedName>
    <definedName name="VFB2">'NCP1379_80'!$G$127</definedName>
    <definedName name="VFB4">'NCP1379_80'!$G$127</definedName>
    <definedName name="VFWD">'NCP1379_80'!$F$24</definedName>
    <definedName name="VH2D">'NCP1379_80'!#REF!</definedName>
    <definedName name="VH2I">'NCP1379_80'!#REF!</definedName>
    <definedName name="VH3D">'NCP1379_80'!#REF!</definedName>
    <definedName name="VH3I">'NCP1379_80'!#REF!</definedName>
    <definedName name="VH4D">'NCP1379_80'!#REF!</definedName>
    <definedName name="VH4I">'NCP1379_80'!#REF!</definedName>
    <definedName name="VHVCOD">'NCP1379_80'!#REF!</definedName>
    <definedName name="VHVCOI">'NCP1379_80'!#REF!</definedName>
    <definedName name="VinAC_max">'NCP1379_80'!$F$8</definedName>
    <definedName name="VinAC_min">'NCP1379_80'!$G$8</definedName>
    <definedName name="VinAC_ripple">'NCP1379_80'!$F$12</definedName>
    <definedName name="VinDC_max">'NCP1379_80'!$F$9</definedName>
    <definedName name="VinDC_min">'NCP1379_80'!$G$9</definedName>
    <definedName name="Vinmax">'NCP1379_80'!$F$16</definedName>
    <definedName name="VinmaxDC">'NCP1379_80'!$F$15</definedName>
    <definedName name="Vinmin">'NCP1379_80'!$G$16</definedName>
    <definedName name="VinminDC">'NCP1379_80'!$G$15</definedName>
    <definedName name="VinType">'NCP1379_80'!$E$11</definedName>
    <definedName name="Vmax">'NCP1379_80'!$F$15</definedName>
    <definedName name="Vmin">'NCP1379_80'!$G$15</definedName>
    <definedName name="VOPP">'NCP1379_80'!$G$156</definedName>
    <definedName name="Vos">'NCP1379_80'!$F$34</definedName>
    <definedName name="Vout">'NCP1379_80'!$F$19</definedName>
    <definedName name="Vreflect">'NCP1379_80'!$G$79</definedName>
    <definedName name="Vripple">'NCP1379_80'!$F$113</definedName>
    <definedName name="VrippleRCD">'NCP1379_80'!$F$172</definedName>
    <definedName name="α">'NCP1379_80'!$F$31</definedName>
    <definedName name="η">'NCP1379_80'!$F$23</definedName>
  </definedNames>
  <calcPr fullCalcOnLoad="1"/>
</workbook>
</file>

<file path=xl/sharedStrings.xml><?xml version="1.0" encoding="utf-8"?>
<sst xmlns="http://schemas.openxmlformats.org/spreadsheetml/2006/main" count="343" uniqueCount="340">
  <si>
    <t>NCP1380 / NCP1379 Inductor and Losses Calculation</t>
  </si>
  <si>
    <t>NOTE - Column 'L' and to the right are development notes only</t>
  </si>
  <si>
    <r>
      <t xml:space="preserve">Enter design values indicated by </t>
    </r>
    <r>
      <rPr>
        <b/>
        <sz val="11"/>
        <color indexed="17"/>
        <rFont val="Calibri"/>
        <family val="2"/>
      </rPr>
      <t>bold green</t>
    </r>
    <r>
      <rPr>
        <sz val="11"/>
        <color theme="1"/>
        <rFont val="Calibri"/>
        <family val="2"/>
      </rPr>
      <t xml:space="preserve"> highlighing ( numbers only - units are predefined ) -</t>
    </r>
  </si>
  <si>
    <t>Input Conditions -</t>
  </si>
  <si>
    <r>
      <rPr>
        <b/>
        <sz val="11"/>
        <color indexed="44"/>
        <rFont val="Calibri"/>
        <family val="2"/>
      </rPr>
      <t>NOTE</t>
    </r>
    <r>
      <rPr>
        <sz val="11"/>
        <color indexed="55"/>
        <rFont val="Calibri"/>
        <family val="2"/>
      </rPr>
      <t xml:space="preserve"> - "Group Boxes" ( Developer - Form Controls ) are made invisible by:</t>
    </r>
  </si>
  <si>
    <t>Max</t>
  </si>
  <si>
    <t>Min</t>
  </si>
  <si>
    <t xml:space="preserve">   &lt;ALT&gt;&lt;F11&gt; to open VBE then click in VBE somewhere, then</t>
  </si>
  <si>
    <t>Input Voltage - AC</t>
  </si>
  <si>
    <t xml:space="preserve">  [ VinAC_max , VinAC_min ]</t>
  </si>
  <si>
    <t xml:space="preserve">   &lt;CTL&gt;&lt;G&gt; for the immediate window, then type the following in the immediate window -</t>
  </si>
  <si>
    <t>Input Voltage - DC</t>
  </si>
  <si>
    <t xml:space="preserve">  [ VinDC_max , VinDC_min ]</t>
  </si>
  <si>
    <t xml:space="preserve">        activesheet.groupboxes.visible = false  &lt;Enter&gt;</t>
  </si>
  <si>
    <t>Input Voltage Type :</t>
  </si>
  <si>
    <t xml:space="preserve">  [ VinType ]</t>
  </si>
  <si>
    <t>Vin Ripple ( AC only )</t>
  </si>
  <si>
    <t xml:space="preserve">  [ VinAC_ripple ]</t>
  </si>
  <si>
    <t>Input Voltage :</t>
  </si>
  <si>
    <r>
      <t xml:space="preserve">  [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 , 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DC ]</t>
    </r>
  </si>
  <si>
    <r>
      <t xml:space="preserve">  [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, 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 xml:space="preserve"> ]</t>
    </r>
  </si>
  <si>
    <t>Desired Output -</t>
  </si>
  <si>
    <t>Vout</t>
  </si>
  <si>
    <t>Pout</t>
  </si>
  <si>
    <t>Voltage and power</t>
  </si>
  <si>
    <r>
      <t xml:space="preserve">  [ 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, 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]</t>
    </r>
  </si>
  <si>
    <r>
      <t xml:space="preserve">  [ I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]</t>
    </r>
  </si>
  <si>
    <t>Additional Data -</t>
  </si>
  <si>
    <t>Estimated efficiency  [ % ]</t>
  </si>
  <si>
    <t xml:space="preserve">  [ η ]</t>
  </si>
  <si>
    <r>
      <t>Output diode V</t>
    </r>
    <r>
      <rPr>
        <sz val="8"/>
        <color indexed="8"/>
        <rFont val="Calibri"/>
        <family val="2"/>
      </rPr>
      <t>FWD</t>
    </r>
    <r>
      <rPr>
        <sz val="11"/>
        <color theme="1"/>
        <rFont val="Calibri"/>
        <family val="2"/>
      </rPr>
      <t xml:space="preserve">  [ V ]</t>
    </r>
  </si>
  <si>
    <r>
      <t xml:space="preserve">  [ V</t>
    </r>
    <r>
      <rPr>
        <sz val="8"/>
        <color indexed="8"/>
        <rFont val="Calibri"/>
        <family val="2"/>
      </rPr>
      <t>FWD</t>
    </r>
    <r>
      <rPr>
        <sz val="11"/>
        <color theme="1"/>
        <rFont val="Calibri"/>
        <family val="2"/>
      </rPr>
      <t xml:space="preserve"> ]</t>
    </r>
  </si>
  <si>
    <t>Fsw @ Pout, Vmin  [ KHz ]</t>
  </si>
  <si>
    <t xml:space="preserve">  [ Fsw ]</t>
  </si>
  <si>
    <t>MOSFET -</t>
  </si>
  <si>
    <t xml:space="preserve">   BVdss  [ V ]</t>
  </si>
  <si>
    <t xml:space="preserve">  [ BVdss ]</t>
  </si>
  <si>
    <r>
      <t xml:space="preserve">   R</t>
    </r>
    <r>
      <rPr>
        <sz val="8"/>
        <color indexed="8"/>
        <rFont val="Calibri"/>
        <family val="2"/>
      </rPr>
      <t>DSon</t>
    </r>
    <r>
      <rPr>
        <sz val="11"/>
        <color theme="1"/>
        <rFont val="Calibri"/>
        <family val="2"/>
      </rPr>
      <t xml:space="preserve"> @ Tj = 110°C  [ Ω ]</t>
    </r>
  </si>
  <si>
    <t xml:space="preserve">  [ Rdson110 ]</t>
  </si>
  <si>
    <t xml:space="preserve">   Gate charge [ nC ]</t>
  </si>
  <si>
    <t xml:space="preserve">  [ Qg ]</t>
  </si>
  <si>
    <t xml:space="preserve">   Coss ( total )  [ pF ]</t>
  </si>
  <si>
    <t xml:space="preserve">  [ Coss ]</t>
  </si>
  <si>
    <r>
      <t xml:space="preserve">   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 xml:space="preserve"> derating  [ % ]</t>
    </r>
  </si>
  <si>
    <t xml:space="preserve">  [ α ]</t>
  </si>
  <si>
    <r>
      <t xml:space="preserve">   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>max</t>
    </r>
  </si>
  <si>
    <r>
      <t xml:space="preserve">  [ 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>max ]</t>
    </r>
  </si>
  <si>
    <t xml:space="preserve">  [ tprop ]</t>
  </si>
  <si>
    <r>
      <t>Clamp diode t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overshoot</t>
    </r>
  </si>
  <si>
    <t xml:space="preserve">  [ Vos ]</t>
  </si>
  <si>
    <t>Other Data -</t>
  </si>
  <si>
    <t xml:space="preserve">   VCSmax ( datasheet, ±5% )</t>
  </si>
  <si>
    <t xml:space="preserve">  [ VCSmax ]</t>
  </si>
  <si>
    <t>Primary-to-Secondary Turns Ratio Calculation [ Nps = Npri/Nsec , Nsp = Nsec / Npri ]</t>
  </si>
  <si>
    <t>Enter your estimated leakage inductance ratios -</t>
  </si>
  <si>
    <r>
      <t xml:space="preserve">   k</t>
    </r>
    <r>
      <rPr>
        <vertAlign val="subscript"/>
        <sz val="11"/>
        <color indexed="8"/>
        <rFont val="Calibri"/>
        <family val="2"/>
      </rPr>
      <t>leak1</t>
    </r>
    <r>
      <rPr>
        <sz val="11"/>
        <color theme="1"/>
        <rFont val="Calibri"/>
        <family val="2"/>
      </rPr>
      <t xml:space="preserve">  [ % ]</t>
    </r>
  </si>
  <si>
    <t xml:space="preserve">  [ kleak1 ]</t>
  </si>
  <si>
    <r>
      <t xml:space="preserve">   k</t>
    </r>
    <r>
      <rPr>
        <vertAlign val="subscript"/>
        <sz val="11"/>
        <color indexed="8"/>
        <rFont val="Calibri"/>
        <family val="2"/>
      </rPr>
      <t>leak2</t>
    </r>
    <r>
      <rPr>
        <sz val="11"/>
        <color theme="1"/>
        <rFont val="Calibri"/>
        <family val="2"/>
      </rPr>
      <t xml:space="preserve">  [ % ]</t>
    </r>
  </si>
  <si>
    <t xml:space="preserve">  [ kleak2 ]</t>
  </si>
  <si>
    <r>
      <t xml:space="preserve">   k</t>
    </r>
    <r>
      <rPr>
        <vertAlign val="subscript"/>
        <sz val="11"/>
        <color indexed="8"/>
        <rFont val="Calibri"/>
        <family val="2"/>
      </rPr>
      <t>leak3</t>
    </r>
    <r>
      <rPr>
        <sz val="11"/>
        <color theme="1"/>
        <rFont val="Calibri"/>
        <family val="2"/>
      </rPr>
      <t xml:space="preserve">  [ % ]</t>
    </r>
  </si>
  <si>
    <t xml:space="preserve">  [ kleak3 ]</t>
  </si>
  <si>
    <r>
      <t>P</t>
    </r>
    <r>
      <rPr>
        <vertAlign val="subscript"/>
        <sz val="11"/>
        <color indexed="8"/>
        <rFont val="Calibri"/>
        <family val="2"/>
      </rPr>
      <t>cond</t>
    </r>
    <r>
      <rPr>
        <sz val="11"/>
        <color theme="1"/>
        <rFont val="Calibri"/>
        <family val="2"/>
      </rPr>
      <t xml:space="preserve"> = MOSFET conduction loss ( R</t>
    </r>
    <r>
      <rPr>
        <vertAlign val="subscript"/>
        <sz val="11"/>
        <color indexed="8"/>
        <rFont val="Calibri"/>
        <family val="2"/>
      </rPr>
      <t>DSon</t>
    </r>
    <r>
      <rPr>
        <sz val="11"/>
        <color theme="1"/>
        <rFont val="Calibri"/>
        <family val="2"/>
      </rPr>
      <t xml:space="preserve"> ); P</t>
    </r>
    <r>
      <rPr>
        <vertAlign val="subscript"/>
        <sz val="11"/>
        <color indexed="8"/>
        <rFont val="Calibri"/>
        <family val="2"/>
      </rPr>
      <t>Rcpl</t>
    </r>
    <r>
      <rPr>
        <sz val="11"/>
        <color theme="1"/>
        <rFont val="Calibri"/>
        <family val="2"/>
      </rPr>
      <t xml:space="preserve"> = clamping resistor loss</t>
    </r>
  </si>
  <si>
    <r>
      <t>P</t>
    </r>
    <r>
      <rPr>
        <vertAlign val="subscript"/>
        <sz val="11"/>
        <color indexed="62"/>
        <rFont val="Calibri"/>
        <family val="2"/>
      </rPr>
      <t>cond</t>
    </r>
  </si>
  <si>
    <r>
      <t>P</t>
    </r>
    <r>
      <rPr>
        <vertAlign val="subscript"/>
        <sz val="11"/>
        <color indexed="8"/>
        <rFont val="Calibri"/>
        <family val="2"/>
      </rPr>
      <t>cond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(4/3)*Rdson110*(Pout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/(η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*Vmin))*((1/Vmin)+(k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/(V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>max-VinmaxDC-Vos)))</t>
    </r>
  </si>
  <si>
    <r>
      <t>P</t>
    </r>
    <r>
      <rPr>
        <vertAlign val="subscript"/>
        <sz val="11"/>
        <color indexed="62"/>
        <rFont val="Calibri"/>
        <family val="2"/>
      </rPr>
      <t>Rclp1</t>
    </r>
  </si>
  <si>
    <r>
      <t>P</t>
    </r>
    <r>
      <rPr>
        <vertAlign val="subscript"/>
        <sz val="11"/>
        <color indexed="8"/>
        <rFont val="Calibri"/>
        <family val="2"/>
      </rPr>
      <t>Rclp1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kleak1*(Pout/η)*(kc/(kc-1))</t>
    </r>
  </si>
  <si>
    <r>
      <t>P</t>
    </r>
    <r>
      <rPr>
        <vertAlign val="subscript"/>
        <sz val="11"/>
        <color indexed="62"/>
        <rFont val="Calibri"/>
        <family val="2"/>
      </rPr>
      <t>Rclp2</t>
    </r>
  </si>
  <si>
    <r>
      <t>P</t>
    </r>
    <r>
      <rPr>
        <vertAlign val="subscript"/>
        <sz val="11"/>
        <color indexed="8"/>
        <rFont val="Calibri"/>
        <family val="2"/>
      </rPr>
      <t>Rclp2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kleak2*(Pout/η)*(kc/(kc-1))</t>
    </r>
  </si>
  <si>
    <r>
      <t>P</t>
    </r>
    <r>
      <rPr>
        <vertAlign val="subscript"/>
        <sz val="11"/>
        <color indexed="62"/>
        <rFont val="Calibri"/>
        <family val="2"/>
      </rPr>
      <t>Rclp3</t>
    </r>
  </si>
  <si>
    <r>
      <t>P</t>
    </r>
    <r>
      <rPr>
        <vertAlign val="subscript"/>
        <sz val="11"/>
        <color indexed="8"/>
        <rFont val="Calibri"/>
        <family val="2"/>
      </rPr>
      <t>Rclp3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kleak3*(Pout/η)*(kc/(kc-1))</t>
    </r>
  </si>
  <si>
    <r>
      <t>P</t>
    </r>
    <r>
      <rPr>
        <vertAlign val="subscript"/>
        <sz val="11"/>
        <color indexed="8"/>
        <rFont val="Calibri"/>
        <family val="2"/>
      </rPr>
      <t>Rclpn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</t>
    </r>
  </si>
  <si>
    <r>
      <t>k</t>
    </r>
    <r>
      <rPr>
        <b/>
        <vertAlign val="subscript"/>
        <sz val="11"/>
        <color indexed="8"/>
        <rFont val="Calibri"/>
        <family val="2"/>
      </rPr>
      <t>c</t>
    </r>
  </si>
  <si>
    <t>n=1</t>
  </si>
  <si>
    <t>n=2</t>
  </si>
  <si>
    <t>n=3</t>
  </si>
  <si>
    <r>
      <t>P</t>
    </r>
    <r>
      <rPr>
        <vertAlign val="subscript"/>
        <sz val="11"/>
        <color indexed="8"/>
        <rFont val="Calibri"/>
        <family val="2"/>
      </rPr>
      <t>cond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</t>
    </r>
  </si>
  <si>
    <r>
      <t>From the graph determine a clamping coefficient (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/ V</t>
    </r>
    <r>
      <rPr>
        <vertAlign val="subscript"/>
        <sz val="11"/>
        <color indexed="8"/>
        <rFont val="Calibri"/>
        <family val="2"/>
      </rPr>
      <t>reflect</t>
    </r>
    <r>
      <rPr>
        <sz val="11"/>
        <color theme="1"/>
        <rFont val="Calibri"/>
        <family val="2"/>
      </rPr>
      <t xml:space="preserve"> ) :</t>
    </r>
  </si>
  <si>
    <r>
      <t>Enter your design k</t>
    </r>
    <r>
      <rPr>
        <b/>
        <vertAlign val="subscript"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:</t>
    </r>
  </si>
  <si>
    <r>
      <t xml:space="preserve">  [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]</t>
    </r>
  </si>
  <si>
    <r>
      <t>Nsp =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* ( 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+ 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 xml:space="preserve"> ) / ( BVdss * α - Vos -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 )</t>
    </r>
  </si>
  <si>
    <t xml:space="preserve"> ( ideal Nsp )</t>
  </si>
  <si>
    <t>Enter your Nsp ratio :</t>
  </si>
  <si>
    <t xml:space="preserve">  [ Nsp ]</t>
  </si>
  <si>
    <r>
      <t>V</t>
    </r>
    <r>
      <rPr>
        <vertAlign val="subscript"/>
        <sz val="11"/>
        <color indexed="8"/>
        <rFont val="Calibri"/>
        <family val="2"/>
      </rPr>
      <t>reflect</t>
    </r>
    <r>
      <rPr>
        <sz val="11"/>
        <color theme="1"/>
        <rFont val="Calibri"/>
        <family val="2"/>
      </rPr>
      <t xml:space="preserve"> =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DC+Vos+(V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)/Nsp</t>
    </r>
  </si>
  <si>
    <t xml:space="preserve">  [ Vreflect ]</t>
  </si>
  <si>
    <t>BVdss needed = Vreflect / α</t>
  </si>
  <si>
    <t xml:space="preserve">  [ BVdss minimum rating needed ]</t>
  </si>
  <si>
    <r>
      <t>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 (2*P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)/(I</t>
    </r>
    <r>
      <rPr>
        <vertAlign val="subscript"/>
        <sz val="11"/>
        <color indexed="8"/>
        <rFont val="Calibri"/>
        <family val="2"/>
      </rPr>
      <t>pk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*η*F</t>
    </r>
    <r>
      <rPr>
        <vertAlign val="subscript"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>)</t>
    </r>
  </si>
  <si>
    <t>Ipk and Lp calculation including dead-time effects</t>
  </si>
  <si>
    <r>
      <t>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 xml:space="preserve"> = (2*P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/η)*((1/V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)))+π*√(2*P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oss</t>
    </r>
    <r>
      <rPr>
        <sz val="11"/>
        <color theme="1"/>
        <rFont val="Calibri"/>
        <family val="2"/>
      </rPr>
      <t>*F</t>
    </r>
    <r>
      <rPr>
        <vertAlign val="subscript"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>/η)</t>
    </r>
  </si>
  <si>
    <r>
      <t xml:space="preserve">  [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 xml:space="preserve"> ]</t>
    </r>
  </si>
  <si>
    <r>
      <t xml:space="preserve">  [ calculated 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max ]</t>
    </r>
  </si>
  <si>
    <t>Enter design tolerance :</t>
  </si>
  <si>
    <r>
      <t xml:space="preserve">  [ design 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max ]</t>
    </r>
  </si>
  <si>
    <r>
      <t>Enter your design L</t>
    </r>
    <r>
      <rPr>
        <b/>
        <vertAlign val="subscript"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 [ µH ] :</t>
    </r>
  </si>
  <si>
    <r>
      <t xml:space="preserve">  [ 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</si>
  <si>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sense1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CSmax</t>
    </r>
    <r>
      <rPr>
        <sz val="11"/>
        <color theme="1"/>
        <rFont val="Calibri"/>
        <family val="2"/>
      </rPr>
      <t xml:space="preserve"> / I</t>
    </r>
    <r>
      <rPr>
        <vertAlign val="subscript"/>
        <sz val="11"/>
        <color indexed="8"/>
        <rFont val="Calibri"/>
        <family val="2"/>
      </rPr>
      <t>pk</t>
    </r>
  </si>
  <si>
    <r>
      <t xml:space="preserve">  [ calculated 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 xml:space="preserve"> ]</t>
    </r>
  </si>
  <si>
    <r>
      <t>Your design R</t>
    </r>
    <r>
      <rPr>
        <b/>
        <vertAlign val="subscript"/>
        <sz val="11"/>
        <color indexed="8"/>
        <rFont val="Calibri"/>
        <family val="2"/>
      </rPr>
      <t>sense</t>
    </r>
    <r>
      <rPr>
        <b/>
        <sz val="11"/>
        <color indexed="8"/>
        <rFont val="Calibri"/>
        <family val="2"/>
      </rPr>
      <t xml:space="preserve"> [ Ω ] :</t>
    </r>
  </si>
  <si>
    <r>
      <t xml:space="preserve">  [ 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 xml:space="preserve"> ]</t>
    </r>
  </si>
  <si>
    <r>
      <t>Approx P</t>
    </r>
    <r>
      <rPr>
        <vertAlign val="subscript"/>
        <sz val="11"/>
        <color indexed="8"/>
        <rFont val="Calibri"/>
        <family val="2"/>
      </rPr>
      <t>Rsense</t>
    </r>
    <r>
      <rPr>
        <sz val="11"/>
        <color theme="1"/>
        <rFont val="Calibri"/>
        <family val="2"/>
      </rPr>
      <t xml:space="preserve"> = 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>*Ip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>²</t>
    </r>
  </si>
  <si>
    <t>Primary and Secondary rms Current Calculations</t>
  </si>
  <si>
    <r>
      <t>Ton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= 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*L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/V</t>
    </r>
    <r>
      <rPr>
        <vertAlign val="subscript"/>
        <sz val="11"/>
        <color indexed="8"/>
        <rFont val="Calibri"/>
        <family val="2"/>
      </rPr>
      <t>min</t>
    </r>
  </si>
  <si>
    <r>
      <t xml:space="preserve">  [ Ton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]</t>
    </r>
  </si>
  <si>
    <r>
      <t>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= Ton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*Fsw</t>
    </r>
  </si>
  <si>
    <r>
      <t xml:space="preserve">  [ 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]</t>
    </r>
  </si>
  <si>
    <r>
      <t xml:space="preserve">  [ 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 xml:space="preserve"> ]</t>
    </r>
  </si>
  <si>
    <r>
      <t>Ip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/Nsp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*Nps</t>
    </r>
  </si>
  <si>
    <r>
      <t xml:space="preserve">  [ Ip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</si>
  <si>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8"/>
        <rFont val="Calibri"/>
        <family val="2"/>
      </rPr>
      <t>sRMS</t>
    </r>
    <r>
      <rPr>
        <sz val="11"/>
        <color theme="1"/>
        <rFont val="Calibri"/>
        <family val="2"/>
      </rPr>
      <t xml:space="preserve"> = Ip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*√((1-D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)/3)</t>
    </r>
  </si>
  <si>
    <r>
      <t xml:space="preserve">  [ I</t>
    </r>
    <r>
      <rPr>
        <vertAlign val="subscript"/>
        <sz val="11"/>
        <color indexed="8"/>
        <rFont val="Calibri"/>
        <family val="2"/>
      </rPr>
      <t>sRMS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</si>
  <si>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8"/>
        <rFont val="Calibri"/>
        <family val="2"/>
      </rPr>
      <t>priDC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*D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/2</t>
    </r>
  </si>
  <si>
    <t xml:space="preserve">  [ IpriDC ]</t>
  </si>
  <si>
    <r>
      <t>I</t>
    </r>
    <r>
      <rPr>
        <vertAlign val="subscript"/>
        <sz val="11"/>
        <color indexed="8"/>
        <rFont val="Calibri"/>
        <family val="2"/>
      </rPr>
      <t>priAC</t>
    </r>
    <r>
      <rPr>
        <sz val="11"/>
        <color theme="1"/>
        <rFont val="Calibri"/>
        <family val="2"/>
      </rPr>
      <t xml:space="preserve"> = √(Ip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>²-IpriDC²)</t>
    </r>
  </si>
  <si>
    <t xml:space="preserve">  [ IpriAC ]</t>
  </si>
  <si>
    <t>Auxilary winding ratio calculation</t>
  </si>
  <si>
    <t>Design "Vcc" value :</t>
  </si>
  <si>
    <t xml:space="preserve">  [ Vcc_aux ]</t>
  </si>
  <si>
    <r>
      <t>Nap = Nsp*(Vcc_aux+V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</t>
    </r>
  </si>
  <si>
    <t xml:space="preserve">  [ Nap_calc ]</t>
  </si>
  <si>
    <r>
      <rPr>
        <b/>
        <u val="single"/>
        <sz val="11"/>
        <color indexed="8"/>
        <rFont val="Calibri"/>
        <family val="2"/>
      </rPr>
      <t>Output Capacitor Calculations</t>
    </r>
    <r>
      <rPr>
        <u val="single"/>
        <sz val="11"/>
        <color indexed="8"/>
        <rFont val="Calibri"/>
        <family val="2"/>
      </rPr>
      <t xml:space="preserve"> ( assumes single secondary with single capacitance group )</t>
    </r>
  </si>
  <si>
    <r>
      <t>Design V</t>
    </r>
    <r>
      <rPr>
        <b/>
        <vertAlign val="subscript"/>
        <sz val="11"/>
        <color indexed="8"/>
        <rFont val="Calibri"/>
        <family val="2"/>
      </rPr>
      <t>ripple</t>
    </r>
    <r>
      <rPr>
        <b/>
        <sz val="11"/>
        <color indexed="8"/>
        <rFont val="Calibri"/>
        <family val="2"/>
      </rPr>
      <t xml:space="preserve"> :</t>
    </r>
  </si>
  <si>
    <r>
      <t xml:space="preserve">  [ 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</si>
  <si>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ESR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/ I</t>
    </r>
    <r>
      <rPr>
        <vertAlign val="subscript"/>
        <sz val="11"/>
        <color indexed="8"/>
        <rFont val="Calibri"/>
        <family val="2"/>
      </rPr>
      <t>ps</t>
    </r>
  </si>
  <si>
    <r>
      <t xml:space="preserve">  [ R</t>
    </r>
    <r>
      <rPr>
        <vertAlign val="subscript"/>
        <sz val="11"/>
        <color indexed="8"/>
        <rFont val="Calibri"/>
        <family val="2"/>
      </rPr>
      <t xml:space="preserve">ESR </t>
    </r>
    <r>
      <rPr>
        <sz val="11"/>
        <color theme="1"/>
        <rFont val="Calibri"/>
        <family val="2"/>
      </rPr>
      <t>max ]</t>
    </r>
  </si>
  <si>
    <r>
      <t xml:space="preserve">  [ I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]</t>
    </r>
  </si>
  <si>
    <t>Using one or more capacitors to implement the capacitance group enter your -</t>
  </si>
  <si>
    <t>Design ESR [ Ω ] :</t>
  </si>
  <si>
    <r>
      <t xml:space="preserve">  [ R</t>
    </r>
    <r>
      <rPr>
        <vertAlign val="subscript"/>
        <sz val="11"/>
        <color indexed="8"/>
        <rFont val="Calibri"/>
        <family val="2"/>
      </rPr>
      <t>Cout</t>
    </r>
    <r>
      <rPr>
        <sz val="11"/>
        <color theme="1"/>
        <rFont val="Calibri"/>
        <family val="2"/>
      </rPr>
      <t xml:space="preserve"> ]</t>
    </r>
  </si>
  <si>
    <t>Design Capacitance [ µF ] :</t>
  </si>
  <si>
    <r>
      <t xml:space="preserve">  [ C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]</t>
    </r>
  </si>
  <si>
    <r>
      <t xml:space="preserve">Rated ripple current [ </t>
    </r>
    <r>
      <rPr>
        <b/>
        <sz val="9"/>
        <color indexed="8"/>
        <rFont val="Calibri"/>
        <family val="2"/>
      </rPr>
      <t>RMS</t>
    </r>
    <r>
      <rPr>
        <b/>
        <sz val="11"/>
        <color indexed="8"/>
        <rFont val="Calibri"/>
        <family val="2"/>
      </rPr>
      <t xml:space="preserve"> ] :</t>
    </r>
  </si>
  <si>
    <r>
      <t xml:space="preserve">  [ I</t>
    </r>
    <r>
      <rPr>
        <vertAlign val="subscript"/>
        <sz val="11"/>
        <color indexed="8"/>
        <rFont val="Calibri"/>
        <family val="2"/>
      </rPr>
      <t>CoutRMS</t>
    </r>
    <r>
      <rPr>
        <sz val="11"/>
        <color theme="1"/>
        <rFont val="Calibri"/>
        <family val="2"/>
      </rPr>
      <t xml:space="preserve"> ]</t>
    </r>
  </si>
  <si>
    <t>Timing Capacitor Calculation</t>
  </si>
  <si>
    <r>
      <t>I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(datasheet )</t>
    </r>
  </si>
  <si>
    <r>
      <t xml:space="preserve">  [ I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</si>
  <si>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8"/>
        <rFont val="Calibri"/>
        <family val="2"/>
      </rPr>
      <t>FB1</t>
    </r>
    <r>
      <rPr>
        <sz val="11"/>
        <color theme="1"/>
        <rFont val="Calibri"/>
        <family val="2"/>
      </rPr>
      <t xml:space="preserve"> (datasheet )</t>
    </r>
  </si>
  <si>
    <r>
      <t xml:space="preserve">  [ V</t>
    </r>
    <r>
      <rPr>
        <vertAlign val="subscript"/>
        <sz val="11"/>
        <color indexed="8"/>
        <rFont val="Calibri"/>
        <family val="2"/>
      </rPr>
      <t>FB1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</si>
  <si>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8"/>
        <rFont val="Calibri"/>
        <family val="2"/>
      </rPr>
      <t>FB2</t>
    </r>
    <r>
      <rPr>
        <sz val="11"/>
        <color theme="1"/>
        <rFont val="Calibri"/>
        <family val="2"/>
      </rPr>
      <t xml:space="preserve"> (datasheet )</t>
    </r>
  </si>
  <si>
    <r>
      <t xml:space="preserve">  [ V</t>
    </r>
    <r>
      <rPr>
        <vertAlign val="subscript"/>
        <sz val="11"/>
        <color indexed="8"/>
        <rFont val="Calibri"/>
        <family val="2"/>
      </rPr>
      <t>FB2</t>
    </r>
    <r>
      <rPr>
        <sz val="11"/>
        <color theme="1"/>
        <rFont val="Calibri"/>
        <family val="2"/>
      </rPr>
      <t xml:space="preserve"> ]</t>
    </r>
  </si>
  <si>
    <r>
      <t>T</t>
    </r>
    <r>
      <rPr>
        <vertAlign val="subscript"/>
        <sz val="11"/>
        <color indexed="8"/>
        <rFont val="Calibri"/>
        <family val="2"/>
      </rPr>
      <t>sw_4th</t>
    </r>
    <r>
      <rPr>
        <sz val="11"/>
        <color theme="1"/>
        <rFont val="Calibri"/>
        <family val="2"/>
      </rPr>
      <t xml:space="preserve"> = (((V</t>
    </r>
    <r>
      <rPr>
        <vertAlign val="subscript"/>
        <sz val="11"/>
        <color indexed="8"/>
        <rFont val="Calibri"/>
        <family val="2"/>
      </rPr>
      <t>FB1</t>
    </r>
    <r>
      <rPr>
        <sz val="11"/>
        <color theme="1"/>
        <rFont val="Calibri"/>
        <family val="2"/>
      </rPr>
      <t>/(4*R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>))+(VIN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DC*t</t>
    </r>
    <r>
      <rPr>
        <vertAlign val="subscript"/>
        <sz val="11"/>
        <color indexed="8"/>
        <rFont val="Calibri"/>
        <family val="2"/>
      </rPr>
      <t>prop</t>
    </r>
    <r>
      <rPr>
        <sz val="11"/>
        <color theme="1"/>
        <rFont val="Calibri"/>
        <family val="2"/>
      </rPr>
      <t>/L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))*L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*((1/VIN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))))+7*π*√(L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oss</t>
    </r>
    <r>
      <rPr>
        <sz val="11"/>
        <color theme="1"/>
        <rFont val="Calibri"/>
        <family val="2"/>
      </rPr>
      <t>)</t>
    </r>
  </si>
  <si>
    <r>
      <t xml:space="preserve">  [ T</t>
    </r>
    <r>
      <rPr>
        <vertAlign val="subscript"/>
        <sz val="11"/>
        <color indexed="8"/>
        <rFont val="Calibri"/>
        <family val="2"/>
      </rPr>
      <t>sw4th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</si>
  <si>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= 6.5-(10*V</t>
    </r>
    <r>
      <rPr>
        <vertAlign val="subscript"/>
        <sz val="11"/>
        <color indexed="8"/>
        <rFont val="Calibri"/>
        <family val="2"/>
      </rPr>
      <t>FB2</t>
    </r>
    <r>
      <rPr>
        <sz val="11"/>
        <color theme="1"/>
        <rFont val="Calibri"/>
        <family val="2"/>
      </rPr>
      <t>/3)</t>
    </r>
  </si>
  <si>
    <r>
      <t xml:space="preserve">  [ V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]</t>
    </r>
  </si>
  <si>
    <r>
      <t>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>*(T</t>
    </r>
    <r>
      <rPr>
        <vertAlign val="subscript"/>
        <sz val="11"/>
        <color indexed="8"/>
        <rFont val="Calibri"/>
        <family val="2"/>
      </rPr>
      <t>sw_4th</t>
    </r>
    <r>
      <rPr>
        <sz val="11"/>
        <color theme="1"/>
        <rFont val="Calibri"/>
        <family val="2"/>
      </rPr>
      <t>+10E-6)/V</t>
    </r>
    <r>
      <rPr>
        <vertAlign val="subscript"/>
        <sz val="11"/>
        <color indexed="8"/>
        <rFont val="Calibri"/>
        <family val="2"/>
      </rPr>
      <t>Ct</t>
    </r>
  </si>
  <si>
    <r>
      <t>ideal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value</t>
    </r>
  </si>
  <si>
    <r>
      <t>Design C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[ pF ] :</t>
    </r>
  </si>
  <si>
    <r>
      <t xml:space="preserve">  [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]</t>
    </r>
  </si>
  <si>
    <t>OPP Calculation</t>
  </si>
  <si>
    <r>
      <t>I</t>
    </r>
    <r>
      <rPr>
        <vertAlign val="subscript"/>
        <sz val="11"/>
        <color indexed="8"/>
        <rFont val="Calibri"/>
        <family val="2"/>
      </rPr>
      <t>pk_max</t>
    </r>
    <r>
      <rPr>
        <sz val="11"/>
        <color theme="1"/>
        <rFont val="Calibri"/>
        <family val="2"/>
      </rPr>
      <t xml:space="preserve"> = (VCSmax/R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>) + 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DC*t</t>
    </r>
    <r>
      <rPr>
        <vertAlign val="subscript"/>
        <sz val="11"/>
        <color indexed="8"/>
        <rFont val="Calibri"/>
        <family val="2"/>
      </rPr>
      <t>prop_OPP</t>
    </r>
    <r>
      <rPr>
        <sz val="11"/>
        <color theme="1"/>
        <rFont val="Calibri"/>
        <family val="2"/>
      </rPr>
      <t>/Lp)</t>
    </r>
  </si>
  <si>
    <r>
      <t>T</t>
    </r>
    <r>
      <rPr>
        <vertAlign val="subscript"/>
        <sz val="11"/>
        <color indexed="8"/>
        <rFont val="Calibri"/>
        <family val="2"/>
      </rPr>
      <t>sw_max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pk_max</t>
    </r>
    <r>
      <rPr>
        <sz val="11"/>
        <color theme="1"/>
        <rFont val="Calibri"/>
        <family val="2"/>
      </rPr>
      <t>*Lp*((1/VIN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)))+π*√(Lp*Coss)</t>
    </r>
  </si>
  <si>
    <r>
      <t>P</t>
    </r>
    <r>
      <rPr>
        <vertAlign val="subscript"/>
        <sz val="11"/>
        <color indexed="8"/>
        <rFont val="Calibri"/>
        <family val="2"/>
      </rPr>
      <t>out_max</t>
    </r>
    <r>
      <rPr>
        <sz val="11"/>
        <color theme="1"/>
        <rFont val="Calibri"/>
        <family val="2"/>
      </rPr>
      <t xml:space="preserve"> = (1/2)*Lp*I</t>
    </r>
    <r>
      <rPr>
        <vertAlign val="subscript"/>
        <sz val="11"/>
        <color indexed="8"/>
        <rFont val="Calibri"/>
        <family val="2"/>
      </rPr>
      <t>pk_max</t>
    </r>
    <r>
      <rPr>
        <sz val="11"/>
        <color theme="1"/>
        <rFont val="Calibri"/>
        <family val="2"/>
      </rPr>
      <t>²*(1/T</t>
    </r>
    <r>
      <rPr>
        <vertAlign val="subscript"/>
        <sz val="11"/>
        <color indexed="8"/>
        <rFont val="Calibri"/>
        <family val="2"/>
      </rPr>
      <t>sw_max</t>
    </r>
    <r>
      <rPr>
        <sz val="11"/>
        <color theme="1"/>
        <rFont val="Calibri"/>
        <family val="2"/>
      </rPr>
      <t>)*η</t>
    </r>
  </si>
  <si>
    <t>Design power limit [ W ] :</t>
  </si>
  <si>
    <r>
      <t xml:space="preserve">  [ P</t>
    </r>
    <r>
      <rPr>
        <vertAlign val="subscript"/>
        <sz val="11"/>
        <color indexed="8"/>
        <rFont val="Calibri"/>
        <family val="2"/>
      </rPr>
      <t>out_limit</t>
    </r>
    <r>
      <rPr>
        <sz val="11"/>
        <color theme="1"/>
        <rFont val="Calibri"/>
        <family val="2"/>
      </rPr>
      <t xml:space="preserve"> ]</t>
    </r>
  </si>
  <si>
    <r>
      <t>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= Lp*η/(2*P</t>
    </r>
    <r>
      <rPr>
        <vertAlign val="subscript"/>
        <sz val="11"/>
        <color indexed="8"/>
        <rFont val="Calibri"/>
        <family val="2"/>
      </rPr>
      <t>out_limit</t>
    </r>
    <r>
      <rPr>
        <sz val="11"/>
        <color theme="1"/>
        <rFont val="Calibri"/>
        <family val="2"/>
      </rPr>
      <t>)</t>
    </r>
  </si>
  <si>
    <r>
      <t xml:space="preserve">  [ 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]</t>
    </r>
  </si>
  <si>
    <r>
      <t>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= -Lp*((1/Vin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</t>
    </r>
  </si>
  <si>
    <r>
      <t xml:space="preserve">  [ 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]</t>
    </r>
  </si>
  <si>
    <r>
      <t>c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= -π*√(Lp*Coss)</t>
    </r>
  </si>
  <si>
    <r>
      <t xml:space="preserve">  [ c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]</t>
    </r>
  </si>
  <si>
    <t xml:space="preserve">   with corresponding peak current and Fsw of :</t>
  </si>
  <si>
    <r>
      <t>I</t>
    </r>
    <r>
      <rPr>
        <vertAlign val="subscript"/>
        <sz val="11"/>
        <color indexed="8"/>
        <rFont val="Calibri"/>
        <family val="2"/>
      </rPr>
      <t>pk_limit</t>
    </r>
    <r>
      <rPr>
        <sz val="11"/>
        <color theme="1"/>
        <rFont val="Calibri"/>
        <family val="2"/>
      </rPr>
      <t xml:space="preserve"> = (-b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+√(b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²-4*a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))/(2*a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)</t>
    </r>
  </si>
  <si>
    <r>
      <t xml:space="preserve">  [ I</t>
    </r>
    <r>
      <rPr>
        <vertAlign val="subscript"/>
        <sz val="11"/>
        <color indexed="8"/>
        <rFont val="Calibri"/>
        <family val="2"/>
      </rPr>
      <t>pk_limit</t>
    </r>
    <r>
      <rPr>
        <sz val="11"/>
        <color theme="1"/>
        <rFont val="Calibri"/>
        <family val="2"/>
      </rPr>
      <t xml:space="preserve"> ]</t>
    </r>
  </si>
  <si>
    <r>
      <t xml:space="preserve">  [ F</t>
    </r>
    <r>
      <rPr>
        <vertAlign val="subscript"/>
        <sz val="11"/>
        <color indexed="8"/>
        <rFont val="Calibri"/>
        <family val="2"/>
      </rPr>
      <t>sw_limit</t>
    </r>
    <r>
      <rPr>
        <sz val="11"/>
        <color theme="1"/>
        <rFont val="Calibri"/>
        <family val="2"/>
      </rPr>
      <t xml:space="preserve"> ]</t>
    </r>
  </si>
  <si>
    <t>OPP peak current reduction -</t>
  </si>
  <si>
    <t>OPP = 1-(Ipk_limit/Ipk_max)</t>
  </si>
  <si>
    <t xml:space="preserve">  [ OPP ]</t>
  </si>
  <si>
    <t>calculated Naux/Npri :</t>
  </si>
  <si>
    <t>Design Nap :</t>
  </si>
  <si>
    <t xml:space="preserve">  [ Nap ]</t>
  </si>
  <si>
    <t>OPP lower resistor [ KΩ ] :</t>
  </si>
  <si>
    <r>
      <t xml:space="preserve">  [ R</t>
    </r>
    <r>
      <rPr>
        <vertAlign val="subscript"/>
        <sz val="11"/>
        <color indexed="8"/>
        <rFont val="Calibri"/>
        <family val="2"/>
      </rPr>
      <t>lowerOPP</t>
    </r>
    <r>
      <rPr>
        <sz val="11"/>
        <color theme="1"/>
        <rFont val="Calibri"/>
        <family val="2"/>
      </rPr>
      <t xml:space="preserve"> ]</t>
    </r>
  </si>
  <si>
    <t>VOPP = VCSmax*OPP</t>
  </si>
  <si>
    <t xml:space="preserve">  [ VOPP ]</t>
  </si>
  <si>
    <r>
      <t>ROPP_ratio = (Nap*Vin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DC-VOPP)/VOPP</t>
    </r>
  </si>
  <si>
    <t xml:space="preserve">  [ ROPP_ratio ]</t>
  </si>
  <si>
    <r>
      <t>R</t>
    </r>
    <r>
      <rPr>
        <vertAlign val="subscript"/>
        <sz val="11"/>
        <color indexed="8"/>
        <rFont val="Calibri"/>
        <family val="2"/>
      </rPr>
      <t>upper</t>
    </r>
    <r>
      <rPr>
        <sz val="11"/>
        <color theme="1"/>
        <rFont val="Calibri"/>
        <family val="2"/>
      </rPr>
      <t>OPP_calc = R</t>
    </r>
    <r>
      <rPr>
        <vertAlign val="subscript"/>
        <sz val="11"/>
        <color indexed="8"/>
        <rFont val="Calibri"/>
        <family val="2"/>
      </rPr>
      <t>lower</t>
    </r>
    <r>
      <rPr>
        <sz val="11"/>
        <color theme="1"/>
        <rFont val="Calibri"/>
        <family val="2"/>
      </rPr>
      <t>OPP*ROPP_ratio</t>
    </r>
  </si>
  <si>
    <r>
      <t xml:space="preserve">  [ R</t>
    </r>
    <r>
      <rPr>
        <vertAlign val="subscript"/>
        <sz val="11"/>
        <color indexed="8"/>
        <rFont val="Calibri"/>
        <family val="2"/>
      </rPr>
      <t>upperOPP</t>
    </r>
    <r>
      <rPr>
        <sz val="11"/>
        <color theme="1"/>
        <rFont val="Calibri"/>
        <family val="2"/>
      </rPr>
      <t xml:space="preserve"> ]</t>
    </r>
  </si>
  <si>
    <t>RCD Clamp Calculation</t>
  </si>
  <si>
    <r>
      <t>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= BV</t>
    </r>
    <r>
      <rPr>
        <vertAlign val="subscript"/>
        <sz val="11"/>
        <color indexed="8"/>
        <rFont val="Calibri"/>
        <family val="2"/>
      </rPr>
      <t>dss</t>
    </r>
    <r>
      <rPr>
        <sz val="11"/>
        <color theme="1"/>
        <rFont val="Calibri"/>
        <family val="2"/>
      </rPr>
      <t>*α-V</t>
    </r>
    <r>
      <rPr>
        <vertAlign val="subscript"/>
        <sz val="11"/>
        <color indexed="8"/>
        <rFont val="Calibri"/>
        <family val="2"/>
      </rPr>
      <t>os</t>
    </r>
    <r>
      <rPr>
        <sz val="11"/>
        <color theme="1"/>
        <rFont val="Calibri"/>
        <family val="2"/>
      </rPr>
      <t>-Vin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</t>
    </r>
  </si>
  <si>
    <r>
      <t xml:space="preserve">  [ 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</si>
  <si>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= (2*V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-((V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+VF</t>
    </r>
    <r>
      <rPr>
        <vertAlign val="subscript"/>
        <sz val="11"/>
        <color indexed="8"/>
        <rFont val="Calibri"/>
        <family val="2"/>
      </rPr>
      <t>WD</t>
    </r>
    <r>
      <rPr>
        <sz val="11"/>
        <color theme="1"/>
        <rFont val="Calibri"/>
        <family val="2"/>
      </rPr>
      <t>)/Nsp)))/(I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²*L</t>
    </r>
    <r>
      <rPr>
        <vertAlign val="subscript"/>
        <sz val="11"/>
        <color indexed="8"/>
        <rFont val="Calibri"/>
        <family val="2"/>
      </rPr>
      <t>leak</t>
    </r>
    <r>
      <rPr>
        <sz val="11"/>
        <color theme="1"/>
        <rFont val="Calibri"/>
        <family val="2"/>
      </rPr>
      <t>*Fsw)</t>
    </r>
  </si>
  <si>
    <r>
      <t>L</t>
    </r>
    <r>
      <rPr>
        <vertAlign val="subscript"/>
        <sz val="11"/>
        <color indexed="8"/>
        <rFont val="Calibri"/>
        <family val="2"/>
      </rPr>
      <t>leak</t>
    </r>
    <r>
      <rPr>
        <sz val="11"/>
        <color theme="1"/>
        <rFont val="Calibri"/>
        <family val="2"/>
      </rPr>
      <t xml:space="preserve"> = K</t>
    </r>
    <r>
      <rPr>
        <vertAlign val="subscript"/>
        <sz val="11"/>
        <color indexed="8"/>
        <rFont val="Calibri"/>
        <family val="2"/>
      </rPr>
      <t>leak</t>
    </r>
    <r>
      <rPr>
        <sz val="11"/>
        <color theme="1"/>
        <rFont val="Calibri"/>
        <family val="2"/>
      </rPr>
      <t>*Lp</t>
    </r>
  </si>
  <si>
    <t>Corresponding :</t>
  </si>
  <si>
    <r>
      <t>L</t>
    </r>
    <r>
      <rPr>
        <b/>
        <vertAlign val="subscript"/>
        <sz val="11"/>
        <color indexed="8"/>
        <rFont val="Calibri"/>
        <family val="2"/>
      </rPr>
      <t>leak</t>
    </r>
  </si>
  <si>
    <r>
      <t>R</t>
    </r>
    <r>
      <rPr>
        <b/>
        <vertAlign val="subscript"/>
        <sz val="11"/>
        <color indexed="8"/>
        <rFont val="Calibri"/>
        <family val="2"/>
      </rPr>
      <t>clamp_calc</t>
    </r>
  </si>
  <si>
    <r>
      <t xml:space="preserve">   k</t>
    </r>
    <r>
      <rPr>
        <vertAlign val="subscript"/>
        <sz val="11"/>
        <color indexed="8"/>
        <rFont val="Calibri"/>
        <family val="2"/>
      </rPr>
      <t xml:space="preserve">leak1 :  </t>
    </r>
  </si>
  <si>
    <r>
      <t xml:space="preserve">   k</t>
    </r>
    <r>
      <rPr>
        <vertAlign val="subscript"/>
        <sz val="11"/>
        <color indexed="8"/>
        <rFont val="Calibri"/>
        <family val="2"/>
      </rPr>
      <t xml:space="preserve">leak2 :  </t>
    </r>
  </si>
  <si>
    <r>
      <t xml:space="preserve">   k</t>
    </r>
    <r>
      <rPr>
        <vertAlign val="subscript"/>
        <sz val="11"/>
        <color indexed="8"/>
        <rFont val="Calibri"/>
        <family val="2"/>
      </rPr>
      <t xml:space="preserve">leak3 :  </t>
    </r>
  </si>
  <si>
    <r>
      <t>Design R</t>
    </r>
    <r>
      <rPr>
        <b/>
        <vertAlign val="subscript"/>
        <sz val="11"/>
        <color indexed="8"/>
        <rFont val="Calibri"/>
        <family val="2"/>
      </rPr>
      <t>clamp</t>
    </r>
    <r>
      <rPr>
        <b/>
        <sz val="11"/>
        <color indexed="8"/>
        <rFont val="Calibri"/>
        <family val="2"/>
      </rPr>
      <t xml:space="preserve"> value [ KΩ ] :</t>
    </r>
  </si>
  <si>
    <r>
      <t xml:space="preserve">  [ R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]</t>
    </r>
  </si>
  <si>
    <r>
      <t>V</t>
    </r>
    <r>
      <rPr>
        <b/>
        <vertAlign val="subscript"/>
        <sz val="11"/>
        <color indexed="8"/>
        <rFont val="Calibri"/>
        <family val="2"/>
      </rPr>
      <t>RDC</t>
    </r>
    <r>
      <rPr>
        <b/>
        <sz val="11"/>
        <color indexed="8"/>
        <rFont val="Calibri"/>
        <family val="2"/>
      </rPr>
      <t xml:space="preserve"> Ripple vs. Vclamp [ % ] :</t>
    </r>
  </si>
  <si>
    <r>
      <t xml:space="preserve">  [ 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>RCD ]</t>
    </r>
  </si>
  <si>
    <r>
      <t>C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/(R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*Fsw*V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>RCD*V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)</t>
    </r>
  </si>
  <si>
    <t xml:space="preserve">  [ ideal Cclamp ]</t>
  </si>
  <si>
    <r>
      <t>Design C</t>
    </r>
    <r>
      <rPr>
        <b/>
        <vertAlign val="subscript"/>
        <sz val="11"/>
        <color indexed="8"/>
        <rFont val="Calibri"/>
        <family val="2"/>
      </rPr>
      <t>clamp</t>
    </r>
    <r>
      <rPr>
        <b/>
        <sz val="11"/>
        <color indexed="8"/>
        <rFont val="Calibri"/>
        <family val="2"/>
      </rPr>
      <t xml:space="preserve"> value [ nF ] :</t>
    </r>
  </si>
  <si>
    <r>
      <t xml:space="preserve">  [ C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]</t>
    </r>
  </si>
  <si>
    <r>
      <t>PIV</t>
    </r>
    <r>
      <rPr>
        <vertAlign val="subscript"/>
        <sz val="11"/>
        <color indexed="8"/>
        <rFont val="Calibri"/>
        <family val="2"/>
      </rPr>
      <t>Dclamp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os</t>
    </r>
    <r>
      <rPr>
        <sz val="11"/>
        <color theme="1"/>
        <rFont val="Calibri"/>
        <family val="2"/>
      </rPr>
      <t>+(V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/Nsp)</t>
    </r>
  </si>
  <si>
    <t>Datasheet Values</t>
  </si>
  <si>
    <t>NCP1379</t>
  </si>
  <si>
    <t>NCP1380</t>
  </si>
  <si>
    <r>
      <t>I</t>
    </r>
    <r>
      <rPr>
        <vertAlign val="subscript"/>
        <sz val="11"/>
        <color indexed="8"/>
        <rFont val="Calibri"/>
        <family val="2"/>
      </rPr>
      <t>CC_start</t>
    </r>
  </si>
  <si>
    <r>
      <t xml:space="preserve">  [ I</t>
    </r>
    <r>
      <rPr>
        <vertAlign val="subscript"/>
        <sz val="11"/>
        <color indexed="8"/>
        <rFont val="Calibri"/>
        <family val="2"/>
      </rPr>
      <t>CC1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</si>
  <si>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22"/>
        <rFont val="Calibri"/>
        <family val="2"/>
      </rPr>
      <t>CC1</t>
    </r>
    <r>
      <rPr>
        <sz val="11"/>
        <color indexed="22"/>
        <rFont val="Calibri"/>
        <family val="2"/>
      </rPr>
      <t xml:space="preserve">  ( Icc_start )</t>
    </r>
  </si>
  <si>
    <r>
      <t>I</t>
    </r>
    <r>
      <rPr>
        <vertAlign val="subscript"/>
        <sz val="11"/>
        <color indexed="8"/>
        <rFont val="Calibri"/>
        <family val="2"/>
      </rPr>
      <t>CC_running</t>
    </r>
  </si>
  <si>
    <r>
      <t xml:space="preserve">  [ I</t>
    </r>
    <r>
      <rPr>
        <vertAlign val="subscript"/>
        <sz val="11"/>
        <color indexed="8"/>
        <rFont val="Calibri"/>
        <family val="2"/>
      </rPr>
      <t>CC2</t>
    </r>
    <r>
      <rPr>
        <sz val="11"/>
        <color theme="1"/>
        <rFont val="Calibri"/>
        <family val="2"/>
      </rPr>
      <t xml:space="preserve"> ]</t>
    </r>
  </si>
  <si>
    <r>
      <t>ICC2</t>
    </r>
    <r>
      <rPr>
        <sz val="11"/>
        <color indexed="22"/>
        <rFont val="Calibri"/>
        <family val="2"/>
      </rPr>
      <t xml:space="preserve">  ( Icc_running )</t>
    </r>
  </si>
  <si>
    <r>
      <t>V</t>
    </r>
    <r>
      <rPr>
        <vertAlign val="subscript"/>
        <sz val="11"/>
        <color indexed="8"/>
        <rFont val="Calibri"/>
        <family val="2"/>
      </rPr>
      <t>CC_on</t>
    </r>
  </si>
  <si>
    <r>
      <t xml:space="preserve">  [ V</t>
    </r>
    <r>
      <rPr>
        <vertAlign val="subscript"/>
        <sz val="11"/>
        <color indexed="8"/>
        <rFont val="Calibri"/>
        <family val="2"/>
      </rPr>
      <t>CC_on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</si>
  <si>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22"/>
        <rFont val="Calibri"/>
        <family val="2"/>
      </rPr>
      <t>cc_on</t>
    </r>
  </si>
  <si>
    <r>
      <t>V</t>
    </r>
    <r>
      <rPr>
        <vertAlign val="subscript"/>
        <sz val="11"/>
        <color indexed="8"/>
        <rFont val="Calibri"/>
        <family val="2"/>
      </rPr>
      <t>CC_off</t>
    </r>
  </si>
  <si>
    <r>
      <t xml:space="preserve">  [ V</t>
    </r>
    <r>
      <rPr>
        <vertAlign val="subscript"/>
        <sz val="11"/>
        <color indexed="8"/>
        <rFont val="Calibri"/>
        <family val="2"/>
      </rPr>
      <t>CC_off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</si>
  <si>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22"/>
        <rFont val="Calibri"/>
        <family val="2"/>
      </rPr>
      <t>cc_off</t>
    </r>
  </si>
  <si>
    <r>
      <t>I</t>
    </r>
    <r>
      <rPr>
        <vertAlign val="subscript"/>
        <sz val="11"/>
        <color indexed="8"/>
        <rFont val="Calibri"/>
        <family val="2"/>
      </rPr>
      <t>BO</t>
    </r>
  </si>
  <si>
    <r>
      <t xml:space="preserve">  [ I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</si>
  <si>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22"/>
        <rFont val="Calibri"/>
        <family val="2"/>
      </rPr>
      <t>BO</t>
    </r>
  </si>
  <si>
    <r>
      <t>V</t>
    </r>
    <r>
      <rPr>
        <vertAlign val="subscript"/>
        <sz val="11"/>
        <color indexed="8"/>
        <rFont val="Calibri"/>
        <family val="2"/>
      </rPr>
      <t>BO</t>
    </r>
  </si>
  <si>
    <r>
      <t xml:space="preserve">  [ 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</si>
  <si>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22"/>
        <rFont val="Calibri"/>
        <family val="2"/>
      </rPr>
      <t>BO</t>
    </r>
  </si>
  <si>
    <t xml:space="preserve">  [ Cvcc-1 calculated ]</t>
  </si>
  <si>
    <r>
      <t>Design Cvcc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[ µF ] :</t>
    </r>
  </si>
  <si>
    <r>
      <t xml:space="preserve">  [ 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</si>
  <si>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8"/>
        <rFont val="Calibri"/>
        <family val="2"/>
      </rPr>
      <t>Cvcc1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CC_on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vcc1</t>
    </r>
    <r>
      <rPr>
        <sz val="11"/>
        <color theme="1"/>
        <rFont val="Calibri"/>
        <family val="2"/>
      </rPr>
      <t>/T</t>
    </r>
    <r>
      <rPr>
        <vertAlign val="subscript"/>
        <sz val="11"/>
        <color indexed="8"/>
        <rFont val="Calibri"/>
        <family val="2"/>
      </rPr>
      <t>startup</t>
    </r>
  </si>
  <si>
    <r>
      <t xml:space="preserve">  [ I</t>
    </r>
    <r>
      <rPr>
        <vertAlign val="subscript"/>
        <sz val="11"/>
        <color indexed="8"/>
        <rFont val="Calibri"/>
        <family val="2"/>
      </rPr>
      <t>Cvcc1</t>
    </r>
    <r>
      <rPr>
        <sz val="11"/>
        <color theme="1"/>
        <rFont val="Calibri"/>
        <family val="2"/>
      </rPr>
      <t xml:space="preserve"> ]</t>
    </r>
  </si>
  <si>
    <r>
      <t xml:space="preserve">  [ R</t>
    </r>
    <r>
      <rPr>
        <vertAlign val="subscript"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calculated ]</t>
    </r>
  </si>
  <si>
    <r>
      <t xml:space="preserve">  [ R</t>
    </r>
    <r>
      <rPr>
        <vertAlign val="subscript"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 ]</t>
    </r>
  </si>
  <si>
    <r>
      <t>P</t>
    </r>
    <r>
      <rPr>
        <vertAlign val="subscript"/>
        <sz val="11"/>
        <color indexed="8"/>
        <rFont val="Calibri"/>
        <family val="2"/>
      </rPr>
      <t>Rstart</t>
    </r>
    <r>
      <rPr>
        <sz val="11"/>
        <color theme="1"/>
        <rFont val="Calibri"/>
        <family val="2"/>
      </rPr>
      <t xml:space="preserve"> =  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*√2-Vcc_aux)²/R</t>
    </r>
    <r>
      <rPr>
        <vertAlign val="subscript"/>
        <sz val="11"/>
        <color indexed="8"/>
        <rFont val="Calibri"/>
        <family val="2"/>
      </rPr>
      <t>start</t>
    </r>
  </si>
  <si>
    <t>Half-wave optional connection ( AC input only )</t>
  </si>
  <si>
    <r>
      <t xml:space="preserve">  [ R</t>
    </r>
    <r>
      <rPr>
        <vertAlign val="subscript"/>
        <sz val="11"/>
        <color indexed="8"/>
        <rFont val="Calibri"/>
        <family val="2"/>
      </rPr>
      <t>start2</t>
    </r>
    <r>
      <rPr>
        <sz val="11"/>
        <color theme="1"/>
        <rFont val="Calibri"/>
        <family val="2"/>
      </rPr>
      <t xml:space="preserve"> calculated ]</t>
    </r>
  </si>
  <si>
    <r>
      <t xml:space="preserve">  [ R</t>
    </r>
    <r>
      <rPr>
        <vertAlign val="subscript"/>
        <sz val="11"/>
        <color indexed="8"/>
        <rFont val="Calibri"/>
        <family val="2"/>
      </rPr>
      <t>start2</t>
    </r>
    <r>
      <rPr>
        <sz val="11"/>
        <color theme="1"/>
        <rFont val="Calibri"/>
        <family val="2"/>
      </rPr>
      <t xml:space="preserve">  ]</t>
    </r>
  </si>
  <si>
    <r>
      <t>P</t>
    </r>
    <r>
      <rPr>
        <vertAlign val="subscript"/>
        <sz val="11"/>
        <color indexed="8"/>
        <rFont val="Calibri"/>
        <family val="2"/>
      </rPr>
      <t>Rstart2</t>
    </r>
    <r>
      <rPr>
        <sz val="11"/>
        <color theme="1"/>
        <rFont val="Calibri"/>
        <family val="2"/>
      </rPr>
      <t xml:space="preserve"> =  ((Vin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*√2/π)-Vcc_aux)²/R</t>
    </r>
    <r>
      <rPr>
        <vertAlign val="subscript"/>
        <sz val="11"/>
        <color indexed="8"/>
        <rFont val="Calibri"/>
        <family val="2"/>
      </rPr>
      <t>start</t>
    </r>
  </si>
  <si>
    <t>Start Switching at Vbulk :</t>
  </si>
  <si>
    <r>
      <t xml:space="preserve">  [ 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 xml:space="preserve"> ]</t>
    </r>
  </si>
  <si>
    <t>Stop Switching at Vbulk :</t>
  </si>
  <si>
    <r>
      <t xml:space="preserve">  [ V</t>
    </r>
    <r>
      <rPr>
        <vertAlign val="subscript"/>
        <sz val="11"/>
        <color indexed="8"/>
        <rFont val="Calibri"/>
        <family val="2"/>
      </rPr>
      <t>bulkOFF</t>
    </r>
    <r>
      <rPr>
        <sz val="11"/>
        <color theme="1"/>
        <rFont val="Calibri"/>
        <family val="2"/>
      </rPr>
      <t xml:space="preserve"> ]</t>
    </r>
  </si>
  <si>
    <t>Lower &amp; upper B-O resistor</t>
  </si>
  <si>
    <r>
      <t xml:space="preserve">  [ R</t>
    </r>
    <r>
      <rPr>
        <vertAlign val="subscript"/>
        <sz val="11"/>
        <color indexed="8"/>
        <rFont val="Calibri"/>
        <family val="2"/>
      </rPr>
      <t>BO_lower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</si>
  <si>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BO_upper</t>
    </r>
    <r>
      <rPr>
        <sz val="11"/>
        <color theme="1"/>
        <rFont val="Calibri"/>
        <family val="2"/>
      </rPr>
      <t xml:space="preserve"> = R</t>
    </r>
    <r>
      <rPr>
        <vertAlign val="subscript"/>
        <sz val="11"/>
        <color indexed="8"/>
        <rFont val="Calibri"/>
        <family val="2"/>
      </rPr>
      <t>BO_lower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)/V</t>
    </r>
    <r>
      <rPr>
        <vertAlign val="subscript"/>
        <sz val="11"/>
        <color indexed="8"/>
        <rFont val="Calibri"/>
        <family val="2"/>
      </rPr>
      <t>BO</t>
    </r>
  </si>
  <si>
    <r>
      <t xml:space="preserve">  [ R</t>
    </r>
    <r>
      <rPr>
        <vertAlign val="subscript"/>
        <sz val="11"/>
        <color indexed="8"/>
        <rFont val="Calibri"/>
        <family val="2"/>
      </rPr>
      <t>BO_upper</t>
    </r>
    <r>
      <rPr>
        <sz val="11"/>
        <color theme="1"/>
        <rFont val="Calibri"/>
        <family val="2"/>
      </rPr>
      <t xml:space="preserve"> ]</t>
    </r>
  </si>
  <si>
    <t>Compensating the Power Supply</t>
  </si>
  <si>
    <t>Equivalent output current</t>
  </si>
  <si>
    <r>
      <t>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 xml:space="preserve"> * √((D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)/3)</t>
    </r>
  </si>
  <si>
    <t>Secondary peak current</t>
  </si>
  <si>
    <t>Secondary RMS current</t>
  </si>
  <si>
    <t>Primary DC current</t>
  </si>
  <si>
    <t>Primary AC Current</t>
  </si>
  <si>
    <t xml:space="preserve">Output capacitor RMS current </t>
  </si>
  <si>
    <r>
      <t>I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=  √(I</t>
    </r>
    <r>
      <rPr>
        <vertAlign val="subscript"/>
        <sz val="11"/>
        <color indexed="8"/>
        <rFont val="Calibri"/>
        <family val="2"/>
      </rPr>
      <t>sRMS</t>
    </r>
    <r>
      <rPr>
        <sz val="11"/>
        <color theme="1"/>
        <rFont val="Calibri"/>
        <family val="2"/>
      </rPr>
      <t>²-I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²)</t>
    </r>
  </si>
  <si>
    <t>cf figure 14 of NCP1380EVB/D.pdf apps note</t>
  </si>
  <si>
    <t>Time between UVLO = VCC_on &amp; aux. winding  supplies the IC</t>
  </si>
  <si>
    <t>Startup time</t>
  </si>
  <si>
    <r>
      <t xml:space="preserve">  [ t</t>
    </r>
    <r>
      <rPr>
        <vertAlign val="subscript"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 xml:space="preserve"> ]</t>
    </r>
  </si>
  <si>
    <r>
      <t xml:space="preserve">  [ T</t>
    </r>
    <r>
      <rPr>
        <vertAlign val="subscript"/>
        <sz val="11"/>
        <color indexed="8"/>
        <rFont val="Calibri"/>
        <family val="2"/>
      </rPr>
      <t>startup</t>
    </r>
    <r>
      <rPr>
        <sz val="11"/>
        <color theme="1"/>
        <rFont val="Calibri"/>
        <family val="2"/>
      </rPr>
      <t xml:space="preserve"> ]</t>
    </r>
  </si>
  <si>
    <t>Regulation time</t>
  </si>
  <si>
    <r>
      <t>t</t>
    </r>
    <r>
      <rPr>
        <vertAlign val="subscript"/>
        <sz val="11"/>
        <color indexed="8"/>
        <rFont val="Calibri"/>
        <family val="2"/>
      </rPr>
      <t>prop_OPP</t>
    </r>
    <r>
      <rPr>
        <sz val="11"/>
        <color indexed="8"/>
        <rFont val="Calibri"/>
        <family val="2"/>
      </rPr>
      <t xml:space="preserve"> (Internal)</t>
    </r>
  </si>
  <si>
    <r>
      <t>F</t>
    </r>
    <r>
      <rPr>
        <vertAlign val="subscript"/>
        <sz val="11"/>
        <color indexed="8"/>
        <rFont val="Calibri"/>
        <family val="2"/>
      </rPr>
      <t>sw_limit</t>
    </r>
    <r>
      <rPr>
        <sz val="11"/>
        <color theme="1"/>
        <rFont val="Calibri"/>
        <family val="2"/>
      </rPr>
      <t xml:space="preserve"> = (2*P</t>
    </r>
    <r>
      <rPr>
        <vertAlign val="subscript"/>
        <sz val="11"/>
        <color indexed="8"/>
        <rFont val="Calibri"/>
        <family val="2"/>
      </rPr>
      <t>out_limit</t>
    </r>
    <r>
      <rPr>
        <sz val="11"/>
        <color theme="1"/>
        <rFont val="Calibri"/>
        <family val="2"/>
      </rPr>
      <t>)/(Lp*I</t>
    </r>
    <r>
      <rPr>
        <vertAlign val="subscript"/>
        <sz val="11"/>
        <color indexed="8"/>
        <rFont val="Calibri"/>
        <family val="2"/>
      </rPr>
      <t>pk_limit</t>
    </r>
    <r>
      <rPr>
        <sz val="11"/>
        <color theme="1"/>
        <rFont val="Calibri"/>
        <family val="2"/>
      </rPr>
      <t>²*η)</t>
    </r>
  </si>
  <si>
    <t>Startup Resistor Calculations</t>
  </si>
  <si>
    <t>Brown-Out Resistors Calculation</t>
  </si>
  <si>
    <t>Internal CS Prop. delay  [ ns ]</t>
  </si>
  <si>
    <t>Internal IC parameters</t>
  </si>
  <si>
    <r>
      <t>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((I</t>
    </r>
    <r>
      <rPr>
        <vertAlign val="subscript"/>
        <sz val="11"/>
        <color indexed="8"/>
        <rFont val="Calibri"/>
        <family val="2"/>
      </rPr>
      <t>CC3</t>
    </r>
    <r>
      <rPr>
        <sz val="11"/>
        <color theme="1"/>
        <rFont val="Calibri"/>
        <family val="2"/>
      </rPr>
      <t>+Qg*Fsw)*t</t>
    </r>
    <r>
      <rPr>
        <vertAlign val="subscript"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>)/(V</t>
    </r>
    <r>
      <rPr>
        <vertAlign val="subscript"/>
        <sz val="11"/>
        <color indexed="8"/>
        <rFont val="Calibri"/>
        <family val="2"/>
      </rPr>
      <t>CC_on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CC_off</t>
    </r>
    <r>
      <rPr>
        <sz val="11"/>
        <color theme="1"/>
        <rFont val="Calibri"/>
        <family val="2"/>
      </rPr>
      <t>)</t>
    </r>
  </si>
  <si>
    <r>
      <t>R</t>
    </r>
    <r>
      <rPr>
        <vertAlign val="subscript"/>
        <sz val="11"/>
        <color indexed="8"/>
        <rFont val="Calibri"/>
        <family val="2"/>
      </rPr>
      <t>start2</t>
    </r>
    <r>
      <rPr>
        <sz val="11"/>
        <color theme="1"/>
        <rFont val="Calibri"/>
        <family val="2"/>
      </rPr>
      <t xml:space="preserve"> = (Vin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*√2/π)/(ICvcc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+I</t>
    </r>
    <r>
      <rPr>
        <vertAlign val="subscript"/>
        <sz val="11"/>
        <color indexed="8"/>
        <rFont val="Calibri"/>
        <family val="2"/>
      </rPr>
      <t>cc1</t>
    </r>
    <r>
      <rPr>
        <sz val="11"/>
        <color theme="1"/>
        <rFont val="Calibri"/>
        <family val="2"/>
      </rPr>
      <t>)</t>
    </r>
  </si>
  <si>
    <r>
      <t xml:space="preserve">  [ R</t>
    </r>
    <r>
      <rPr>
        <vertAlign val="subscript"/>
        <sz val="11"/>
        <color indexed="8"/>
        <rFont val="Calibri"/>
        <family val="2"/>
      </rPr>
      <t>pullup</t>
    </r>
    <r>
      <rPr>
        <sz val="11"/>
        <color theme="1"/>
        <rFont val="Calibri"/>
        <family val="2"/>
      </rPr>
      <t xml:space="preserve"> ]</t>
    </r>
  </si>
  <si>
    <t>TL431 current bridge [ µA ]</t>
  </si>
  <si>
    <t>FB pullup pin resistor ( datasheet )</t>
  </si>
  <si>
    <r>
      <t xml:space="preserve">  [ I</t>
    </r>
    <r>
      <rPr>
        <vertAlign val="subscript"/>
        <sz val="11"/>
        <color indexed="8"/>
        <rFont val="Calibri"/>
        <family val="2"/>
      </rPr>
      <t>bridge</t>
    </r>
    <r>
      <rPr>
        <sz val="11"/>
        <color theme="1"/>
        <rFont val="Calibri"/>
        <family val="2"/>
      </rPr>
      <t xml:space="preserve"> ]</t>
    </r>
  </si>
  <si>
    <t xml:space="preserve">  [ CTR ]</t>
  </si>
  <si>
    <t>Optocoupler Characteristics</t>
  </si>
  <si>
    <t>Parasitic capacitance [ nF ]</t>
  </si>
  <si>
    <t>Transfer ratio [ CTR ]</t>
  </si>
  <si>
    <r>
      <t xml:space="preserve">  [ C</t>
    </r>
    <r>
      <rPr>
        <vertAlign val="subscript"/>
        <sz val="11"/>
        <color indexed="8"/>
        <rFont val="Calibri"/>
        <family val="2"/>
      </rPr>
      <t>opto</t>
    </r>
    <r>
      <rPr>
        <sz val="11"/>
        <color theme="1"/>
        <rFont val="Calibri"/>
        <family val="2"/>
      </rPr>
      <t xml:space="preserve"> ]</t>
    </r>
  </si>
  <si>
    <t>FB Design characteristics:</t>
  </si>
  <si>
    <t>Cross over frequency [ Hz ]</t>
  </si>
  <si>
    <t>Phase Margin [ ° ]</t>
  </si>
  <si>
    <r>
      <t xml:space="preserve">  [ F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]</t>
    </r>
  </si>
  <si>
    <t xml:space="preserve">  [ PM ]</t>
  </si>
  <si>
    <r>
      <t>R</t>
    </r>
    <r>
      <rPr>
        <vertAlign val="subscript"/>
        <sz val="11"/>
        <color indexed="8"/>
        <rFont val="Calibri"/>
        <family val="2"/>
      </rPr>
      <t>lower</t>
    </r>
    <r>
      <rPr>
        <sz val="11"/>
        <color theme="1"/>
        <rFont val="Calibri"/>
        <family val="2"/>
      </rPr>
      <t>=2.5V/I</t>
    </r>
    <r>
      <rPr>
        <vertAlign val="subscript"/>
        <sz val="11"/>
        <color indexed="8"/>
        <rFont val="Calibri"/>
        <family val="2"/>
      </rPr>
      <t>bridge</t>
    </r>
  </si>
  <si>
    <r>
      <t>Design R</t>
    </r>
    <r>
      <rPr>
        <b/>
        <vertAlign val="subscript"/>
        <sz val="11"/>
        <color indexed="8"/>
        <rFont val="Calibri"/>
        <family val="2"/>
      </rPr>
      <t>lower</t>
    </r>
    <r>
      <rPr>
        <b/>
        <sz val="11"/>
        <color indexed="8"/>
        <rFont val="Calibri"/>
        <family val="2"/>
      </rPr>
      <t xml:space="preserve"> value [ KΩ ]</t>
    </r>
  </si>
  <si>
    <r>
      <t xml:space="preserve">  [ R</t>
    </r>
    <r>
      <rPr>
        <vertAlign val="subscript"/>
        <sz val="11"/>
        <color indexed="8"/>
        <rFont val="Calibri"/>
        <family val="2"/>
      </rPr>
      <t>lower</t>
    </r>
    <r>
      <rPr>
        <sz val="11"/>
        <color theme="1"/>
        <rFont val="Calibri"/>
        <family val="2"/>
      </rPr>
      <t xml:space="preserve"> ] </t>
    </r>
  </si>
  <si>
    <r>
      <t xml:space="preserve">  [ R</t>
    </r>
    <r>
      <rPr>
        <vertAlign val="subscript"/>
        <sz val="11"/>
        <color indexed="8"/>
        <rFont val="Calibri"/>
        <family val="2"/>
      </rPr>
      <t xml:space="preserve">lower </t>
    </r>
    <r>
      <rPr>
        <sz val="11"/>
        <color theme="1"/>
        <rFont val="Calibri"/>
        <family val="2"/>
      </rPr>
      <t xml:space="preserve"> calculated ] </t>
    </r>
  </si>
  <si>
    <r>
      <t>R</t>
    </r>
    <r>
      <rPr>
        <vertAlign val="subscript"/>
        <sz val="11"/>
        <color indexed="8"/>
        <rFont val="Calibri"/>
        <family val="2"/>
      </rPr>
      <t>upper</t>
    </r>
    <r>
      <rPr>
        <sz val="11"/>
        <color theme="1"/>
        <rFont val="Calibri"/>
        <family val="2"/>
      </rPr>
      <t>=(Vout-2.5V)/I</t>
    </r>
    <r>
      <rPr>
        <vertAlign val="subscript"/>
        <sz val="11"/>
        <color indexed="8"/>
        <rFont val="Calibri"/>
        <family val="2"/>
      </rPr>
      <t>bridge</t>
    </r>
  </si>
  <si>
    <r>
      <t xml:space="preserve">  [ R</t>
    </r>
    <r>
      <rPr>
        <vertAlign val="subscript"/>
        <sz val="11"/>
        <color indexed="8"/>
        <rFont val="Calibri"/>
        <family val="2"/>
      </rPr>
      <t xml:space="preserve">upper </t>
    </r>
    <r>
      <rPr>
        <sz val="11"/>
        <color theme="1"/>
        <rFont val="Calibri"/>
        <family val="2"/>
      </rPr>
      <t xml:space="preserve"> calculated ] </t>
    </r>
  </si>
  <si>
    <r>
      <t xml:space="preserve">  [ R</t>
    </r>
    <r>
      <rPr>
        <vertAlign val="subscript"/>
        <sz val="11"/>
        <color indexed="8"/>
        <rFont val="Calibri"/>
        <family val="2"/>
      </rPr>
      <t>upper</t>
    </r>
    <r>
      <rPr>
        <sz val="11"/>
        <color theme="1"/>
        <rFont val="Calibri"/>
        <family val="2"/>
      </rPr>
      <t xml:space="preserve"> ] </t>
    </r>
  </si>
  <si>
    <r>
      <t>R</t>
    </r>
    <r>
      <rPr>
        <vertAlign val="subscript"/>
        <sz val="11"/>
        <color indexed="8"/>
        <rFont val="Calibri"/>
        <family val="2"/>
      </rPr>
      <t>load</t>
    </r>
    <r>
      <rPr>
        <sz val="11"/>
        <color theme="1"/>
        <rFont val="Calibri"/>
        <family val="2"/>
      </rPr>
      <t>=V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out</t>
    </r>
  </si>
  <si>
    <r>
      <t xml:space="preserve">  [ R</t>
    </r>
    <r>
      <rPr>
        <vertAlign val="subscript"/>
        <sz val="11"/>
        <color indexed="8"/>
        <rFont val="Calibri"/>
        <family val="2"/>
      </rPr>
      <t>load</t>
    </r>
    <r>
      <rPr>
        <sz val="11"/>
        <color theme="1"/>
        <rFont val="Calibri"/>
        <family val="2"/>
      </rPr>
      <t xml:space="preserve"> ] </t>
    </r>
  </si>
  <si>
    <r>
      <t xml:space="preserve">  [ R</t>
    </r>
    <r>
      <rPr>
        <vertAlign val="subscript"/>
        <sz val="11"/>
        <color indexed="8"/>
        <rFont val="Calibri"/>
        <family val="2"/>
      </rPr>
      <t>eq</t>
    </r>
    <r>
      <rPr>
        <sz val="11"/>
        <color theme="1"/>
        <rFont val="Calibri"/>
        <family val="2"/>
      </rPr>
      <t xml:space="preserve"> ] </t>
    </r>
  </si>
  <si>
    <t>Req=Rload*(Vout+Nsp*VINmin*√2)/(2Vout+Nsp*VINmin*√2)</t>
  </si>
  <si>
    <r>
      <t>G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=(η*Vin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*√2*Rload)/(8*Rsense*(2Vout+Nsp*Vin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*√2))</t>
    </r>
  </si>
  <si>
    <r>
      <t xml:space="preserve">  [ G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] </t>
    </r>
  </si>
  <si>
    <r>
      <t xml:space="preserve">  [ V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] </t>
    </r>
  </si>
  <si>
    <t xml:space="preserve">  [ PS ] </t>
  </si>
  <si>
    <t>Needed Phase Boost</t>
  </si>
  <si>
    <t>Boost=PM-PS-90°</t>
  </si>
  <si>
    <t xml:space="preserve">  [ Boost ] </t>
  </si>
  <si>
    <t>Pole position</t>
  </si>
  <si>
    <t>Zero position</t>
  </si>
  <si>
    <t>fpc=fc*k</t>
  </si>
  <si>
    <t>K=tan((Boost/2+45)*π/180)</t>
  </si>
  <si>
    <t>fzc=fc/k</t>
  </si>
  <si>
    <t xml:space="preserve">  [ k ]</t>
  </si>
  <si>
    <t xml:space="preserve">  [ Fpc ]</t>
  </si>
  <si>
    <t xml:space="preserve">  [ Fzc ]</t>
  </si>
  <si>
    <t>Czero=1/(2*π*Rupper*fzc)</t>
  </si>
  <si>
    <t>Cpole=1/(2*π*Rpullup*Fpc)</t>
  </si>
  <si>
    <t xml:space="preserve">  [ Czero ]</t>
  </si>
  <si>
    <t xml:space="preserve">  [ Cpole ]</t>
  </si>
  <si>
    <t xml:space="preserve">  [ complex number ]</t>
  </si>
  <si>
    <t>Transfer Function</t>
  </si>
  <si>
    <t>G(f)=(Go*((1+Rcout*Cout*2*π*f*i)*(1-Lp*Vc*2*π*f*i/(8Rsense*Vinmin*√2)))/(((1+Req*Cout*2*π*f*i)*(1+Rpullup*Copto**2*π*f*i))</t>
  </si>
  <si>
    <t>PS=arg(G(fc))</t>
  </si>
  <si>
    <t>GS=20*log(|G(fc)|)</t>
  </si>
  <si>
    <t>Rled=Rpullup*CTR/(10^(-Gs/20))</t>
  </si>
  <si>
    <t xml:space="preserve">  [ Gs ]</t>
  </si>
  <si>
    <t xml:space="preserve">  [ Rled ]</t>
  </si>
  <si>
    <t>Ho=Rpullup*CTR/Rled</t>
  </si>
  <si>
    <t xml:space="preserve">  [ Ho ]</t>
  </si>
  <si>
    <t>G(fc)</t>
  </si>
  <si>
    <t>G(f)</t>
  </si>
  <si>
    <t>20log(|G(F)|)</t>
  </si>
  <si>
    <t>Arg(G(f)</t>
  </si>
  <si>
    <t>f</t>
  </si>
  <si>
    <t>Strart point</t>
  </si>
  <si>
    <t>Stop point</t>
  </si>
  <si>
    <t>Nbr_decade</t>
  </si>
  <si>
    <t>Nbr_point</t>
  </si>
  <si>
    <t>Point_decade</t>
  </si>
  <si>
    <t>Point</t>
  </si>
  <si>
    <t xml:space="preserve">Power Stage </t>
  </si>
  <si>
    <t>Open loop</t>
  </si>
  <si>
    <t>GH(f)</t>
  </si>
  <si>
    <t>20log(|GH(F)|)</t>
  </si>
  <si>
    <t>Arg(GH(f)</t>
  </si>
  <si>
    <t>(Panasonic, FM series, 2*680µF)</t>
  </si>
  <si>
    <r>
      <t>R</t>
    </r>
    <r>
      <rPr>
        <vertAlign val="subscript"/>
        <sz val="11"/>
        <color indexed="8"/>
        <rFont val="Calibri"/>
        <family val="2"/>
      </rPr>
      <t>BO_lower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bulkOFF</t>
    </r>
    <r>
      <rPr>
        <sz val="11"/>
        <color theme="1"/>
        <rFont val="Calibri"/>
        <family val="2"/>
      </rPr>
      <t>)/(I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))</t>
    </r>
  </si>
  <si>
    <r>
      <t>Vc=(2P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*4Rsense*(Vout+Nsp*Vinmin*√2)/(Vout*Vinmin*√2*η)</t>
    </r>
  </si>
  <si>
    <r>
      <t>R</t>
    </r>
    <r>
      <rPr>
        <vertAlign val="subscript"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= 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*√2/(ICvcc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+I</t>
    </r>
    <r>
      <rPr>
        <vertAlign val="subscript"/>
        <sz val="11"/>
        <color indexed="8"/>
        <rFont val="Calibri"/>
        <family val="2"/>
      </rPr>
      <t>cc1</t>
    </r>
    <r>
      <rPr>
        <sz val="11"/>
        <color theme="1"/>
        <rFont val="Calibri"/>
        <family val="2"/>
      </rPr>
      <t>)</t>
    </r>
  </si>
  <si>
    <t>Changes History</t>
  </si>
  <si>
    <t>v0: Initial version</t>
  </si>
  <si>
    <t>v1: Corrected startup resistor calculation (cells G190, G191)</t>
  </si>
  <si>
    <r>
      <rPr>
        <sz val="12"/>
        <color indexed="8"/>
        <rFont val="Calibri"/>
        <family val="2"/>
      </rPr>
      <t>NCP1379 / NCP1380 Worksheet  ver 1</t>
    </r>
    <r>
      <rPr>
        <sz val="9"/>
        <color indexed="8"/>
        <rFont val="Calibri"/>
        <family val="2"/>
      </rPr>
      <t xml:space="preserve">
For any issues, please contact:
Thierry Sutto: thierry.sutto@onsemi.com
Stephanie Cannenterre: s.cannenterre@onsemi.com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</si>
</sst>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4" formatCode="0&quot; Vrms&quot;"/>
    <numFmt numFmtId="175" formatCode="0&quot; Vdc&quot;"/>
    <numFmt numFmtId="176" formatCode="0&quot; Vp-p&quot;"/>
    <numFmt numFmtId="177" formatCode="#,##0.0&quot; Vdc&quot;"/>
    <numFmt numFmtId="178" formatCode="#,##0.0&quot; W&quot;"/>
    <numFmt numFmtId="179" formatCode="0.000&quot; Adc&quot;"/>
    <numFmt numFmtId="180" formatCode="0.00&quot; Vdc&quot;"/>
    <numFmt numFmtId="181" formatCode="0.0&quot; KHz&quot;"/>
    <numFmt numFmtId="182" formatCode="#,##0&quot; Hz&quot;"/>
    <numFmt numFmtId="183" formatCode="0.000&quot; Ω&quot;"/>
    <numFmt numFmtId="184" formatCode="0.0&quot; nC&quot;"/>
    <numFmt numFmtId="185" formatCode="##0.00E+0&quot; C&quot;"/>
    <numFmt numFmtId="186" formatCode="0&quot; pF&quot;"/>
    <numFmt numFmtId="187" formatCode="##0.00E+0&quot; F&quot;"/>
    <numFmt numFmtId="188" formatCode="#,##0.0&quot; ns&quot;"/>
    <numFmt numFmtId="189" formatCode="##0.0E+0&quot; sec&quot;"/>
    <numFmt numFmtId="190" formatCode="0.000"/>
    <numFmt numFmtId="191" formatCode="#,##0&quot; Vdc&quot;"/>
    <numFmt numFmtId="193" formatCode="##0.00E+0&quot; H&quot;"/>
    <numFmt numFmtId="194" formatCode="##0.00E+0&quot; sec&quot;"/>
    <numFmt numFmtId="195" formatCode="##0.00E+0&quot; A&quot;"/>
    <numFmt numFmtId="196" formatCode="0.0%"/>
    <numFmt numFmtId="197" formatCode="#,##0.00&quot; µH&quot;"/>
    <numFmt numFmtId="198" formatCode="#,##0.00&quot; W&quot;"/>
    <numFmt numFmtId="200" formatCode="##0.00E+0&quot; Arms&quot;"/>
    <numFmt numFmtId="201" formatCode="##0.E+0&quot; A&quot;"/>
    <numFmt numFmtId="202" formatCode="0.00&quot; Vp-p&quot;"/>
    <numFmt numFmtId="203" formatCode="0&quot; µF&quot;"/>
    <numFmt numFmtId="204" formatCode="##0.0E+0&quot; F&quot;"/>
    <numFmt numFmtId="205" formatCode="0.00&quot; Arms&quot;"/>
    <numFmt numFmtId="206" formatCode="0.000&quot; V&quot;"/>
    <numFmt numFmtId="207" formatCode="0.00&quot; pF&quot;"/>
    <numFmt numFmtId="209" formatCode="##0.0E+0&quot; Hz&quot;"/>
    <numFmt numFmtId="210" formatCode="0.00&quot; KΩ&quot;"/>
    <numFmt numFmtId="211" formatCode="##0.00E+0&quot; Ω&quot;"/>
    <numFmt numFmtId="212" formatCode="##0.000E+0"/>
    <numFmt numFmtId="213" formatCode="#,##0.00&quot; KΩ&quot;"/>
    <numFmt numFmtId="214" formatCode="#,##0&quot; V&quot;"/>
    <numFmt numFmtId="215" formatCode="0.0&quot; KΩ&quot;"/>
    <numFmt numFmtId="216" formatCode="0.00&quot; nF&quot;"/>
    <numFmt numFmtId="217" formatCode="#,##0.00&quot; µF&quot;"/>
    <numFmt numFmtId="218" formatCode="0.00E+0&quot; Ω&quot;"/>
    <numFmt numFmtId="219" formatCode="##0.00E+0&quot; W&quot;"/>
    <numFmt numFmtId="220" formatCode="0&quot; sec&quot;"/>
    <numFmt numFmtId="222" formatCode="#,##0.0&quot; kΩ&quot;"/>
    <numFmt numFmtId="223" formatCode="##0E+0&quot; A&quot;"/>
    <numFmt numFmtId="225" formatCode="0&quot;°&quot;"/>
    <numFmt numFmtId="233" formatCode="0.00&quot;°&quot;"/>
    <numFmt numFmtId="234" formatCode="#,##0.00&quot; MΩ&quot;"/>
    <numFmt numFmtId="235" formatCode="0.00&quot; MΩ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color indexed="17"/>
      <name val="Calibri"/>
      <family val="2"/>
    </font>
    <font>
      <b/>
      <sz val="11"/>
      <color indexed="44"/>
      <name val="Calibri"/>
      <family val="2"/>
    </font>
    <font>
      <sz val="11"/>
      <color indexed="55"/>
      <name val="Calibri"/>
      <family val="2"/>
    </font>
    <font>
      <vertAlign val="subscript"/>
      <sz val="11"/>
      <color indexed="8"/>
      <name val="Calibri"/>
      <family val="2"/>
    </font>
    <font>
      <sz val="8"/>
      <color indexed="8"/>
      <name val="Calibri"/>
      <family val="2"/>
    </font>
    <font>
      <vertAlign val="subscript"/>
      <sz val="11"/>
      <color indexed="62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vertAlign val="subscript"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2"/>
      <name val="Calibri"/>
      <family val="2"/>
    </font>
    <font>
      <b/>
      <sz val="11"/>
      <color indexed="40"/>
      <name val="Calibri"/>
      <family val="2"/>
    </font>
    <font>
      <b/>
      <i/>
      <sz val="11"/>
      <color indexed="49"/>
      <name val="Calibri"/>
      <family val="2"/>
    </font>
    <font>
      <sz val="8"/>
      <color indexed="55"/>
      <name val="Calibri"/>
      <family val="2"/>
    </font>
    <font>
      <u val="single"/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55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2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u val="single"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11"/>
      <color rgb="FF0000FF"/>
      <name val="Calibri"/>
      <family val="2"/>
    </font>
    <font>
      <b/>
      <sz val="11"/>
      <color rgb="FF00B0F0"/>
      <name val="Calibri"/>
      <family val="2"/>
    </font>
    <font>
      <b/>
      <i/>
      <sz val="11"/>
      <color theme="8" tint="-0.24997000396251678"/>
      <name val="Calibri"/>
      <family val="2"/>
    </font>
    <font>
      <sz val="8"/>
      <color theme="0" tint="-0.3499799966812134"/>
      <name val="Calibri"/>
      <family val="2"/>
    </font>
    <font>
      <u val="single"/>
      <sz val="11"/>
      <color theme="0" tint="-0.1499900072813034"/>
      <name val="Calibri"/>
      <family val="2"/>
    </font>
    <font>
      <vertAlign val="subscript"/>
      <sz val="11"/>
      <color theme="0" tint="-0.1499900072813034"/>
      <name val="Calibri"/>
      <family val="2"/>
    </font>
    <font>
      <b/>
      <sz val="11"/>
      <color theme="0" tint="-0.3499799966812134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 quotePrefix="1">
      <alignment/>
    </xf>
    <xf numFmtId="0" fontId="0" fillId="10" borderId="0" xfId="0" applyFont="1" applyFill="1" applyAlignment="1">
      <alignment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75" fontId="72" fillId="0" borderId="0" xfId="0" applyNumberFormat="1" applyFont="1" applyAlignment="1" quotePrefix="1">
      <alignment horizontal="center"/>
    </xf>
    <xf numFmtId="177" fontId="73" fillId="0" borderId="0" xfId="0" applyNumberFormat="1" applyFont="1" applyAlignment="1">
      <alignment horizontal="center"/>
    </xf>
    <xf numFmtId="178" fontId="73" fillId="0" borderId="0" xfId="0" applyNumberFormat="1" applyFont="1" applyAlignment="1">
      <alignment horizontal="center"/>
    </xf>
    <xf numFmtId="179" fontId="72" fillId="0" borderId="0" xfId="0" applyNumberFormat="1" applyFont="1" applyAlignment="1">
      <alignment horizontal="center"/>
    </xf>
    <xf numFmtId="9" fontId="73" fillId="0" borderId="0" xfId="59" applyFont="1" applyAlignment="1">
      <alignment horizontal="center"/>
    </xf>
    <xf numFmtId="180" fontId="73" fillId="0" borderId="0" xfId="0" applyNumberFormat="1" applyFont="1" applyAlignment="1">
      <alignment horizontal="center"/>
    </xf>
    <xf numFmtId="181" fontId="73" fillId="0" borderId="0" xfId="0" applyNumberFormat="1" applyFont="1" applyAlignment="1">
      <alignment horizontal="center"/>
    </xf>
    <xf numFmtId="182" fontId="7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5" fontId="73" fillId="0" borderId="0" xfId="0" applyNumberFormat="1" applyFont="1" applyAlignment="1">
      <alignment horizontal="center"/>
    </xf>
    <xf numFmtId="183" fontId="73" fillId="0" borderId="0" xfId="0" applyNumberFormat="1" applyFont="1" applyAlignment="1">
      <alignment horizontal="center"/>
    </xf>
    <xf numFmtId="184" fontId="73" fillId="0" borderId="0" xfId="0" applyNumberFormat="1" applyFont="1" applyAlignment="1">
      <alignment horizontal="center"/>
    </xf>
    <xf numFmtId="185" fontId="72" fillId="0" borderId="0" xfId="0" applyNumberFormat="1" applyFont="1" applyAlignment="1">
      <alignment horizontal="center"/>
    </xf>
    <xf numFmtId="186" fontId="73" fillId="0" borderId="0" xfId="0" applyNumberFormat="1" applyFont="1" applyAlignment="1">
      <alignment horizontal="center"/>
    </xf>
    <xf numFmtId="187" fontId="72" fillId="0" borderId="0" xfId="0" applyNumberFormat="1" applyFont="1" applyAlignment="1">
      <alignment horizontal="center"/>
    </xf>
    <xf numFmtId="187" fontId="72" fillId="0" borderId="0" xfId="0" applyNumberFormat="1" applyFont="1" applyAlignment="1">
      <alignment/>
    </xf>
    <xf numFmtId="175" fontId="72" fillId="0" borderId="0" xfId="59" applyNumberFormat="1" applyFont="1" applyAlignment="1">
      <alignment horizontal="center"/>
    </xf>
    <xf numFmtId="188" fontId="73" fillId="0" borderId="0" xfId="0" applyNumberFormat="1" applyFont="1" applyAlignment="1">
      <alignment horizontal="center"/>
    </xf>
    <xf numFmtId="189" fontId="72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180" fontId="0" fillId="0" borderId="0" xfId="0" applyNumberFormat="1" applyAlignment="1">
      <alignment horizontal="center"/>
    </xf>
    <xf numFmtId="10" fontId="73" fillId="0" borderId="0" xfId="59" applyNumberFormat="1" applyFont="1" applyAlignment="1">
      <alignment horizontal="center"/>
    </xf>
    <xf numFmtId="0" fontId="7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67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190" fontId="72" fillId="32" borderId="0" xfId="0" applyNumberFormat="1" applyFont="1" applyFill="1" applyAlignment="1">
      <alignment horizontal="center"/>
    </xf>
    <xf numFmtId="190" fontId="73" fillId="0" borderId="0" xfId="0" applyNumberFormat="1" applyFont="1" applyAlignment="1">
      <alignment horizontal="center"/>
    </xf>
    <xf numFmtId="191" fontId="76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95" fontId="72" fillId="0" borderId="0" xfId="0" applyNumberFormat="1" applyFont="1" applyAlignment="1">
      <alignment horizontal="center"/>
    </xf>
    <xf numFmtId="193" fontId="72" fillId="0" borderId="0" xfId="0" applyNumberFormat="1" applyFont="1" applyFill="1" applyAlignment="1">
      <alignment horizontal="center"/>
    </xf>
    <xf numFmtId="196" fontId="73" fillId="0" borderId="0" xfId="59" applyNumberFormat="1" applyFont="1" applyAlignment="1">
      <alignment horizontal="center"/>
    </xf>
    <xf numFmtId="0" fontId="67" fillId="0" borderId="0" xfId="0" applyFont="1" applyAlignment="1">
      <alignment/>
    </xf>
    <xf numFmtId="197" fontId="73" fillId="0" borderId="0" xfId="0" applyNumberFormat="1" applyFont="1" applyAlignment="1">
      <alignment horizontal="center"/>
    </xf>
    <xf numFmtId="193" fontId="72" fillId="0" borderId="0" xfId="0" applyNumberFormat="1" applyFont="1" applyAlignment="1">
      <alignment horizontal="center"/>
    </xf>
    <xf numFmtId="183" fontId="77" fillId="32" borderId="0" xfId="0" applyNumberFormat="1" applyFont="1" applyFill="1" applyAlignment="1">
      <alignment horizontal="center"/>
    </xf>
    <xf numFmtId="198" fontId="76" fillId="3" borderId="0" xfId="0" applyNumberFormat="1" applyFont="1" applyFill="1" applyAlignment="1">
      <alignment horizontal="center"/>
    </xf>
    <xf numFmtId="194" fontId="77" fillId="32" borderId="0" xfId="0" applyNumberFormat="1" applyFont="1" applyFill="1" applyAlignment="1">
      <alignment horizontal="center"/>
    </xf>
    <xf numFmtId="196" fontId="77" fillId="32" borderId="0" xfId="59" applyNumberFormat="1" applyFont="1" applyFill="1" applyAlignment="1">
      <alignment horizontal="center"/>
    </xf>
    <xf numFmtId="195" fontId="76" fillId="3" borderId="0" xfId="0" applyNumberFormat="1" applyFont="1" applyFill="1" applyAlignment="1">
      <alignment horizontal="center"/>
    </xf>
    <xf numFmtId="200" fontId="76" fillId="3" borderId="0" xfId="0" applyNumberFormat="1" applyFont="1" applyFill="1" applyAlignment="1">
      <alignment/>
    </xf>
    <xf numFmtId="201" fontId="76" fillId="3" borderId="0" xfId="0" applyNumberFormat="1" applyFont="1" applyFill="1" applyAlignment="1">
      <alignment horizontal="center"/>
    </xf>
    <xf numFmtId="175" fontId="72" fillId="0" borderId="0" xfId="0" applyNumberFormat="1" applyFont="1" applyAlignment="1">
      <alignment horizontal="center"/>
    </xf>
    <xf numFmtId="190" fontId="77" fillId="3" borderId="0" xfId="0" applyNumberFormat="1" applyFont="1" applyFill="1" applyAlignment="1">
      <alignment horizontal="center"/>
    </xf>
    <xf numFmtId="202" fontId="73" fillId="0" borderId="0" xfId="0" applyNumberFormat="1" applyFont="1" applyAlignment="1">
      <alignment horizontal="center"/>
    </xf>
    <xf numFmtId="183" fontId="76" fillId="3" borderId="0" xfId="0" applyNumberFormat="1" applyFont="1" applyFill="1" applyAlignment="1">
      <alignment horizontal="center"/>
    </xf>
    <xf numFmtId="200" fontId="76" fillId="3" borderId="0" xfId="0" applyNumberFormat="1" applyFont="1" applyFill="1" applyAlignment="1">
      <alignment horizontal="center"/>
    </xf>
    <xf numFmtId="203" fontId="73" fillId="0" borderId="0" xfId="0" applyNumberFormat="1" applyFont="1" applyAlignment="1">
      <alignment horizontal="center"/>
    </xf>
    <xf numFmtId="204" fontId="72" fillId="0" borderId="0" xfId="0" applyNumberFormat="1" applyFont="1" applyAlignment="1">
      <alignment horizontal="center"/>
    </xf>
    <xf numFmtId="205" fontId="73" fillId="0" borderId="0" xfId="0" applyNumberFormat="1" applyFont="1" applyAlignment="1">
      <alignment horizontal="center"/>
    </xf>
    <xf numFmtId="195" fontId="0" fillId="0" borderId="0" xfId="0" applyNumberFormat="1" applyAlignment="1">
      <alignment horizontal="center"/>
    </xf>
    <xf numFmtId="194" fontId="72" fillId="0" borderId="0" xfId="0" applyNumberFormat="1" applyFont="1" applyAlignment="1">
      <alignment horizontal="center"/>
    </xf>
    <xf numFmtId="206" fontId="72" fillId="0" borderId="0" xfId="0" applyNumberFormat="1" applyFont="1" applyAlignment="1">
      <alignment horizontal="center"/>
    </xf>
    <xf numFmtId="207" fontId="7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207" fontId="73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94" fontId="78" fillId="0" borderId="0" xfId="0" applyNumberFormat="1" applyFont="1" applyAlignment="1">
      <alignment horizontal="center"/>
    </xf>
    <xf numFmtId="195" fontId="0" fillId="3" borderId="0" xfId="0" applyNumberFormat="1" applyFill="1" applyAlignment="1">
      <alignment horizontal="center"/>
    </xf>
    <xf numFmtId="189" fontId="0" fillId="3" borderId="0" xfId="0" applyNumberFormat="1" applyFill="1" applyAlignment="1">
      <alignment horizontal="center"/>
    </xf>
    <xf numFmtId="198" fontId="0" fillId="3" borderId="0" xfId="0" applyNumberFormat="1" applyFill="1" applyAlignment="1">
      <alignment horizontal="center"/>
    </xf>
    <xf numFmtId="0" fontId="67" fillId="0" borderId="0" xfId="0" applyFont="1" applyAlignment="1">
      <alignment horizontal="right" vertical="center"/>
    </xf>
    <xf numFmtId="178" fontId="73" fillId="0" borderId="0" xfId="0" applyNumberFormat="1" applyFont="1" applyAlignment="1">
      <alignment horizontal="center" vertical="center"/>
    </xf>
    <xf numFmtId="48" fontId="0" fillId="0" borderId="0" xfId="0" applyNumberFormat="1" applyAlignment="1">
      <alignment horizontal="center"/>
    </xf>
    <xf numFmtId="209" fontId="76" fillId="3" borderId="0" xfId="0" applyNumberFormat="1" applyFont="1" applyFill="1" applyAlignment="1">
      <alignment horizontal="center"/>
    </xf>
    <xf numFmtId="10" fontId="76" fillId="3" borderId="0" xfId="59" applyNumberFormat="1" applyFont="1" applyFill="1" applyAlignment="1">
      <alignment horizontal="center"/>
    </xf>
    <xf numFmtId="190" fontId="0" fillId="3" borderId="0" xfId="0" applyNumberFormat="1" applyFill="1" applyAlignment="1">
      <alignment horizontal="center"/>
    </xf>
    <xf numFmtId="210" fontId="73" fillId="0" borderId="0" xfId="0" applyNumberFormat="1" applyFont="1" applyAlignment="1">
      <alignment horizontal="center"/>
    </xf>
    <xf numFmtId="211" fontId="72" fillId="0" borderId="0" xfId="0" applyNumberFormat="1" applyFont="1" applyAlignment="1">
      <alignment horizontal="center"/>
    </xf>
    <xf numFmtId="212" fontId="72" fillId="0" borderId="0" xfId="0" applyNumberFormat="1" applyFont="1" applyAlignment="1">
      <alignment horizontal="center"/>
    </xf>
    <xf numFmtId="211" fontId="72" fillId="3" borderId="0" xfId="0" applyNumberFormat="1" applyFont="1" applyFill="1" applyAlignment="1">
      <alignment horizontal="center"/>
    </xf>
    <xf numFmtId="213" fontId="73" fillId="0" borderId="0" xfId="0" applyNumberFormat="1" applyFont="1" applyAlignment="1">
      <alignment horizontal="center"/>
    </xf>
    <xf numFmtId="214" fontId="76" fillId="3" borderId="0" xfId="0" applyNumberFormat="1" applyFont="1" applyFill="1" applyAlignment="1">
      <alignment horizontal="center"/>
    </xf>
    <xf numFmtId="10" fontId="72" fillId="0" borderId="0" xfId="59" applyNumberFormat="1" applyFont="1" applyAlignment="1">
      <alignment horizontal="center"/>
    </xf>
    <xf numFmtId="211" fontId="76" fillId="3" borderId="0" xfId="0" applyNumberFormat="1" applyFont="1" applyFill="1" applyAlignment="1">
      <alignment horizontal="center"/>
    </xf>
    <xf numFmtId="215" fontId="73" fillId="0" borderId="0" xfId="0" applyNumberFormat="1" applyFont="1" applyAlignment="1">
      <alignment horizontal="center"/>
    </xf>
    <xf numFmtId="216" fontId="73" fillId="0" borderId="0" xfId="0" applyNumberFormat="1" applyFont="1" applyAlignment="1">
      <alignment horizontal="center"/>
    </xf>
    <xf numFmtId="187" fontId="72" fillId="0" borderId="0" xfId="0" applyNumberFormat="1" applyFont="1" applyFill="1" applyAlignment="1">
      <alignment horizontal="center"/>
    </xf>
    <xf numFmtId="214" fontId="72" fillId="3" borderId="0" xfId="0" applyNumberFormat="1" applyFont="1" applyFill="1" applyAlignment="1">
      <alignment horizontal="center"/>
    </xf>
    <xf numFmtId="0" fontId="79" fillId="0" borderId="0" xfId="0" applyFont="1" applyAlignment="1">
      <alignment horizontal="center"/>
    </xf>
    <xf numFmtId="0" fontId="0" fillId="10" borderId="0" xfId="0" applyFill="1" applyAlignment="1">
      <alignment/>
    </xf>
    <xf numFmtId="0" fontId="80" fillId="0" borderId="0" xfId="0" applyFont="1" applyAlignment="1">
      <alignment horizontal="center"/>
    </xf>
    <xf numFmtId="0" fontId="71" fillId="0" borderId="0" xfId="0" applyFont="1" applyAlignment="1">
      <alignment/>
    </xf>
    <xf numFmtId="195" fontId="71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180" fontId="72" fillId="0" borderId="0" xfId="0" applyNumberFormat="1" applyFont="1" applyAlignment="1">
      <alignment horizontal="center"/>
    </xf>
    <xf numFmtId="177" fontId="71" fillId="0" borderId="0" xfId="0" applyNumberFormat="1" applyFont="1" applyAlignment="1">
      <alignment horizontal="center"/>
    </xf>
    <xf numFmtId="180" fontId="71" fillId="0" borderId="0" xfId="0" applyNumberFormat="1" applyFont="1" applyAlignment="1">
      <alignment horizontal="center"/>
    </xf>
    <xf numFmtId="217" fontId="72" fillId="0" borderId="0" xfId="0" applyNumberFormat="1" applyFont="1" applyAlignment="1">
      <alignment horizontal="center"/>
    </xf>
    <xf numFmtId="217" fontId="73" fillId="0" borderId="0" xfId="0" applyNumberFormat="1" applyFont="1" applyAlignment="1">
      <alignment horizontal="center"/>
    </xf>
    <xf numFmtId="218" fontId="72" fillId="0" borderId="0" xfId="0" applyNumberFormat="1" applyFont="1" applyAlignment="1">
      <alignment horizontal="center"/>
    </xf>
    <xf numFmtId="0" fontId="67" fillId="0" borderId="0" xfId="0" applyFont="1" applyAlignment="1" quotePrefix="1">
      <alignment horizontal="right"/>
    </xf>
    <xf numFmtId="218" fontId="72" fillId="0" borderId="0" xfId="0" applyNumberFormat="1" applyFont="1" applyAlignment="1" quotePrefix="1">
      <alignment horizontal="center"/>
    </xf>
    <xf numFmtId="219" fontId="76" fillId="3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219" fontId="76" fillId="3" borderId="0" xfId="0" applyNumberFormat="1" applyFont="1" applyFill="1" applyAlignment="1" quotePrefix="1">
      <alignment horizontal="center"/>
    </xf>
    <xf numFmtId="174" fontId="72" fillId="0" borderId="0" xfId="0" applyNumberFormat="1" applyFont="1" applyAlignment="1" quotePrefix="1">
      <alignment horizontal="center"/>
    </xf>
    <xf numFmtId="0" fontId="68" fillId="0" borderId="0" xfId="0" applyFont="1" applyAlignment="1">
      <alignment/>
    </xf>
    <xf numFmtId="200" fontId="0" fillId="0" borderId="0" xfId="0" applyNumberFormat="1" applyAlignment="1">
      <alignment/>
    </xf>
    <xf numFmtId="194" fontId="73" fillId="0" borderId="0" xfId="0" applyNumberFormat="1" applyFont="1" applyAlignment="1">
      <alignment horizontal="center"/>
    </xf>
    <xf numFmtId="220" fontId="73" fillId="0" borderId="0" xfId="0" applyNumberFormat="1" applyFont="1" applyAlignment="1">
      <alignment horizontal="center"/>
    </xf>
    <xf numFmtId="222" fontId="82" fillId="0" borderId="0" xfId="59" applyNumberFormat="1" applyFont="1" applyAlignment="1">
      <alignment horizontal="center"/>
    </xf>
    <xf numFmtId="211" fontId="82" fillId="0" borderId="0" xfId="0" applyNumberFormat="1" applyFont="1" applyAlignment="1">
      <alignment horizontal="center"/>
    </xf>
    <xf numFmtId="223" fontId="73" fillId="0" borderId="0" xfId="0" applyNumberFormat="1" applyFont="1" applyAlignment="1">
      <alignment horizontal="center"/>
    </xf>
    <xf numFmtId="9" fontId="73" fillId="0" borderId="0" xfId="0" applyNumberFormat="1" applyFont="1" applyAlignment="1">
      <alignment horizontal="center"/>
    </xf>
    <xf numFmtId="182" fontId="73" fillId="0" borderId="0" xfId="0" applyNumberFormat="1" applyFont="1" applyAlignment="1">
      <alignment horizontal="center"/>
    </xf>
    <xf numFmtId="225" fontId="73" fillId="0" borderId="0" xfId="0" applyNumberFormat="1" applyFont="1" applyAlignment="1">
      <alignment horizontal="center"/>
    </xf>
    <xf numFmtId="222" fontId="73" fillId="0" borderId="0" xfId="0" applyNumberFormat="1" applyFont="1" applyAlignment="1">
      <alignment horizontal="center"/>
    </xf>
    <xf numFmtId="183" fontId="72" fillId="0" borderId="0" xfId="0" applyNumberFormat="1" applyFont="1" applyAlignment="1">
      <alignment horizontal="center"/>
    </xf>
    <xf numFmtId="190" fontId="72" fillId="0" borderId="0" xfId="0" applyNumberFormat="1" applyFont="1" applyAlignment="1">
      <alignment horizontal="center"/>
    </xf>
    <xf numFmtId="2" fontId="72" fillId="0" borderId="0" xfId="0" applyNumberFormat="1" applyFont="1" applyAlignment="1">
      <alignment horizontal="center"/>
    </xf>
    <xf numFmtId="233" fontId="72" fillId="0" borderId="0" xfId="0" applyNumberFormat="1" applyFont="1" applyAlignment="1">
      <alignment horizontal="center"/>
    </xf>
    <xf numFmtId="209" fontId="72" fillId="0" borderId="0" xfId="0" applyNumberFormat="1" applyFont="1" applyAlignment="1">
      <alignment horizontal="center"/>
    </xf>
    <xf numFmtId="0" fontId="83" fillId="0" borderId="0" xfId="0" applyFont="1" applyAlignment="1">
      <alignment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67" fillId="0" borderId="12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85" fillId="0" borderId="0" xfId="0" applyFont="1" applyAlignment="1">
      <alignment horizontal="center"/>
    </xf>
    <xf numFmtId="0" fontId="86" fillId="0" borderId="13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4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b/>
        <i val="0"/>
        <color rgb="FFFF0000"/>
      </font>
    </dxf>
    <dxf>
      <font>
        <b val="0"/>
        <i val="0"/>
        <strike val="0"/>
        <color theme="1" tint="0.49998000264167786"/>
      </font>
      <fill>
        <patternFill patternType="none">
          <bgColor indexed="65"/>
        </patternFill>
      </fill>
    </dxf>
    <dxf/>
    <dxf/>
    <dxf>
      <font>
        <b/>
        <i val="0"/>
        <color rgb="FF00B050"/>
      </font>
    </dxf>
    <dxf>
      <font>
        <color theme="0" tint="-0.3499799966812134"/>
      </font>
    </dxf>
    <dxf>
      <font>
        <b/>
        <i val="0"/>
        <color rgb="FF00B050"/>
      </font>
    </dxf>
    <dxf>
      <font>
        <color theme="0" tint="-0.3499799966812134"/>
      </font>
    </dxf>
    <dxf>
      <font>
        <b/>
        <i val="0"/>
        <strike val="0"/>
        <color rgb="FF00B050"/>
      </font>
    </dxf>
    <dxf>
      <font>
        <color theme="0" tint="-0.3499799966812134"/>
      </font>
    </dxf>
    <dxf>
      <font>
        <color theme="0" tint="-0.3499799966812134"/>
      </font>
      <border/>
    </dxf>
    <dxf>
      <font>
        <b/>
        <i val="0"/>
        <strike val="0"/>
        <color rgb="FF00B050"/>
      </font>
      <border/>
    </dxf>
    <dxf>
      <numFmt numFmtId="234" formatCode="#,##0.00&quot; MΩ&quot;"/>
      <border/>
    </dxf>
    <dxf>
      <numFmt numFmtId="235" formatCode="0.00&quot; MΩ&quot;"/>
      <border/>
    </dxf>
    <dxf>
      <font>
        <b val="0"/>
        <i val="0"/>
        <strike val="0"/>
        <color theme="1" tint="0.49998000264167786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MOSFET Conduction and Clamping Resistor Losses for the Estimated Leakage Inductance Ratios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695"/>
          <c:w val="0.69225"/>
          <c:h val="0.7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'Calculations sheet'!$E$4</c:f>
              <c:strCache>
                <c:ptCount val="1"/>
                <c:pt idx="0">
                  <c:v>Pcond(kc)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sheet'!$E$5:$E$61</c:f>
              <c:numCache>
                <c:ptCount val="57"/>
                <c:pt idx="0">
                  <c:v>0.998595403610106</c:v>
                </c:pt>
                <c:pt idx="1">
                  <c:v>1.0189771252799007</c:v>
                </c:pt>
                <c:pt idx="2">
                  <c:v>1.0393588469496955</c:v>
                </c:pt>
                <c:pt idx="3">
                  <c:v>1.05974056861949</c:v>
                </c:pt>
                <c:pt idx="4">
                  <c:v>1.0801222902892846</c:v>
                </c:pt>
                <c:pt idx="5">
                  <c:v>1.1005040119590792</c:v>
                </c:pt>
                <c:pt idx="6">
                  <c:v>1.120885733628874</c:v>
                </c:pt>
                <c:pt idx="7">
                  <c:v>1.1412674552986686</c:v>
                </c:pt>
                <c:pt idx="8">
                  <c:v>1.1616491769684634</c:v>
                </c:pt>
                <c:pt idx="9">
                  <c:v>1.182030898638258</c:v>
                </c:pt>
                <c:pt idx="10">
                  <c:v>1.2024126203080525</c:v>
                </c:pt>
                <c:pt idx="11">
                  <c:v>1.2227943419778473</c:v>
                </c:pt>
                <c:pt idx="12">
                  <c:v>1.2431760636476419</c:v>
                </c:pt>
                <c:pt idx="13">
                  <c:v>1.2635577853174367</c:v>
                </c:pt>
                <c:pt idx="14">
                  <c:v>1.2839395069872312</c:v>
                </c:pt>
                <c:pt idx="15">
                  <c:v>1.304321228657026</c:v>
                </c:pt>
                <c:pt idx="16">
                  <c:v>1.3247029503268206</c:v>
                </c:pt>
                <c:pt idx="17">
                  <c:v>1.3450846719966154</c:v>
                </c:pt>
                <c:pt idx="18">
                  <c:v>1.36546639366641</c:v>
                </c:pt>
                <c:pt idx="19">
                  <c:v>1.3858481153362048</c:v>
                </c:pt>
                <c:pt idx="20">
                  <c:v>1.4062298370059994</c:v>
                </c:pt>
                <c:pt idx="21">
                  <c:v>1.4266115586757941</c:v>
                </c:pt>
                <c:pt idx="22">
                  <c:v>1.4469932803455887</c:v>
                </c:pt>
                <c:pt idx="23">
                  <c:v>1.4673750020153833</c:v>
                </c:pt>
                <c:pt idx="24">
                  <c:v>1.487756723685178</c:v>
                </c:pt>
                <c:pt idx="25">
                  <c:v>1.5081384453549727</c:v>
                </c:pt>
                <c:pt idx="26">
                  <c:v>1.5285201670247675</c:v>
                </c:pt>
                <c:pt idx="27">
                  <c:v>1.5489018886945618</c:v>
                </c:pt>
                <c:pt idx="28">
                  <c:v>1.5692836103643568</c:v>
                </c:pt>
                <c:pt idx="29">
                  <c:v>1.5896653320341512</c:v>
                </c:pt>
                <c:pt idx="30">
                  <c:v>1.6100470537039462</c:v>
                </c:pt>
                <c:pt idx="31">
                  <c:v>1.6304287753737405</c:v>
                </c:pt>
                <c:pt idx="32">
                  <c:v>1.650810497043535</c:v>
                </c:pt>
                <c:pt idx="33">
                  <c:v>1.6711922187133297</c:v>
                </c:pt>
                <c:pt idx="34">
                  <c:v>1.6915739403831245</c:v>
                </c:pt>
                <c:pt idx="35">
                  <c:v>1.7119556620529195</c:v>
                </c:pt>
                <c:pt idx="36">
                  <c:v>1.7323373837227138</c:v>
                </c:pt>
                <c:pt idx="37">
                  <c:v>1.7527191053925084</c:v>
                </c:pt>
                <c:pt idx="38">
                  <c:v>1.7731008270623032</c:v>
                </c:pt>
                <c:pt idx="39">
                  <c:v>1.7934825487320978</c:v>
                </c:pt>
                <c:pt idx="40">
                  <c:v>1.8138642704018926</c:v>
                </c:pt>
                <c:pt idx="41">
                  <c:v>1.8342459920716871</c:v>
                </c:pt>
                <c:pt idx="42">
                  <c:v>1.854627713741482</c:v>
                </c:pt>
                <c:pt idx="43">
                  <c:v>1.8750094354112765</c:v>
                </c:pt>
                <c:pt idx="44">
                  <c:v>1.8953911570810713</c:v>
                </c:pt>
                <c:pt idx="45">
                  <c:v>1.9157728787508659</c:v>
                </c:pt>
                <c:pt idx="46">
                  <c:v>1.9361546004206605</c:v>
                </c:pt>
                <c:pt idx="47">
                  <c:v>1.9565363220904552</c:v>
                </c:pt>
                <c:pt idx="48">
                  <c:v>1.9769180437602498</c:v>
                </c:pt>
                <c:pt idx="49">
                  <c:v>1.9972997654300446</c:v>
                </c:pt>
                <c:pt idx="50">
                  <c:v>2.017681487099839</c:v>
                </c:pt>
                <c:pt idx="51">
                  <c:v>2.0380632087696338</c:v>
                </c:pt>
                <c:pt idx="52">
                  <c:v>2.0584449304394288</c:v>
                </c:pt>
                <c:pt idx="53">
                  <c:v>2.0788266521092233</c:v>
                </c:pt>
                <c:pt idx="54">
                  <c:v>2.099208373779018</c:v>
                </c:pt>
                <c:pt idx="55">
                  <c:v>2.1195900954488125</c:v>
                </c:pt>
                <c:pt idx="56">
                  <c:v>2.139971817118607</c:v>
                </c:pt>
              </c:numCache>
            </c:numRef>
          </c:yVal>
          <c:smooth val="1"/>
        </c:ser>
        <c:ser>
          <c:idx val="1"/>
          <c:order val="1"/>
          <c:tx>
            <c:v>PRclp1</c:v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sheet'!$B$5:$B$61</c:f>
              <c:numCache>
                <c:ptCount val="57"/>
                <c:pt idx="0">
                  <c:v>2.11764705882353</c:v>
                </c:pt>
                <c:pt idx="1">
                  <c:v>1.7647058823529413</c:v>
                </c:pt>
                <c:pt idx="2">
                  <c:v>1.5294117647058822</c:v>
                </c:pt>
                <c:pt idx="3">
                  <c:v>1.3613445378151259</c:v>
                </c:pt>
                <c:pt idx="4">
                  <c:v>1.235294117647059</c:v>
                </c:pt>
                <c:pt idx="5">
                  <c:v>1.1372549019607845</c:v>
                </c:pt>
                <c:pt idx="6">
                  <c:v>1.0588235294117647</c:v>
                </c:pt>
                <c:pt idx="7">
                  <c:v>0.9946524064171123</c:v>
                </c:pt>
                <c:pt idx="8">
                  <c:v>0.9411764705882353</c:v>
                </c:pt>
                <c:pt idx="9">
                  <c:v>0.8959276018099549</c:v>
                </c:pt>
                <c:pt idx="10">
                  <c:v>0.8571428571428573</c:v>
                </c:pt>
                <c:pt idx="11">
                  <c:v>0.823529411764706</c:v>
                </c:pt>
                <c:pt idx="12">
                  <c:v>0.7941176470588236</c:v>
                </c:pt>
                <c:pt idx="13">
                  <c:v>0.7681660899653979</c:v>
                </c:pt>
                <c:pt idx="14">
                  <c:v>0.7450980392156863</c:v>
                </c:pt>
                <c:pt idx="15">
                  <c:v>0.7244582043343655</c:v>
                </c:pt>
                <c:pt idx="16">
                  <c:v>0.7058823529411765</c:v>
                </c:pt>
                <c:pt idx="17">
                  <c:v>0.689075630252101</c:v>
                </c:pt>
                <c:pt idx="18">
                  <c:v>0.6737967914438503</c:v>
                </c:pt>
                <c:pt idx="19">
                  <c:v>0.659846547314578</c:v>
                </c:pt>
                <c:pt idx="20">
                  <c:v>0.6470588235294118</c:v>
                </c:pt>
                <c:pt idx="21">
                  <c:v>0.6352941176470589</c:v>
                </c:pt>
                <c:pt idx="22">
                  <c:v>0.6244343891402716</c:v>
                </c:pt>
                <c:pt idx="23">
                  <c:v>0.6143790849673203</c:v>
                </c:pt>
                <c:pt idx="24">
                  <c:v>0.6050420168067228</c:v>
                </c:pt>
                <c:pt idx="25">
                  <c:v>0.5963488843813387</c:v>
                </c:pt>
                <c:pt idx="26">
                  <c:v>0.5882352941176471</c:v>
                </c:pt>
                <c:pt idx="27">
                  <c:v>0.5806451612903226</c:v>
                </c:pt>
                <c:pt idx="28">
                  <c:v>0.573529411764706</c:v>
                </c:pt>
                <c:pt idx="29">
                  <c:v>0.5668449197860963</c:v>
                </c:pt>
                <c:pt idx="30">
                  <c:v>0.5605536332179931</c:v>
                </c:pt>
                <c:pt idx="31">
                  <c:v>0.5546218487394958</c:v>
                </c:pt>
                <c:pt idx="32">
                  <c:v>0.5490196078431373</c:v>
                </c:pt>
                <c:pt idx="33">
                  <c:v>0.5437201907790143</c:v>
                </c:pt>
                <c:pt idx="34">
                  <c:v>0.5386996904024769</c:v>
                </c:pt>
                <c:pt idx="35">
                  <c:v>0.5339366515837104</c:v>
                </c:pt>
                <c:pt idx="36">
                  <c:v>0.5294117647058824</c:v>
                </c:pt>
                <c:pt idx="37">
                  <c:v>0.5251076040172167</c:v>
                </c:pt>
                <c:pt idx="38">
                  <c:v>0.5210084033613446</c:v>
                </c:pt>
                <c:pt idx="39">
                  <c:v>0.5170998632010944</c:v>
                </c:pt>
                <c:pt idx="40">
                  <c:v>0.5133689839572193</c:v>
                </c:pt>
                <c:pt idx="41">
                  <c:v>0.5098039215686275</c:v>
                </c:pt>
                <c:pt idx="42">
                  <c:v>0.5063938618925832</c:v>
                </c:pt>
                <c:pt idx="43">
                  <c:v>0.5031289111389237</c:v>
                </c:pt>
                <c:pt idx="44">
                  <c:v>0.5000000000000001</c:v>
                </c:pt>
                <c:pt idx="45">
                  <c:v>0.49699879951980797</c:v>
                </c:pt>
                <c:pt idx="46">
                  <c:v>0.49411764705882355</c:v>
                </c:pt>
                <c:pt idx="47">
                  <c:v>0.49134948096885817</c:v>
                </c:pt>
                <c:pt idx="48">
                  <c:v>0.4886877828054299</c:v>
                </c:pt>
                <c:pt idx="49">
                  <c:v>0.48612652608213097</c:v>
                </c:pt>
                <c:pt idx="50">
                  <c:v>0.48366013071895425</c:v>
                </c:pt>
                <c:pt idx="51">
                  <c:v>0.48128342245989303</c:v>
                </c:pt>
                <c:pt idx="52">
                  <c:v>0.47899159663865554</c:v>
                </c:pt>
                <c:pt idx="53">
                  <c:v>0.47678018575851394</c:v>
                </c:pt>
                <c:pt idx="54">
                  <c:v>0.4746450304259635</c:v>
                </c:pt>
                <c:pt idx="55">
                  <c:v>0.4725822532402792</c:v>
                </c:pt>
                <c:pt idx="56">
                  <c:v>0.47058823529411764</c:v>
                </c:pt>
              </c:numCache>
            </c:numRef>
          </c:yVal>
          <c:smooth val="1"/>
        </c:ser>
        <c:ser>
          <c:idx val="2"/>
          <c:order val="2"/>
          <c:tx>
            <c:v>PRclp2</c:v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sheet'!$C$5:$C$61</c:f>
              <c:numCache>
                <c:ptCount val="57"/>
                <c:pt idx="0">
                  <c:v>3.3882352941176483</c:v>
                </c:pt>
                <c:pt idx="1">
                  <c:v>2.8235294117647065</c:v>
                </c:pt>
                <c:pt idx="2">
                  <c:v>2.447058823529412</c:v>
                </c:pt>
                <c:pt idx="3">
                  <c:v>2.1781512605042015</c:v>
                </c:pt>
                <c:pt idx="4">
                  <c:v>1.9764705882352946</c:v>
                </c:pt>
                <c:pt idx="5">
                  <c:v>1.8196078431372553</c:v>
                </c:pt>
                <c:pt idx="6">
                  <c:v>1.6941176470588237</c:v>
                </c:pt>
                <c:pt idx="7">
                  <c:v>1.5914438502673798</c:v>
                </c:pt>
                <c:pt idx="8">
                  <c:v>1.5058823529411767</c:v>
                </c:pt>
                <c:pt idx="9">
                  <c:v>1.433484162895928</c:v>
                </c:pt>
                <c:pt idx="10">
                  <c:v>1.3714285714285719</c:v>
                </c:pt>
                <c:pt idx="11">
                  <c:v>1.3176470588235298</c:v>
                </c:pt>
                <c:pt idx="12">
                  <c:v>1.2705882352941178</c:v>
                </c:pt>
                <c:pt idx="13">
                  <c:v>1.2290657439446369</c:v>
                </c:pt>
                <c:pt idx="14">
                  <c:v>1.1921568627450982</c:v>
                </c:pt>
                <c:pt idx="15">
                  <c:v>1.1591331269349847</c:v>
                </c:pt>
                <c:pt idx="16">
                  <c:v>1.1294117647058826</c:v>
                </c:pt>
                <c:pt idx="17">
                  <c:v>1.1025210084033616</c:v>
                </c:pt>
                <c:pt idx="18">
                  <c:v>1.0780748663101605</c:v>
                </c:pt>
                <c:pt idx="19">
                  <c:v>1.055754475703325</c:v>
                </c:pt>
                <c:pt idx="20">
                  <c:v>1.035294117647059</c:v>
                </c:pt>
                <c:pt idx="21">
                  <c:v>1.0164705882352942</c:v>
                </c:pt>
                <c:pt idx="22">
                  <c:v>0.9990950226244346</c:v>
                </c:pt>
                <c:pt idx="23">
                  <c:v>0.9830065359477126</c:v>
                </c:pt>
                <c:pt idx="24">
                  <c:v>0.9680672268907565</c:v>
                </c:pt>
                <c:pt idx="25">
                  <c:v>0.9541582150101421</c:v>
                </c:pt>
                <c:pt idx="26">
                  <c:v>0.9411764705882355</c:v>
                </c:pt>
                <c:pt idx="27">
                  <c:v>0.9290322580645164</c:v>
                </c:pt>
                <c:pt idx="28">
                  <c:v>0.9176470588235296</c:v>
                </c:pt>
                <c:pt idx="29">
                  <c:v>0.9069518716577543</c:v>
                </c:pt>
                <c:pt idx="30">
                  <c:v>0.896885813148789</c:v>
                </c:pt>
                <c:pt idx="31">
                  <c:v>0.8873949579831935</c:v>
                </c:pt>
                <c:pt idx="32">
                  <c:v>0.8784313725490198</c:v>
                </c:pt>
                <c:pt idx="33">
                  <c:v>0.8699523052464231</c:v>
                </c:pt>
                <c:pt idx="34">
                  <c:v>0.861919504643963</c:v>
                </c:pt>
                <c:pt idx="35">
                  <c:v>0.8542986425339368</c:v>
                </c:pt>
                <c:pt idx="36">
                  <c:v>0.8470588235294119</c:v>
                </c:pt>
                <c:pt idx="37">
                  <c:v>0.8401721664275468</c:v>
                </c:pt>
                <c:pt idx="38">
                  <c:v>0.8336134453781514</c:v>
                </c:pt>
                <c:pt idx="39">
                  <c:v>0.8273597811217511</c:v>
                </c:pt>
                <c:pt idx="40">
                  <c:v>0.8213903743315509</c:v>
                </c:pt>
                <c:pt idx="41">
                  <c:v>0.815686274509804</c:v>
                </c:pt>
                <c:pt idx="42">
                  <c:v>0.8102301790281331</c:v>
                </c:pt>
                <c:pt idx="43">
                  <c:v>0.805006257822278</c:v>
                </c:pt>
                <c:pt idx="44">
                  <c:v>0.8000000000000002</c:v>
                </c:pt>
                <c:pt idx="45">
                  <c:v>0.7951980792316928</c:v>
                </c:pt>
                <c:pt idx="46">
                  <c:v>0.7905882352941177</c:v>
                </c:pt>
                <c:pt idx="47">
                  <c:v>0.7861591695501731</c:v>
                </c:pt>
                <c:pt idx="48">
                  <c:v>0.7819004524886879</c:v>
                </c:pt>
                <c:pt idx="49">
                  <c:v>0.7778024417314097</c:v>
                </c:pt>
                <c:pt idx="50">
                  <c:v>0.7738562091503268</c:v>
                </c:pt>
                <c:pt idx="51">
                  <c:v>0.770053475935829</c:v>
                </c:pt>
                <c:pt idx="52">
                  <c:v>0.7663865546218489</c:v>
                </c:pt>
                <c:pt idx="53">
                  <c:v>0.7628482972136225</c:v>
                </c:pt>
                <c:pt idx="54">
                  <c:v>0.7594320486815417</c:v>
                </c:pt>
                <c:pt idx="55">
                  <c:v>0.7561316051844468</c:v>
                </c:pt>
                <c:pt idx="56">
                  <c:v>0.7529411764705883</c:v>
                </c:pt>
              </c:numCache>
            </c:numRef>
          </c:yVal>
          <c:smooth val="1"/>
        </c:ser>
        <c:ser>
          <c:idx val="3"/>
          <c:order val="3"/>
          <c:tx>
            <c:v>PRclp3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sheet'!$D$5:$D$61</c:f>
              <c:numCache>
                <c:ptCount val="57"/>
                <c:pt idx="0">
                  <c:v>4.23529411764706</c:v>
                </c:pt>
                <c:pt idx="1">
                  <c:v>3.5294117647058827</c:v>
                </c:pt>
                <c:pt idx="2">
                  <c:v>3.0588235294117645</c:v>
                </c:pt>
                <c:pt idx="3">
                  <c:v>2.7226890756302518</c:v>
                </c:pt>
                <c:pt idx="4">
                  <c:v>2.470588235294118</c:v>
                </c:pt>
                <c:pt idx="5">
                  <c:v>2.274509803921569</c:v>
                </c:pt>
                <c:pt idx="6">
                  <c:v>2.1176470588235294</c:v>
                </c:pt>
                <c:pt idx="7">
                  <c:v>1.9893048128342246</c:v>
                </c:pt>
                <c:pt idx="8">
                  <c:v>1.8823529411764706</c:v>
                </c:pt>
                <c:pt idx="9">
                  <c:v>1.7918552036199098</c:v>
                </c:pt>
                <c:pt idx="10">
                  <c:v>1.7142857142857146</c:v>
                </c:pt>
                <c:pt idx="11">
                  <c:v>1.647058823529412</c:v>
                </c:pt>
                <c:pt idx="12">
                  <c:v>1.5882352941176472</c:v>
                </c:pt>
                <c:pt idx="13">
                  <c:v>1.5363321799307958</c:v>
                </c:pt>
                <c:pt idx="14">
                  <c:v>1.4901960784313726</c:v>
                </c:pt>
                <c:pt idx="15">
                  <c:v>1.448916408668731</c:v>
                </c:pt>
                <c:pt idx="16">
                  <c:v>1.411764705882353</c:v>
                </c:pt>
                <c:pt idx="17">
                  <c:v>1.378151260504202</c:v>
                </c:pt>
                <c:pt idx="18">
                  <c:v>1.3475935828877006</c:v>
                </c:pt>
                <c:pt idx="19">
                  <c:v>1.319693094629156</c:v>
                </c:pt>
                <c:pt idx="20">
                  <c:v>1.2941176470588236</c:v>
                </c:pt>
                <c:pt idx="21">
                  <c:v>1.2705882352941178</c:v>
                </c:pt>
                <c:pt idx="22">
                  <c:v>1.2488687782805432</c:v>
                </c:pt>
                <c:pt idx="23">
                  <c:v>1.2287581699346406</c:v>
                </c:pt>
                <c:pt idx="24">
                  <c:v>1.2100840336134455</c:v>
                </c:pt>
                <c:pt idx="25">
                  <c:v>1.1926977687626774</c:v>
                </c:pt>
                <c:pt idx="26">
                  <c:v>1.1764705882352942</c:v>
                </c:pt>
                <c:pt idx="27">
                  <c:v>1.1612903225806452</c:v>
                </c:pt>
                <c:pt idx="28">
                  <c:v>1.147058823529412</c:v>
                </c:pt>
                <c:pt idx="29">
                  <c:v>1.1336898395721926</c:v>
                </c:pt>
                <c:pt idx="30">
                  <c:v>1.1211072664359862</c:v>
                </c:pt>
                <c:pt idx="31">
                  <c:v>1.1092436974789917</c:v>
                </c:pt>
                <c:pt idx="32">
                  <c:v>1.0980392156862746</c:v>
                </c:pt>
                <c:pt idx="33">
                  <c:v>1.0874403815580287</c:v>
                </c:pt>
                <c:pt idx="34">
                  <c:v>1.0773993808049538</c:v>
                </c:pt>
                <c:pt idx="35">
                  <c:v>1.0678733031674208</c:v>
                </c:pt>
                <c:pt idx="36">
                  <c:v>1.0588235294117647</c:v>
                </c:pt>
                <c:pt idx="37">
                  <c:v>1.0502152080344334</c:v>
                </c:pt>
                <c:pt idx="38">
                  <c:v>1.0420168067226891</c:v>
                </c:pt>
                <c:pt idx="39">
                  <c:v>1.0341997264021887</c:v>
                </c:pt>
                <c:pt idx="40">
                  <c:v>1.0267379679144386</c:v>
                </c:pt>
                <c:pt idx="41">
                  <c:v>1.019607843137255</c:v>
                </c:pt>
                <c:pt idx="42">
                  <c:v>1.0127877237851663</c:v>
                </c:pt>
                <c:pt idx="43">
                  <c:v>1.0062578222778473</c:v>
                </c:pt>
                <c:pt idx="44">
                  <c:v>1.0000000000000002</c:v>
                </c:pt>
                <c:pt idx="45">
                  <c:v>0.9939975990396159</c:v>
                </c:pt>
                <c:pt idx="46">
                  <c:v>0.9882352941176471</c:v>
                </c:pt>
                <c:pt idx="47">
                  <c:v>0.9826989619377163</c:v>
                </c:pt>
                <c:pt idx="48">
                  <c:v>0.9773755656108598</c:v>
                </c:pt>
                <c:pt idx="49">
                  <c:v>0.9722530521642619</c:v>
                </c:pt>
                <c:pt idx="50">
                  <c:v>0.9673202614379085</c:v>
                </c:pt>
                <c:pt idx="51">
                  <c:v>0.9625668449197861</c:v>
                </c:pt>
                <c:pt idx="52">
                  <c:v>0.9579831932773111</c:v>
                </c:pt>
                <c:pt idx="53">
                  <c:v>0.9535603715170279</c:v>
                </c:pt>
                <c:pt idx="54">
                  <c:v>0.949290060851927</c:v>
                </c:pt>
                <c:pt idx="55">
                  <c:v>0.9451645064805584</c:v>
                </c:pt>
                <c:pt idx="56">
                  <c:v>0.9411764705882353</c:v>
                </c:pt>
              </c:numCache>
            </c:numRef>
          </c:yVal>
          <c:smooth val="1"/>
        </c:ser>
        <c:axId val="22982561"/>
        <c:axId val="5516458"/>
      </c:scatterChart>
      <c:valAx>
        <c:axId val="22982561"/>
        <c:scaling>
          <c:orientation val="minMax"/>
          <c:max val="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kc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6458"/>
        <c:crosses val="autoZero"/>
        <c:crossBetween val="midCat"/>
        <c:dispUnits/>
      </c:valAx>
      <c:valAx>
        <c:axId val="5516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Watts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825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43975"/>
          <c:w val="0.2085"/>
          <c:h val="0.2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Power stage Gain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025"/>
          <c:w val="0.9205"/>
          <c:h val="0.8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'Transfer function'!$D$8</c:f>
              <c:strCache>
                <c:ptCount val="1"/>
                <c:pt idx="0">
                  <c:v>20log(|G(F)|)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function'!$D$9:$D$259</c:f>
              <c:numCache>
                <c:ptCount val="251"/>
                <c:pt idx="0">
                  <c:v>13.815036543222297</c:v>
                </c:pt>
                <c:pt idx="1">
                  <c:v>13.813837238507844</c:v>
                </c:pt>
                <c:pt idx="2">
                  <c:v>13.81314999684568</c:v>
                </c:pt>
                <c:pt idx="3">
                  <c:v>13.81239685271309</c:v>
                </c:pt>
                <c:pt idx="4">
                  <c:v>13.811571499571047</c:v>
                </c:pt>
                <c:pt idx="5">
                  <c:v>13.810667030012612</c:v>
                </c:pt>
                <c:pt idx="6">
                  <c:v>13.809675879043319</c:v>
                </c:pt>
                <c:pt idx="7">
                  <c:v>13.808589762113993</c:v>
                </c:pt>
                <c:pt idx="8">
                  <c:v>13.80739960744175</c:v>
                </c:pt>
                <c:pt idx="9">
                  <c:v>13.806095482118259</c:v>
                </c:pt>
                <c:pt idx="10">
                  <c:v>13.804666511466262</c:v>
                </c:pt>
                <c:pt idx="11">
                  <c:v>13.80310079106384</c:v>
                </c:pt>
                <c:pt idx="12">
                  <c:v>13.801385290814633</c:v>
                </c:pt>
                <c:pt idx="13">
                  <c:v>13.799505750398108</c:v>
                </c:pt>
                <c:pt idx="14">
                  <c:v>13.79744656538868</c:v>
                </c:pt>
                <c:pt idx="15">
                  <c:v>13.795190663288215</c:v>
                </c:pt>
                <c:pt idx="16">
                  <c:v>13.792719368669687</c:v>
                </c:pt>
                <c:pt idx="17">
                  <c:v>13.79001225658591</c:v>
                </c:pt>
                <c:pt idx="18">
                  <c:v>13.787046993353878</c:v>
                </c:pt>
                <c:pt idx="19">
                  <c:v>13.783799163785575</c:v>
                </c:pt>
                <c:pt idx="20">
                  <c:v>13.780242083900632</c:v>
                </c:pt>
                <c:pt idx="21">
                  <c:v>13.776346598127407</c:v>
                </c:pt>
                <c:pt idx="22">
                  <c:v>13.772080859979036</c:v>
                </c:pt>
                <c:pt idx="23">
                  <c:v>13.76741009518275</c:v>
                </c:pt>
                <c:pt idx="24">
                  <c:v>13.76229634624699</c:v>
                </c:pt>
                <c:pt idx="25">
                  <c:v>13.756698197476808</c:v>
                </c:pt>
                <c:pt idx="26">
                  <c:v>13.750570479496666</c:v>
                </c:pt>
                <c:pt idx="27">
                  <c:v>13.743863952418604</c:v>
                </c:pt>
                <c:pt idx="28">
                  <c:v>13.736524966907114</c:v>
                </c:pt>
                <c:pt idx="29">
                  <c:v>13.72849510254869</c:v>
                </c:pt>
                <c:pt idx="30">
                  <c:v>13.719710783141847</c:v>
                </c:pt>
                <c:pt idx="31">
                  <c:v>13.710102868791271</c:v>
                </c:pt>
                <c:pt idx="32">
                  <c:v>13.69959622502945</c:v>
                </c:pt>
                <c:pt idx="33">
                  <c:v>13.6881092696099</c:v>
                </c:pt>
                <c:pt idx="34">
                  <c:v>13.675553498132375</c:v>
                </c:pt>
                <c:pt idx="35">
                  <c:v>13.66183299028451</c:v>
                </c:pt>
                <c:pt idx="36">
                  <c:v>13.646843899228509</c:v>
                </c:pt>
                <c:pt idx="37">
                  <c:v>13.630473927539779</c:v>
                </c:pt>
                <c:pt idx="38">
                  <c:v>13.612601794129924</c:v>
                </c:pt>
                <c:pt idx="39">
                  <c:v>13.59309669776627</c:v>
                </c:pt>
                <c:pt idx="40">
                  <c:v>13.57181778414697</c:v>
                </c:pt>
                <c:pt idx="41">
                  <c:v>13.548613625000002</c:v>
                </c:pt>
                <c:pt idx="42">
                  <c:v>13.523321719350935</c:v>
                </c:pt>
                <c:pt idx="43">
                  <c:v>13.495768028927731</c:v>
                </c:pt>
                <c:pt idx="44">
                  <c:v>13.465766561623365</c:v>
                </c:pt>
                <c:pt idx="45">
                  <c:v>13.433119018977566</c:v>
                </c:pt>
                <c:pt idx="46">
                  <c:v>13.397614525715325</c:v>
                </c:pt>
                <c:pt idx="47">
                  <c:v>13.359029461414645</c:v>
                </c:pt>
                <c:pt idx="48">
                  <c:v>13.317127416275499</c:v>
                </c:pt>
                <c:pt idx="49">
                  <c:v>13.271659294601953</c:v>
                </c:pt>
                <c:pt idx="50">
                  <c:v>13.222363590845044</c:v>
                </c:pt>
                <c:pt idx="51">
                  <c:v>13.168966863715351</c:v>
                </c:pt>
                <c:pt idx="52">
                  <c:v>13.111184433769589</c:v>
                </c:pt>
                <c:pt idx="53">
                  <c:v>13.048721328803719</c:v>
                </c:pt>
                <c:pt idx="54">
                  <c:v>12.981273499138574</c:v>
                </c:pt>
                <c:pt idx="55">
                  <c:v>12.908529321270215</c:v>
                </c:pt>
                <c:pt idx="56">
                  <c:v>12.830171403214718</c:v>
                </c:pt>
                <c:pt idx="57">
                  <c:v>12.745878698097467</c:v>
                </c:pt>
                <c:pt idx="58">
                  <c:v>12.655328924093368</c:v>
                </c:pt>
                <c:pt idx="59">
                  <c:v>12.558201278795702</c:v>
                </c:pt>
                <c:pt idx="60">
                  <c:v>12.454179424683357</c:v>
                </c:pt>
                <c:pt idx="61">
                  <c:v>12.342954709923815</c:v>
                </c:pt>
                <c:pt idx="62">
                  <c:v>12.224229575800818</c:v>
                </c:pt>
                <c:pt idx="63">
                  <c:v>12.09772108924309</c:v>
                </c:pt>
                <c:pt idx="64">
                  <c:v>11.963164527030212</c:v>
                </c:pt>
                <c:pt idx="65">
                  <c:v>11.820316928114881</c:v>
                </c:pt>
                <c:pt idx="66">
                  <c:v>11.668960522995988</c:v>
                </c:pt>
                <c:pt idx="67">
                  <c:v>11.50890594500394</c:v>
                </c:pt>
                <c:pt idx="68">
                  <c:v>11.339995128379673</c:v>
                </c:pt>
                <c:pt idx="69">
                  <c:v>11.162103802563205</c:v>
                </c:pt>
                <c:pt idx="70">
                  <c:v>10.975143501284883</c:v>
                </c:pt>
                <c:pt idx="71">
                  <c:v>10.779063018653597</c:v>
                </c:pt>
                <c:pt idx="72">
                  <c:v>10.573849261888121</c:v>
                </c:pt>
                <c:pt idx="73">
                  <c:v>10.359527470740389</c:v>
                </c:pt>
                <c:pt idx="74">
                  <c:v>10.136160795852064</c:v>
                </c:pt>
                <c:pt idx="75">
                  <c:v>9.903849250947147</c:v>
                </c:pt>
                <c:pt idx="76">
                  <c:v>9.66272807552621</c:v>
                </c:pt>
                <c:pt idx="77">
                  <c:v>9.412965564311806</c:v>
                </c:pt>
                <c:pt idx="78">
                  <c:v>9.154760436009772</c:v>
                </c:pt>
                <c:pt idx="79">
                  <c:v>8.888338826196883</c:v>
                </c:pt>
                <c:pt idx="80">
                  <c:v>8.613950996859836</c:v>
                </c:pt>
                <c:pt idx="81">
                  <c:v>8.331867858186554</c:v>
                </c:pt>
                <c:pt idx="82">
                  <c:v>8.042377396875509</c:v>
                </c:pt>
                <c:pt idx="83">
                  <c:v>7.745781099991413</c:v>
                </c:pt>
                <c:pt idx="84">
                  <c:v>7.442390454964018</c:v>
                </c:pt>
                <c:pt idx="85">
                  <c:v>7.13252359553911</c:v>
                </c:pt>
                <c:pt idx="86">
                  <c:v>6.8165021512105595</c:v>
                </c:pt>
                <c:pt idx="87">
                  <c:v>6.494648344729405</c:v>
                </c:pt>
                <c:pt idx="88">
                  <c:v>6.167282369436489</c:v>
                </c:pt>
                <c:pt idx="89">
                  <c:v>5.834720066009532</c:v>
                </c:pt>
                <c:pt idx="90">
                  <c:v>5.497270907214393</c:v>
                </c:pt>
                <c:pt idx="91">
                  <c:v>5.155236289707256</c:v>
                </c:pt>
                <c:pt idx="92">
                  <c:v>4.808908124014344</c:v>
                </c:pt>
                <c:pt idx="93">
                  <c:v>4.458567707564505</c:v>
                </c:pt>
                <c:pt idx="94">
                  <c:v>4.104484861004048</c:v>
                </c:pt>
                <c:pt idx="95">
                  <c:v>3.7469173048637687</c:v>
                </c:pt>
                <c:pt idx="96">
                  <c:v>3.38611025179632</c:v>
                </c:pt>
                <c:pt idx="97">
                  <c:v>3.022296188857459</c:v>
                </c:pt>
                <c:pt idx="98">
                  <c:v>2.655694824467696</c:v>
                </c:pt>
                <c:pt idx="99">
                  <c:v>2.286513175551846</c:v>
                </c:pt>
                <c:pt idx="100">
                  <c:v>1.9149457717378455</c:v>
                </c:pt>
                <c:pt idx="101">
                  <c:v>1.5411749552322163</c:v>
                </c:pt>
                <c:pt idx="102">
                  <c:v>1.1653712569461359</c:v>
                </c:pt>
                <c:pt idx="103">
                  <c:v>0.7876938315042615</c:v>
                </c:pt>
                <c:pt idx="104">
                  <c:v>0.40829093584078324</c:v>
                </c:pt>
                <c:pt idx="105">
                  <c:v>0.027300438107026773</c:v>
                </c:pt>
                <c:pt idx="106">
                  <c:v>-0.35514965446842967</c:v>
                </c:pt>
                <c:pt idx="107">
                  <c:v>-0.7389406583463287</c:v>
                </c:pt>
                <c:pt idx="108">
                  <c:v>-1.1239626750232854</c:v>
                </c:pt>
                <c:pt idx="109">
                  <c:v>-1.5101140574509917</c:v>
                </c:pt>
                <c:pt idx="110">
                  <c:v>-1.8973008867253862</c:v>
                </c:pt>
                <c:pt idx="111">
                  <c:v>-2.2854364631120005</c:v>
                </c:pt>
                <c:pt idx="112">
                  <c:v>-2.674440814492079</c:v>
                </c:pt>
                <c:pt idx="113">
                  <c:v>-3.0642402244778393</c:v>
                </c:pt>
                <c:pt idx="114">
                  <c:v>-3.4547667817375154</c:v>
                </c:pt>
                <c:pt idx="115">
                  <c:v>-3.8459579514786246</c:v>
                </c:pt>
                <c:pt idx="116">
                  <c:v>-4.237756169550249</c:v>
                </c:pt>
                <c:pt idx="117">
                  <c:v>-4.630108459227414</c:v>
                </c:pt>
                <c:pt idx="118">
                  <c:v>-5.022966070419935</c:v>
                </c:pt>
                <c:pt idx="119">
                  <c:v>-5.416284140796657</c:v>
                </c:pt>
                <c:pt idx="120">
                  <c:v>-5.810021378120005</c:v>
                </c:pt>
                <c:pt idx="121">
                  <c:v>-6.204139762937694</c:v>
                </c:pt>
                <c:pt idx="122">
                  <c:v>-6.598604270670997</c:v>
                </c:pt>
                <c:pt idx="123">
                  <c:v>-6.993382612064197</c:v>
                </c:pt>
                <c:pt idx="124">
                  <c:v>-7.388444990911093</c:v>
                </c:pt>
                <c:pt idx="125">
                  <c:v>-7.783763877947019</c:v>
                </c:pt>
                <c:pt idx="126">
                  <c:v>-8.179313799786446</c:v>
                </c:pt>
                <c:pt idx="127">
                  <c:v>-8.575071141787504</c:v>
                </c:pt>
                <c:pt idx="128">
                  <c:v>-8.971013963738057</c:v>
                </c:pt>
                <c:pt idx="129">
                  <c:v>-9.367121827279036</c:v>
                </c:pt>
                <c:pt idx="130">
                  <c:v>-9.763375634003722</c:v>
                </c:pt>
                <c:pt idx="131">
                  <c:v>-10.15975747320109</c:v>
                </c:pt>
                <c:pt idx="132">
                  <c:v>-10.556250478239125</c:v>
                </c:pt>
                <c:pt idx="133">
                  <c:v>-10.952838690614747</c:v>
                </c:pt>
                <c:pt idx="134">
                  <c:v>-11.34950693072404</c:v>
                </c:pt>
                <c:pt idx="135">
                  <c:v>-11.746240674434441</c:v>
                </c:pt>
                <c:pt idx="136">
                  <c:v>-12.143025934564541</c:v>
                </c:pt>
                <c:pt idx="137">
                  <c:v>-12.53984914639819</c:v>
                </c:pt>
                <c:pt idx="138">
                  <c:v>-12.936697056378533</c:v>
                </c:pt>
                <c:pt idx="139">
                  <c:v>-13.33355661314121</c:v>
                </c:pt>
                <c:pt idx="140">
                  <c:v>-13.73041486005809</c:v>
                </c:pt>
                <c:pt idx="141">
                  <c:v>-14.1272588284664</c:v>
                </c:pt>
                <c:pt idx="142">
                  <c:v>-14.524075430764224</c:v>
                </c:pt>
                <c:pt idx="143">
                  <c:v>-14.920851352546915</c:v>
                </c:pt>
                <c:pt idx="144">
                  <c:v>-15.31757294295609</c:v>
                </c:pt>
                <c:pt idx="145">
                  <c:v>-15.714226102399033</c:v>
                </c:pt>
                <c:pt idx="146">
                  <c:v>-16.110796166782123</c:v>
                </c:pt>
                <c:pt idx="147">
                  <c:v>-16.507267787382396</c:v>
                </c:pt>
                <c:pt idx="148">
                  <c:v>-16.90362480545624</c:v>
                </c:pt>
                <c:pt idx="149">
                  <c:v>-17.29985012065721</c:v>
                </c:pt>
                <c:pt idx="150">
                  <c:v>-17.695925552302946</c:v>
                </c:pt>
                <c:pt idx="151">
                  <c:v>-18.091831692495756</c:v>
                </c:pt>
                <c:pt idx="152">
                  <c:v>-18.487547750064365</c:v>
                </c:pt>
                <c:pt idx="153">
                  <c:v>-18.883051384252255</c:v>
                </c:pt>
                <c:pt idx="154">
                  <c:v>-19.278318527039225</c:v>
                </c:pt>
                <c:pt idx="155">
                  <c:v>-19.67332319293678</c:v>
                </c:pt>
                <c:pt idx="156">
                  <c:v>-20.068037275058774</c:v>
                </c:pt>
                <c:pt idx="157">
                  <c:v>-20.462430326228713</c:v>
                </c:pt>
                <c:pt idx="158">
                  <c:v>-20.856469323848188</c:v>
                </c:pt>
                <c:pt idx="159">
                  <c:v>-21.250118417222378</c:v>
                </c:pt>
                <c:pt idx="160">
                  <c:v>-21.643338656017136</c:v>
                </c:pt>
                <c:pt idx="161">
                  <c:v>-22.03608769851348</c:v>
                </c:pt>
                <c:pt idx="162">
                  <c:v>-22.428319498331376</c:v>
                </c:pt>
                <c:pt idx="163">
                  <c:v>-22.81998396832225</c:v>
                </c:pt>
                <c:pt idx="164">
                  <c:v>-23.211026620381546</c:v>
                </c:pt>
                <c:pt idx="165">
                  <c:v>-23.601388180016116</c:v>
                </c:pt>
                <c:pt idx="166">
                  <c:v>-23.991004174624067</c:v>
                </c:pt>
                <c:pt idx="167">
                  <c:v>-24.379804494612756</c:v>
                </c:pt>
                <c:pt idx="168">
                  <c:v>-24.76771292670562</c:v>
                </c:pt>
                <c:pt idx="169">
                  <c:v>-25.154646659078367</c:v>
                </c:pt>
                <c:pt idx="170">
                  <c:v>-25.54051575833246</c:v>
                </c:pt>
                <c:pt idx="171">
                  <c:v>-25.92522261877035</c:v>
                </c:pt>
                <c:pt idx="172">
                  <c:v>-26.308661384994938</c:v>
                </c:pt>
                <c:pt idx="173">
                  <c:v>-26.690717349530363</c:v>
                </c:pt>
                <c:pt idx="174">
                  <c:v>-27.071266327964317</c:v>
                </c:pt>
                <c:pt idx="175">
                  <c:v>-27.450174015055065</c:v>
                </c:pt>
                <c:pt idx="176">
                  <c:v>-27.827295326347162</c:v>
                </c:pt>
                <c:pt idx="177">
                  <c:v>-28.202473731096532</c:v>
                </c:pt>
                <c:pt idx="178">
                  <c:v>-28.575540583733737</c:v>
                </c:pt>
                <c:pt idx="179">
                  <c:v>-28.94631446268601</c:v>
                </c:pt>
                <c:pt idx="180">
                  <c:v>-29.314600527126608</c:v>
                </c:pt>
                <c:pt idx="181">
                  <c:v>-29.680189904108715</c:v>
                </c:pt>
                <c:pt idx="182">
                  <c:v>-30.042859120531688</c:v>
                </c:pt>
                <c:pt idx="183">
                  <c:v>-30.402369596438533</c:v>
                </c:pt>
                <c:pt idx="184">
                  <c:v>-30.758467218186247</c:v>
                </c:pt>
                <c:pt idx="185">
                  <c:v>-31.11088201197252</c:v>
                </c:pt>
                <c:pt idx="186">
                  <c:v>-31.45932793994144</c:v>
                </c:pt>
                <c:pt idx="187">
                  <c:v>-31.803502842480817</c:v>
                </c:pt>
                <c:pt idx="188">
                  <c:v>-32.14308855121435</c:v>
                </c:pt>
                <c:pt idx="189">
                  <c:v>-32.47775119739649</c:v>
                </c:pt>
                <c:pt idx="190">
                  <c:v>-32.80714173974824</c:v>
                </c:pt>
                <c:pt idx="191">
                  <c:v>-33.13089673402548</c:v>
                </c:pt>
                <c:pt idx="192">
                  <c:v>-33.448639363601565</c:v>
                </c:pt>
                <c:pt idx="193">
                  <c:v>-33.75998074590824</c:v>
                </c:pt>
                <c:pt idx="194">
                  <c:v>-34.064521523606</c:v>
                </c:pt>
                <c:pt idx="195">
                  <c:v>-34.36185374180069</c:v>
                </c:pt>
                <c:pt idx="196">
                  <c:v>-34.65156300356078</c:v>
                </c:pt>
                <c:pt idx="197">
                  <c:v>-34.93323088559198</c:v>
                </c:pt>
                <c:pt idx="198">
                  <c:v>-35.20643758453648</c:v>
                </c:pt>
                <c:pt idx="199">
                  <c:v>-35.470764752451515</c:v>
                </c:pt>
                <c:pt idx="200">
                  <c:v>-35.72579846822687</c:v>
                </c:pt>
                <c:pt idx="201">
                  <c:v>-35.97113228077085</c:v>
                </c:pt>
                <c:pt idx="202">
                  <c:v>-36.2063702505809</c:v>
                </c:pt>
                <c:pt idx="203">
                  <c:v>-36.43112990967853</c:v>
                </c:pt>
                <c:pt idx="204">
                  <c:v>-36.645045056654254</c:v>
                </c:pt>
                <c:pt idx="205">
                  <c:v>-36.84776830441479</c:v>
                </c:pt>
                <c:pt idx="206">
                  <c:v>-37.038973303614256</c:v>
                </c:pt>
                <c:pt idx="207">
                  <c:v>-37.21835657483835</c:v>
                </c:pt>
                <c:pt idx="208">
                  <c:v>-37.3856388972042</c:v>
                </c:pt>
                <c:pt idx="209">
                  <c:v>-37.5405662195641</c:v>
                </c:pt>
                <c:pt idx="210">
                  <c:v>-37.68291008202195</c:v>
                </c:pt>
                <c:pt idx="211">
                  <c:v>-37.81246755875133</c:v>
                </c:pt>
                <c:pt idx="212">
                  <c:v>-37.92906075668759</c:v>
                </c:pt>
                <c:pt idx="213">
                  <c:v>-38.03253592700535</c:v>
                </c:pt>
                <c:pt idx="214">
                  <c:v>-38.12276226587067</c:v>
                </c:pt>
                <c:pt idx="215">
                  <c:v>-38.199630496429485</c:v>
                </c:pt>
                <c:pt idx="216">
                  <c:v>-38.2630513342649</c:v>
                </c:pt>
                <c:pt idx="217">
                  <c:v>-38.312953942917595</c:v>
                </c:pt>
                <c:pt idx="218">
                  <c:v>-38.349284484171065</c:v>
                </c:pt>
                <c:pt idx="219">
                  <c:v>-38.37200485975639</c:v>
                </c:pt>
                <c:pt idx="220">
                  <c:v>-38.38109172739284</c:v>
                </c:pt>
                <c:pt idx="221">
                  <c:v>-38.37653585548642</c:v>
                </c:pt>
                <c:pt idx="222">
                  <c:v>-38.35834185845015</c:v>
                </c:pt>
                <c:pt idx="223">
                  <c:v>-38.32652832981169</c:v>
                </c:pt>
                <c:pt idx="224">
                  <c:v>-38.281128364474654</c:v>
                </c:pt>
                <c:pt idx="225">
                  <c:v>-38.222190436207065</c:v>
                </c:pt>
                <c:pt idx="226">
                  <c:v>-38.14977957310489</c:v>
                </c:pt>
                <c:pt idx="227">
                  <c:v>-38.06397875380202</c:v>
                </c:pt>
                <c:pt idx="228">
                  <c:v>-37.96489043173783</c:v>
                </c:pt>
                <c:pt idx="229">
                  <c:v>-37.85263808478596</c:v>
                </c:pt>
                <c:pt idx="230">
                  <c:v>-37.72736768358131</c:v>
                </c:pt>
                <c:pt idx="231">
                  <c:v>-37.58924897418229</c:v>
                </c:pt>
                <c:pt idx="232">
                  <c:v>-37.43847647907251</c:v>
                </c:pt>
                <c:pt idx="233">
                  <c:v>-37.27527013435847</c:v>
                </c:pt>
                <c:pt idx="234">
                  <c:v>-37.09987549936865</c:v>
                </c:pt>
                <c:pt idx="235">
                  <c:v>-36.91256349644418</c:v>
                </c:pt>
                <c:pt idx="236">
                  <c:v>-36.713629662057514</c:v>
                </c:pt>
                <c:pt idx="237">
                  <c:v>-36.50339291393878</c:v>
                </c:pt>
                <c:pt idx="238">
                  <c:v>-36.28219386115054</c:v>
                </c:pt>
                <c:pt idx="239">
                  <c:v>-36.050392703688935</c:v>
                </c:pt>
                <c:pt idx="240">
                  <c:v>-35.8083667841722</c:v>
                </c:pt>
                <c:pt idx="241">
                  <c:v>-35.556507865801755</c:v>
                </c:pt>
                <c:pt idx="242">
                  <c:v>-35.29521921773003</c:v>
                </c:pt>
                <c:pt idx="243">
                  <c:v>-35.02491259128738</c:v>
                </c:pt>
                <c:pt idx="244">
                  <c:v>-34.74600516857517</c:v>
                </c:pt>
                <c:pt idx="245">
                  <c:v>-34.45891655934026</c:v>
                </c:pt>
                <c:pt idx="246">
                  <c:v>-34.16406591359296</c:v>
                </c:pt>
                <c:pt idx="247">
                  <c:v>-33.861869206973914</c:v>
                </c:pt>
                <c:pt idx="248">
                  <c:v>-33.55273674427878</c:v>
                </c:pt>
                <c:pt idx="249">
                  <c:v>-33.23707091459923</c:v>
                </c:pt>
                <c:pt idx="250">
                  <c:v>-32.91526421991313</c:v>
                </c:pt>
              </c:numCache>
            </c:numRef>
          </c:yVal>
          <c:smooth val="1"/>
        </c:ser>
        <c:axId val="49648123"/>
        <c:axId val="44179924"/>
      </c:scatterChart>
      <c:valAx>
        <c:axId val="49648123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cross"/>
        <c:tickLblPos val="nextTo"/>
        <c:spPr>
          <a:ln w="3175">
            <a:solidFill>
              <a:srgbClr val="808080"/>
            </a:solidFill>
          </a:ln>
        </c:spPr>
        <c:crossAx val="44179924"/>
        <c:crosses val="autoZero"/>
        <c:crossBetween val="midCat"/>
        <c:dispUnits/>
      </c:valAx>
      <c:valAx>
        <c:axId val="4417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481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Power Stage Phase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21225"/>
          <c:w val="0.92175"/>
          <c:h val="0.7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'Transfer function'!$E$8</c:f>
              <c:strCache>
                <c:ptCount val="1"/>
                <c:pt idx="0">
                  <c:v>Arg(G(f)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function'!$E$9:$E$259</c:f>
              <c:numCache>
                <c:ptCount val="251"/>
                <c:pt idx="0">
                  <c:v>-2.1197153226623464</c:v>
                </c:pt>
                <c:pt idx="1">
                  <c:v>-2.3231547614457173</c:v>
                </c:pt>
                <c:pt idx="2">
                  <c:v>-2.4320669110608066</c:v>
                </c:pt>
                <c:pt idx="3">
                  <c:v>-2.546072085888281</c:v>
                </c:pt>
                <c:pt idx="4">
                  <c:v>-2.6654065502749096</c:v>
                </c:pt>
                <c:pt idx="5">
                  <c:v>-2.790317249193134</c:v>
                </c:pt>
                <c:pt idx="6">
                  <c:v>-2.9210622497455287</c:v>
                </c:pt>
                <c:pt idx="7">
                  <c:v>-3.0579111946969952</c:v>
                </c:pt>
                <c:pt idx="8">
                  <c:v>-3.2011457673488835</c:v>
                </c:pt>
                <c:pt idx="9">
                  <c:v>-3.351060166861674</c:v>
                </c:pt>
                <c:pt idx="10">
                  <c:v>-3.5079615928900285</c:v>
                </c:pt>
                <c:pt idx="11">
                  <c:v>-3.6721707381145903</c:v>
                </c:pt>
                <c:pt idx="12">
                  <c:v>-3.844022286931193</c:v>
                </c:pt>
                <c:pt idx="13">
                  <c:v>-4.02386541818523</c:v>
                </c:pt>
                <c:pt idx="14">
                  <c:v>-4.212064309412176</c:v>
                </c:pt>
                <c:pt idx="15">
                  <c:v>-4.408998639554256</c:v>
                </c:pt>
                <c:pt idx="16">
                  <c:v>-4.615064086564377</c:v>
                </c:pt>
                <c:pt idx="17">
                  <c:v>-4.830672815670747</c:v>
                </c:pt>
                <c:pt idx="18">
                  <c:v>-5.056253953351277</c:v>
                </c:pt>
                <c:pt idx="19">
                  <c:v>-5.2922540412464105</c:v>
                </c:pt>
                <c:pt idx="20">
                  <c:v>-5.539137463312377</c:v>
                </c:pt>
                <c:pt idx="21">
                  <c:v>-5.797386838473792</c:v>
                </c:pt>
                <c:pt idx="22">
                  <c:v>-6.067503369863762</c:v>
                </c:pt>
                <c:pt idx="23">
                  <c:v>-6.350007140431937</c:v>
                </c:pt>
                <c:pt idx="24">
                  <c:v>-6.645437343244224</c:v>
                </c:pt>
                <c:pt idx="25">
                  <c:v>-6.954352433184742</c:v>
                </c:pt>
                <c:pt idx="26">
                  <c:v>-7.277330184992041</c:v>
                </c:pt>
                <c:pt idx="27">
                  <c:v>-7.614967640611376</c:v>
                </c:pt>
                <c:pt idx="28">
                  <c:v>-7.96788092672265</c:v>
                </c:pt>
                <c:pt idx="29">
                  <c:v>-8.336704921009154</c:v>
                </c:pt>
                <c:pt idx="30">
                  <c:v>-8.722092743275775</c:v>
                </c:pt>
                <c:pt idx="31">
                  <c:v>-9.124715044921714</c:v>
                </c:pt>
                <c:pt idx="32">
                  <c:v>-9.545259067546588</c:v>
                </c:pt>
                <c:pt idx="33">
                  <c:v>-9.984427438663914</c:v>
                </c:pt>
                <c:pt idx="34">
                  <c:v>-10.44293666966052</c:v>
                </c:pt>
                <c:pt idx="35">
                  <c:v>-10.921515318352208</c:v>
                </c:pt>
                <c:pt idx="36">
                  <c:v>-11.420901775840004</c:v>
                </c:pt>
                <c:pt idx="37">
                  <c:v>-11.941841634991242</c:v>
                </c:pt>
                <c:pt idx="38">
                  <c:v>-12.485084595907212</c:v>
                </c:pt>
                <c:pt idx="39">
                  <c:v>-13.051380862388037</c:v>
                </c:pt>
                <c:pt idx="40">
                  <c:v>-13.641476982886854</c:v>
                </c:pt>
                <c:pt idx="41">
                  <c:v>-14.256111090032338</c:v>
                </c:pt>
                <c:pt idx="42">
                  <c:v>-14.896007494796327</c:v>
                </c:pt>
                <c:pt idx="43">
                  <c:v>-15.561870595147477</c:v>
                </c:pt>
                <c:pt idx="44">
                  <c:v>-16.254378064939644</c:v>
                </c:pt>
                <c:pt idx="45">
                  <c:v>-16.97417329725056</c:v>
                </c:pt>
                <c:pt idx="46">
                  <c:v>-17.721857087836366</c:v>
                </c:pt>
                <c:pt idx="47">
                  <c:v>-18.497978559199577</c:v>
                </c:pt>
                <c:pt idx="48">
                  <c:v>-19.303025344357362</c:v>
                </c:pt>
                <c:pt idx="49">
                  <c:v>-20.13741307203076</c:v>
                </c:pt>
                <c:pt idx="50">
                  <c:v>-21.001474221787696</c:v>
                </c:pt>
                <c:pt idx="51">
                  <c:v>-21.895446448657143</c:v>
                </c:pt>
                <c:pt idx="52">
                  <c:v>-22.819460511571204</c:v>
                </c:pt>
                <c:pt idx="53">
                  <c:v>-23.773527978097434</c:v>
                </c:pt>
                <c:pt idx="54">
                  <c:v>-24.757528918292582</c:v>
                </c:pt>
                <c:pt idx="55">
                  <c:v>-25.771199841722986</c:v>
                </c:pt>
                <c:pt idx="56">
                  <c:v>-26.814122171855594</c:v>
                </c:pt>
                <c:pt idx="57">
                  <c:v>-27.885711588779106</c:v>
                </c:pt>
                <c:pt idx="58">
                  <c:v>-28.985208601799442</c:v>
                </c:pt>
                <c:pt idx="59">
                  <c:v>-30.111670734799482</c:v>
                </c:pt>
                <c:pt idx="60">
                  <c:v>-31.26396671615348</c:v>
                </c:pt>
                <c:pt idx="61">
                  <c:v>-32.440773058365174</c:v>
                </c:pt>
                <c:pt idx="62">
                  <c:v>-33.64057338773862</c:v>
                </c:pt>
                <c:pt idx="63">
                  <c:v>-34.861660839384506</c:v>
                </c:pt>
                <c:pt idx="64">
                  <c:v>-36.102143766821094</c:v>
                </c:pt>
                <c:pt idx="65">
                  <c:v>-37.35995492890926</c:v>
                </c:pt>
                <c:pt idx="66">
                  <c:v>-38.63286421202238</c:v>
                </c:pt>
                <c:pt idx="67">
                  <c:v>-39.918494826078536</c:v>
                </c:pt>
                <c:pt idx="68">
                  <c:v>-41.21434278489051</c:v>
                </c:pt>
                <c:pt idx="69">
                  <c:v>-42.51779935110171</c:v>
                </c:pt>
                <c:pt idx="70">
                  <c:v>-43.82617600157548</c:v>
                </c:pt>
                <c:pt idx="71">
                  <c:v>-45.13673135853621</c:v>
                </c:pt>
                <c:pt idx="72">
                  <c:v>-46.4466994426269</c:v>
                </c:pt>
                <c:pt idx="73">
                  <c:v>-47.7533185427138</c:v>
                </c:pt>
                <c:pt idx="74">
                  <c:v>-49.05385996827959</c:v>
                </c:pt>
                <c:pt idx="75">
                  <c:v>-50.345655955736945</c:v>
                </c:pt>
                <c:pt idx="76">
                  <c:v>-51.62612603958688</c:v>
                </c:pt>
                <c:pt idx="77">
                  <c:v>-52.89280127005978</c:v>
                </c:pt>
                <c:pt idx="78">
                  <c:v>-54.14334575556357</c:v>
                </c:pt>
                <c:pt idx="79">
                  <c:v>-55.37557512406358</c:v>
                </c:pt>
                <c:pt idx="80">
                  <c:v>-56.58747162462152</c:v>
                </c:pt>
                <c:pt idx="81">
                  <c:v>-57.77719572068197</c:v>
                </c:pt>
                <c:pt idx="82">
                  <c:v>-58.94309415273239</c:v>
                </c:pt>
                <c:pt idx="83">
                  <c:v>-60.083704563189244</c:v>
                </c:pt>
                <c:pt idx="84">
                  <c:v>-61.19775687573149</c:v>
                </c:pt>
                <c:pt idx="85">
                  <c:v>-62.28417170149595</c:v>
                </c:pt>
                <c:pt idx="86">
                  <c:v>-63.342056103913585</c:v>
                </c:pt>
                <c:pt idx="87">
                  <c:v>-64.37069709243625</c:v>
                </c:pt>
                <c:pt idx="88">
                  <c:v>-65.36955323423496</c:v>
                </c:pt>
                <c:pt idx="89">
                  <c:v>-66.33824477434075</c:v>
                </c:pt>
                <c:pt idx="90">
                  <c:v>-67.27654264150219</c:v>
                </c:pt>
                <c:pt idx="91">
                  <c:v>-68.1843566924231</c:v>
                </c:pt>
                <c:pt idx="92">
                  <c:v>-69.06172351417732</c:v>
                </c:pt>
                <c:pt idx="93">
                  <c:v>-69.90879406647909</c:v>
                </c:pt>
                <c:pt idx="94">
                  <c:v>-70.72582140476003</c:v>
                </c:pt>
                <c:pt idx="95">
                  <c:v>-71.51314868386874</c:v>
                </c:pt>
                <c:pt idx="96">
                  <c:v>-72.27119760242293</c:v>
                </c:pt>
                <c:pt idx="97">
                  <c:v>-73.0004574106778</c:v>
                </c:pt>
                <c:pt idx="98">
                  <c:v>-73.70147457110315</c:v>
                </c:pt>
                <c:pt idx="99">
                  <c:v>-74.37484313117747</c:v>
                </c:pt>
                <c:pt idx="100">
                  <c:v>-75.02119584241751</c:v>
                </c:pt>
                <c:pt idx="101">
                  <c:v>-75.64119603832941</c:v>
                </c:pt>
                <c:pt idx="102">
                  <c:v>-76.23553026659948</c:v>
                </c:pt>
                <c:pt idx="103">
                  <c:v>-76.80490165711738</c:v>
                </c:pt>
                <c:pt idx="104">
                  <c:v>-77.3500239969609</c:v>
                </c:pt>
                <c:pt idx="105">
                  <c:v>-77.87161647585465</c:v>
                </c:pt>
                <c:pt idx="106">
                  <c:v>-78.37039906042509</c:v>
                </c:pt>
                <c:pt idx="107">
                  <c:v>-78.84708845240363</c:v>
                </c:pt>
                <c:pt idx="108">
                  <c:v>-79.30239458440934</c:v>
                </c:pt>
                <c:pt idx="109">
                  <c:v>-79.73701760673327</c:v>
                </c:pt>
                <c:pt idx="110">
                  <c:v>-80.15164531934798</c:v>
                </c:pt>
                <c:pt idx="111">
                  <c:v>-80.54695100493059</c:v>
                </c:pt>
                <c:pt idx="112">
                  <c:v>-80.92359162079276</c:v>
                </c:pt>
                <c:pt idx="113">
                  <c:v>-81.28220631008803</c:v>
                </c:pt>
                <c:pt idx="114">
                  <c:v>-81.6234151953619</c:v>
                </c:pt>
                <c:pt idx="115">
                  <c:v>-81.94781842031905</c:v>
                </c:pt>
                <c:pt idx="116">
                  <c:v>-82.25599540850864</c:v>
                </c:pt>
                <c:pt idx="117">
                  <c:v>-82.54850431040997</c:v>
                </c:pt>
                <c:pt idx="118">
                  <c:v>-82.82588161308561</c:v>
                </c:pt>
                <c:pt idx="119">
                  <c:v>-83.08864188912561</c:v>
                </c:pt>
                <c:pt idx="120">
                  <c:v>-83.3372776640079</c:v>
                </c:pt>
                <c:pt idx="121">
                  <c:v>-83.5722593832384</c:v>
                </c:pt>
                <c:pt idx="122">
                  <c:v>-83.79403546269879</c:v>
                </c:pt>
                <c:pt idx="123">
                  <c:v>-84.00303240752376</c:v>
                </c:pt>
                <c:pt idx="124">
                  <c:v>-84.19965498655543</c:v>
                </c:pt>
                <c:pt idx="125">
                  <c:v>-84.38428645098408</c:v>
                </c:pt>
                <c:pt idx="126">
                  <c:v>-84.557288787197</c:v>
                </c:pt>
                <c:pt idx="127">
                  <c:v>-84.71900299512373</c:v>
                </c:pt>
                <c:pt idx="128">
                  <c:v>-84.86974938450008</c:v>
                </c:pt>
                <c:pt idx="129">
                  <c:v>-85.00982788248893</c:v>
                </c:pt>
                <c:pt idx="130">
                  <c:v>-85.13951834699779</c:v>
                </c:pt>
                <c:pt idx="131">
                  <c:v>-85.25908088083749</c:v>
                </c:pt>
                <c:pt idx="132">
                  <c:v>-85.36875614258055</c:v>
                </c:pt>
                <c:pt idx="133">
                  <c:v>-85.468765650614</c:v>
                </c:pt>
                <c:pt idx="134">
                  <c:v>-85.55931207744554</c:v>
                </c:pt>
                <c:pt idx="135">
                  <c:v>-85.6405795318278</c:v>
                </c:pt>
                <c:pt idx="136">
                  <c:v>-85.71273382671615</c:v>
                </c:pt>
                <c:pt idx="137">
                  <c:v>-85.77592273148284</c:v>
                </c:pt>
                <c:pt idx="138">
                  <c:v>-85.83027620717893</c:v>
                </c:pt>
                <c:pt idx="139">
                  <c:v>-85.87590662397498</c:v>
                </c:pt>
                <c:pt idx="140">
                  <c:v>-85.91290896022493</c:v>
                </c:pt>
                <c:pt idx="141">
                  <c:v>-85.9413609828947</c:v>
                </c:pt>
                <c:pt idx="142">
                  <c:v>-85.96132340938242</c:v>
                </c:pt>
                <c:pt idx="143">
                  <c:v>-85.97284005103577</c:v>
                </c:pt>
                <c:pt idx="144">
                  <c:v>-85.97593793895028</c:v>
                </c:pt>
                <c:pt idx="145">
                  <c:v>-85.97062743291937</c:v>
                </c:pt>
                <c:pt idx="146">
                  <c:v>-85.95690231470094</c:v>
                </c:pt>
                <c:pt idx="147">
                  <c:v>-85.9347398670807</c:v>
                </c:pt>
                <c:pt idx="148">
                  <c:v>-85.90410094055001</c:v>
                </c:pt>
                <c:pt idx="149">
                  <c:v>-85.86493000978382</c:v>
                </c:pt>
                <c:pt idx="150">
                  <c:v>-85.81715522250946</c:v>
                </c:pt>
                <c:pt idx="151">
                  <c:v>-85.76068844380555</c:v>
                </c:pt>
                <c:pt idx="152">
                  <c:v>-85.69542529937206</c:v>
                </c:pt>
                <c:pt idx="153">
                  <c:v>-85.62124522187183</c:v>
                </c:pt>
                <c:pt idx="154">
                  <c:v>-85.53801150507252</c:v>
                </c:pt>
                <c:pt idx="155">
                  <c:v>-85.44557137122385</c:v>
                </c:pt>
                <c:pt idx="156">
                  <c:v>-85.34375605789685</c:v>
                </c:pt>
                <c:pt idx="157">
                  <c:v>-85.23238093139922</c:v>
                </c:pt>
                <c:pt idx="158">
                  <c:v>-85.11124563487657</c:v>
                </c:pt>
                <c:pt idx="159">
                  <c:v>-84.98013428031945</c:v>
                </c:pt>
                <c:pt idx="160">
                  <c:v>-84.8388156949334</c:v>
                </c:pt>
                <c:pt idx="161">
                  <c:v>-84.68704373370338</c:v>
                </c:pt>
                <c:pt idx="162">
                  <c:v>-84.52455767150076</c:v>
                </c:pt>
                <c:pt idx="163">
                  <c:v>-84.35108268975195</c:v>
                </c:pt>
                <c:pt idx="164">
                  <c:v>-84.16633047451347</c:v>
                </c:pt>
                <c:pt idx="165">
                  <c:v>-83.96999994478301</c:v>
                </c:pt>
                <c:pt idx="166">
                  <c:v>-83.76177813201473</c:v>
                </c:pt>
                <c:pt idx="167">
                  <c:v>-83.54134123409627</c:v>
                </c:pt>
                <c:pt idx="168">
                  <c:v>-83.30835586945767</c:v>
                </c:pt>
                <c:pt idx="169">
                  <c:v>-83.06248055950567</c:v>
                </c:pt>
                <c:pt idx="170">
                  <c:v>-82.80336747016024</c:v>
                </c:pt>
                <c:pt idx="171">
                  <c:v>-82.53066444586764</c:v>
                </c:pt>
                <c:pt idx="172">
                  <c:v>-82.24401737199702</c:v>
                </c:pt>
                <c:pt idx="173">
                  <c:v>-81.943072903907</c:v>
                </c:pt>
                <c:pt idx="174">
                  <c:v>-81.62748160306518</c:v>
                </c:pt>
                <c:pt idx="175">
                  <c:v>-81.29690152227474</c:v>
                </c:pt>
                <c:pt idx="176">
                  <c:v>-80.95100228311281</c:v>
                </c:pt>
                <c:pt idx="177">
                  <c:v>-80.58946968889657</c:v>
                </c:pt>
                <c:pt idx="178">
                  <c:v>-80.2120109155981</c:v>
                </c:pt>
                <c:pt idx="179">
                  <c:v>-79.8183603208177</c:v>
                </c:pt>
                <c:pt idx="180">
                  <c:v>-79.40828590685332</c:v>
                </c:pt>
                <c:pt idx="181">
                  <c:v>-78.98159646767748</c:v>
                </c:pt>
                <c:pt idx="182">
                  <c:v>-78.53814944084786</c:v>
                </c:pt>
                <c:pt idx="183">
                  <c:v>-78.07785947358664</c:v>
                </c:pt>
                <c:pt idx="184">
                  <c:v>-77.60070769706125</c:v>
                </c:pt>
                <c:pt idx="185">
                  <c:v>-77.10675168387608</c:v>
                </c:pt>
                <c:pt idx="186">
                  <c:v>-76.59613604063611</c:v>
                </c:pt>
                <c:pt idx="187">
                  <c:v>-76.06910355995726</c:v>
                </c:pt>
                <c:pt idx="188">
                  <c:v>-75.52600682446706</c:v>
                </c:pt>
                <c:pt idx="189">
                  <c:v>-74.96732011935686</c:v>
                </c:pt>
                <c:pt idx="190">
                  <c:v>-74.39365147045288</c:v>
                </c:pt>
                <c:pt idx="191">
                  <c:v>-73.80575458246142</c:v>
                </c:pt>
                <c:pt idx="192">
                  <c:v>-73.20454040831937</c:v>
                </c:pt>
                <c:pt idx="193">
                  <c:v>-72.59108803728182</c:v>
                </c:pt>
                <c:pt idx="194">
                  <c:v>-71.9666545487258</c:v>
                </c:pt>
                <c:pt idx="195">
                  <c:v>-71.3326834434118</c:v>
                </c:pt>
                <c:pt idx="196">
                  <c:v>-70.69081123715326</c:v>
                </c:pt>
                <c:pt idx="197">
                  <c:v>-70.04287178680454</c:v>
                </c:pt>
                <c:pt idx="198">
                  <c:v>-69.39089791842369</c:v>
                </c:pt>
                <c:pt idx="199">
                  <c:v>-68.73711994537769</c:v>
                </c:pt>
                <c:pt idx="200">
                  <c:v>-68.08396070235653</c:v>
                </c:pt>
                <c:pt idx="201">
                  <c:v>-67.43402678113708</c:v>
                </c:pt>
                <c:pt idx="202">
                  <c:v>-66.79009573556283</c:v>
                </c:pt>
                <c:pt idx="203">
                  <c:v>-66.15509912514128</c:v>
                </c:pt>
                <c:pt idx="204">
                  <c:v>-65.53210138578105</c:v>
                </c:pt>
                <c:pt idx="205">
                  <c:v>-64.92427464773645</c:v>
                </c:pt>
                <c:pt idx="206">
                  <c:v>-64.33486975860842</c:v>
                </c:pt>
                <c:pt idx="207">
                  <c:v>-63.76718390607471</c:v>
                </c:pt>
                <c:pt idx="208">
                  <c:v>-63.22452536323799</c:v>
                </c:pt>
                <c:pt idx="209">
                  <c:v>-62.71017599170896</c:v>
                </c:pt>
                <c:pt idx="210">
                  <c:v>-62.22735222734534</c:v>
                </c:pt>
                <c:pt idx="211">
                  <c:v>-61.77916533612036</c:v>
                </c:pt>
                <c:pt idx="212">
                  <c:v>-61.36858176015944</c:v>
                </c:pt>
                <c:pt idx="213">
                  <c:v>-60.99838437611236</c:v>
                </c:pt>
                <c:pt idx="214">
                  <c:v>-60.671135461629525</c:v>
                </c:pt>
                <c:pt idx="215">
                  <c:v>-60.38914211455453</c:v>
                </c:pt>
                <c:pt idx="216">
                  <c:v>-60.1544247988109</c:v>
                </c:pt>
                <c:pt idx="217">
                  <c:v>-59.968689606762375</c:v>
                </c:pt>
                <c:pt idx="218">
                  <c:v>-59.83330473596435</c:v>
                </c:pt>
                <c:pt idx="219">
                  <c:v>-59.74928158382457</c:v>
                </c:pt>
                <c:pt idx="220">
                  <c:v>-59.71726077062492</c:v>
                </c:pt>
                <c:pt idx="221">
                  <c:v>-59.737503311851746</c:v>
                </c:pt>
                <c:pt idx="222">
                  <c:v>-59.80988707546404</c:v>
                </c:pt>
                <c:pt idx="223">
                  <c:v>-59.933908577754664</c:v>
                </c:pt>
                <c:pt idx="224">
                  <c:v>-60.10869009099726</c:v>
                </c:pt>
                <c:pt idx="225">
                  <c:v>-60.332991954817814</c:v>
                </c:pt>
                <c:pt idx="226">
                  <c:v>-60.60522989919946</c:v>
                </c:pt>
                <c:pt idx="227">
                  <c:v>-60.923497098904406</c:v>
                </c:pt>
                <c:pt idx="228">
                  <c:v>-61.28559058706679</c:v>
                </c:pt>
                <c:pt idx="229">
                  <c:v>-61.689041561383604</c:v>
                </c:pt>
                <c:pt idx="230">
                  <c:v>-62.13114902312607</c:v>
                </c:pt>
                <c:pt idx="231">
                  <c:v>-62.60901610180876</c:v>
                </c:pt>
                <c:pt idx="232">
                  <c:v>-63.11958834255311</c:v>
                </c:pt>
                <c:pt idx="233">
                  <c:v>-63.65969317491786</c:v>
                </c:pt>
                <c:pt idx="234">
                  <c:v>-64.2260797468404</c:v>
                </c:pt>
                <c:pt idx="235">
                  <c:v>-64.8154582996789</c:v>
                </c:pt>
                <c:pt idx="236">
                  <c:v>-65.42453828272029</c:v>
                </c:pt>
                <c:pt idx="237">
                  <c:v>-66.05006445832036</c:v>
                </c:pt>
                <c:pt idx="238">
                  <c:v>-66.68885033001433</c:v>
                </c:pt>
                <c:pt idx="239">
                  <c:v>-67.33780833138303</c:v>
                </c:pt>
                <c:pt idx="240">
                  <c:v>-67.9939763371394</c:v>
                </c:pt>
                <c:pt idx="241">
                  <c:v>-68.65454019272076</c:v>
                </c:pt>
                <c:pt idx="242">
                  <c:v>-69.31685209697625</c:v>
                </c:pt>
                <c:pt idx="243">
                  <c:v>-69.97844480689352</c:v>
                </c:pt>
                <c:pt idx="244">
                  <c:v>-70.63704175717484</c:v>
                </c:pt>
                <c:pt idx="245">
                  <c:v>-71.29056329554194</c:v>
                </c:pt>
                <c:pt idx="246">
                  <c:v>-71.93712932327027</c:v>
                </c:pt>
                <c:pt idx="247">
                  <c:v>-72.57505869761582</c:v>
                </c:pt>
                <c:pt idx="248">
                  <c:v>-73.20286579810607</c:v>
                </c:pt>
                <c:pt idx="249">
                  <c:v>-73.81925468310243</c:v>
                </c:pt>
                <c:pt idx="250">
                  <c:v>-74.42311126865302</c:v>
                </c:pt>
              </c:numCache>
            </c:numRef>
          </c:yVal>
          <c:smooth val="1"/>
        </c:ser>
        <c:axId val="62074997"/>
        <c:axId val="21804062"/>
      </c:scatterChart>
      <c:valAx>
        <c:axId val="62074997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1804062"/>
        <c:crosses val="max"/>
        <c:crossBetween val="midCat"/>
        <c:dispUnits/>
      </c:valAx>
      <c:valAx>
        <c:axId val="21804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7499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Open Loop Gain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025"/>
          <c:w val="0.9205"/>
          <c:h val="0.8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'Transfer function'!$G$8</c:f>
              <c:strCache>
                <c:ptCount val="1"/>
                <c:pt idx="0">
                  <c:v>20log(|GH(F)|)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function'!$G$9:$G$259</c:f>
              <c:numCache>
                <c:ptCount val="251"/>
                <c:pt idx="0">
                  <c:v>73.18061705342888</c:v>
                </c:pt>
                <c:pt idx="1">
                  <c:v>72.38264347627562</c:v>
                </c:pt>
                <c:pt idx="2">
                  <c:v>71.98357191310234</c:v>
                </c:pt>
                <c:pt idx="3">
                  <c:v>71.58443656608985</c:v>
                </c:pt>
                <c:pt idx="4">
                  <c:v>71.18523133222234</c:v>
                </c:pt>
                <c:pt idx="5">
                  <c:v>70.78594952716456</c:v>
                </c:pt>
                <c:pt idx="6">
                  <c:v>70.38658383041908</c:v>
                </c:pt>
                <c:pt idx="7">
                  <c:v>69.98712622541657</c:v>
                </c:pt>
                <c:pt idx="8">
                  <c:v>69.58756793409107</c:v>
                </c:pt>
                <c:pt idx="9">
                  <c:v>69.18789934545939</c:v>
                </c:pt>
                <c:pt idx="10">
                  <c:v>68.7881099376856</c:v>
                </c:pt>
                <c:pt idx="11">
                  <c:v>68.38818819307251</c:v>
                </c:pt>
                <c:pt idx="12">
                  <c:v>67.98812150538467</c:v>
                </c:pt>
                <c:pt idx="13">
                  <c:v>67.58789607886206</c:v>
                </c:pt>
                <c:pt idx="14">
                  <c:v>67.18749681824535</c:v>
                </c:pt>
                <c:pt idx="15">
                  <c:v>66.7869072090883</c:v>
                </c:pt>
                <c:pt idx="16">
                  <c:v>66.38610918759122</c:v>
                </c:pt>
                <c:pt idx="17">
                  <c:v>65.98508299914943</c:v>
                </c:pt>
                <c:pt idx="18">
                  <c:v>65.58380704476878</c:v>
                </c:pt>
                <c:pt idx="19">
                  <c:v>65.18225771446708</c:v>
                </c:pt>
                <c:pt idx="20">
                  <c:v>64.7804092067483</c:v>
                </c:pt>
                <c:pt idx="21">
                  <c:v>64.37823333321099</c:v>
                </c:pt>
                <c:pt idx="22">
                  <c:v>63.97569930734113</c:v>
                </c:pt>
                <c:pt idx="23">
                  <c:v>63.572773516533246</c:v>
                </c:pt>
                <c:pt idx="24">
                  <c:v>63.16941927639923</c:v>
                </c:pt>
                <c:pt idx="25">
                  <c:v>62.765596566455244</c:v>
                </c:pt>
                <c:pt idx="26">
                  <c:v>62.36126174633485</c:v>
                </c:pt>
                <c:pt idx="27">
                  <c:v>61.95636725176151</c:v>
                </c:pt>
                <c:pt idx="28">
                  <c:v>61.55086126963893</c:v>
                </c:pt>
                <c:pt idx="29">
                  <c:v>61.14468739178058</c:v>
                </c:pt>
                <c:pt idx="30">
                  <c:v>60.737784247021466</c:v>
                </c:pt>
                <c:pt idx="31">
                  <c:v>60.33008511173284</c:v>
                </c:pt>
                <c:pt idx="32">
                  <c:v>59.92151749911302</c:v>
                </c:pt>
                <c:pt idx="33">
                  <c:v>59.5120027280624</c:v>
                </c:pt>
                <c:pt idx="34">
                  <c:v>59.10145547298253</c:v>
                </c:pt>
                <c:pt idx="35">
                  <c:v>58.689783296477216</c:v>
                </c:pt>
                <c:pt idx="36">
                  <c:v>58.276886167698045</c:v>
                </c:pt>
                <c:pt idx="37">
                  <c:v>57.86265596997175</c:v>
                </c:pt>
                <c:pt idx="38">
                  <c:v>57.44697600239413</c:v>
                </c:pt>
                <c:pt idx="39">
                  <c:v>57.02972048127655</c:v>
                </c:pt>
                <c:pt idx="40">
                  <c:v>56.61075404870189</c:v>
                </c:pt>
                <c:pt idx="41">
                  <c:v>56.18993129698205</c:v>
                </c:pt>
                <c:pt idx="42">
                  <c:v>55.76709631951257</c:v>
                </c:pt>
                <c:pt idx="43">
                  <c:v>55.3420823003733</c:v>
                </c:pt>
                <c:pt idx="44">
                  <c:v>54.914711157007304</c:v>
                </c:pt>
                <c:pt idx="45">
                  <c:v>54.4847932523859</c:v>
                </c:pt>
                <c:pt idx="46">
                  <c:v>54.052127195176496</c:v>
                </c:pt>
                <c:pt idx="47">
                  <c:v>53.6164997485061</c:v>
                </c:pt>
                <c:pt idx="48">
                  <c:v>53.17768586984804</c:v>
                </c:pt>
                <c:pt idx="49">
                  <c:v>52.735448906244365</c:v>
                </c:pt>
                <c:pt idx="50">
                  <c:v>52.289540970351844</c:v>
                </c:pt>
                <c:pt idx="51">
                  <c:v>51.83970352350634</c:v>
                </c:pt>
                <c:pt idx="52">
                  <c:v>51.38566819193998</c:v>
                </c:pt>
                <c:pt idx="53">
                  <c:v>50.92715784125809</c:v>
                </c:pt>
                <c:pt idx="54">
                  <c:v>50.463887932082415</c:v>
                </c:pt>
                <c:pt idx="55">
                  <c:v>49.995568176194574</c:v>
                </c:pt>
                <c:pt idx="56">
                  <c:v>49.52190450741361</c:v>
                </c:pt>
                <c:pt idx="57">
                  <c:v>49.04260137469763</c:v>
                </c:pt>
                <c:pt idx="58">
                  <c:v>48.557364356547225</c:v>
                </c:pt>
                <c:pt idx="59">
                  <c:v>48.06590308578285</c:v>
                </c:pt>
                <c:pt idx="60">
                  <c:v>47.567934462373444</c:v>
                </c:pt>
                <c:pt idx="61">
                  <c:v>47.063186119559845</c:v>
                </c:pt>
                <c:pt idx="62">
                  <c:v>46.55140009555161</c:v>
                </c:pt>
                <c:pt idx="63">
                  <c:v>46.03233665022146</c:v>
                </c:pt>
                <c:pt idx="64">
                  <c:v>45.50577815425828</c:v>
                </c:pt>
                <c:pt idx="65">
                  <c:v>44.9715329680005</c:v>
                </c:pt>
                <c:pt idx="66">
                  <c:v>44.42943921953017</c:v>
                </c:pt>
                <c:pt idx="67">
                  <c:v>43.87936838735001</c:v>
                </c:pt>
                <c:pt idx="68">
                  <c:v>43.3212285927399</c:v>
                </c:pt>
                <c:pt idx="69">
                  <c:v>42.75496751111913</c:v>
                </c:pt>
                <c:pt idx="70">
                  <c:v>42.180574820527774</c:v>
                </c:pt>
                <c:pt idx="71">
                  <c:v>41.59808411846953</c:v>
                </c:pt>
                <c:pt idx="72">
                  <c:v>41.0075742552302</c:v>
                </c:pt>
                <c:pt idx="73">
                  <c:v>40.40917005149662</c:v>
                </c:pt>
                <c:pt idx="74">
                  <c:v>39.8030423894725</c:v>
                </c:pt>
                <c:pt idx="75">
                  <c:v>39.18940768838454</c:v>
                </c:pt>
                <c:pt idx="76">
                  <c:v>38.568526795921684</c:v>
                </c:pt>
                <c:pt idx="77">
                  <c:v>37.94070334545606</c:v>
                </c:pt>
                <c:pt idx="78">
                  <c:v>37.306281643766</c:v>
                </c:pt>
                <c:pt idx="79">
                  <c:v>36.66564416461935</c:v>
                </c:pt>
                <c:pt idx="80">
                  <c:v>36.01920872952058</c:v>
                </c:pt>
                <c:pt idx="81">
                  <c:v>35.367425458096896</c:v>
                </c:pt>
                <c:pt idx="82">
                  <c:v>34.710773567246676</c:v>
                </c:pt>
                <c:pt idx="83">
                  <c:v>34.04975809086003</c:v>
                </c:pt>
                <c:pt idx="84">
                  <c:v>33.38490658141665</c:v>
                </c:pt>
                <c:pt idx="85">
                  <c:v>32.7167658419949</c:v>
                </c:pt>
                <c:pt idx="86">
                  <c:v>32.04589872316398</c:v>
                </c:pt>
                <c:pt idx="87">
                  <c:v>31.372881004851685</c:v>
                </c:pt>
                <c:pt idx="88">
                  <c:v>30.698298369480174</c:v>
                </c:pt>
                <c:pt idx="89">
                  <c:v>30.0227434602326</c:v>
                </c:pt>
                <c:pt idx="90">
                  <c:v>29.346813007916893</c:v>
                </c:pt>
                <c:pt idx="91">
                  <c:v>28.671105002033407</c:v>
                </c:pt>
                <c:pt idx="92">
                  <c:v>27.996215876701896</c:v>
                </c:pt>
                <c:pt idx="93">
                  <c:v>27.322737680282195</c:v>
                </c:pt>
                <c:pt idx="94">
                  <c:v>26.65125519890108</c:v>
                </c:pt>
                <c:pt idx="95">
                  <c:v>25.982343008626437</c:v>
                </c:pt>
                <c:pt idx="96">
                  <c:v>25.316562438497897</c:v>
                </c:pt>
                <c:pt idx="97">
                  <c:v>24.654458436685243</c:v>
                </c:pt>
                <c:pt idx="98">
                  <c:v>23.9965563442115</c:v>
                </c:pt>
                <c:pt idx="99">
                  <c:v>23.34335859430171</c:v>
                </c:pt>
                <c:pt idx="100">
                  <c:v>22.695341369732706</c:v>
                </c:pt>
                <c:pt idx="101">
                  <c:v>22.052951264664344</c:v>
                </c:pt>
                <c:pt idx="102">
                  <c:v>21.416602010379453</c:v>
                </c:pt>
                <c:pt idx="103">
                  <c:v>20.78667133515346</c:v>
                </c:pt>
                <c:pt idx="104">
                  <c:v>20.16349803618933</c:v>
                </c:pt>
                <c:pt idx="105">
                  <c:v>19.547379345391228</c:v>
                </c:pt>
                <c:pt idx="106">
                  <c:v>18.938568670120677</c:v>
                </c:pt>
                <c:pt idx="107">
                  <c:v>18.337273784685912</c:v>
                </c:pt>
                <c:pt idx="108">
                  <c:v>17.7436555382022</c:v>
                </c:pt>
                <c:pt idx="109">
                  <c:v>17.15782713003508</c:v>
                </c:pt>
                <c:pt idx="110">
                  <c:v>16.579853986062908</c:v>
                </c:pt>
                <c:pt idx="111">
                  <c:v>16.00975424852622</c:v>
                </c:pt>
                <c:pt idx="112">
                  <c:v>15.44749987054992</c:v>
                </c:pt>
                <c:pt idx="113">
                  <c:v>14.893018284898499</c:v>
                </c:pt>
                <c:pt idx="114">
                  <c:v>14.346194596506859</c:v>
                </c:pt>
                <c:pt idx="115">
                  <c:v>13.806874231019627</c:v>
                </c:pt>
                <c:pt idx="116">
                  <c:v>13.27486595792761</c:v>
                </c:pt>
                <c:pt idx="117">
                  <c:v>12.74994519753669</c:v>
                </c:pt>
                <c:pt idx="118">
                  <c:v>12.231857516230605</c:v>
                </c:pt>
                <c:pt idx="119">
                  <c:v>11.720322214216486</c:v>
                </c:pt>
                <c:pt idx="120">
                  <c:v>11.21503591380192</c:v>
                </c:pt>
                <c:pt idx="121">
                  <c:v>10.715676063624382</c:v>
                </c:pt>
                <c:pt idx="122">
                  <c:v>10.221904284366595</c:v>
                </c:pt>
                <c:pt idx="123">
                  <c:v>9.733369493492077</c:v>
                </c:pt>
                <c:pt idx="124">
                  <c:v>9.249710759587307</c:v>
                </c:pt>
                <c:pt idx="125">
                  <c:v>8.770559850226094</c:v>
                </c:pt>
                <c:pt idx="126">
                  <c:v>8.295543450218407</c:v>
                </c:pt>
                <c:pt idx="127">
                  <c:v>7.824285039168792</c:v>
                </c:pt>
                <c:pt idx="128">
                  <c:v>7.356406428084288</c:v>
                </c:pt>
                <c:pt idx="129">
                  <c:v>6.891528964129768</c:v>
                </c:pt>
                <c:pt idx="130">
                  <c:v>6.429274420457583</c:v>
                </c:pt>
                <c:pt idx="131">
                  <c:v>5.969265594359974</c:v>
                </c:pt>
                <c:pt idx="132">
                  <c:v>5.511126641926738</c:v>
                </c:pt>
                <c:pt idx="133">
                  <c:v>5.054483181092476</c:v>
                </c:pt>
                <c:pt idx="134">
                  <c:v>4.5989621976326305</c:v>
                </c:pt>
                <c:pt idx="135">
                  <c:v>4.1441917905103285</c:v>
                </c:pt>
                <c:pt idx="136">
                  <c:v>3.6898007941840776</c:v>
                </c:pt>
                <c:pt idx="137">
                  <c:v>3.235418316232011</c:v>
                </c:pt>
                <c:pt idx="138">
                  <c:v>2.7806732290635554</c:v>
                </c:pt>
                <c:pt idx="139">
                  <c:v>2.325193654677868</c:v>
                </c:pt>
                <c:pt idx="140">
                  <c:v>1.8686064814370453</c:v>
                </c:pt>
                <c:pt idx="141">
                  <c:v>1.410536951663722</c:v>
                </c:pt>
                <c:pt idx="142">
                  <c:v>0.9506083584939128</c:v>
                </c:pt>
                <c:pt idx="143">
                  <c:v>0.48844188975062897</c:v>
                </c:pt>
                <c:pt idx="144">
                  <c:v>0.023656655498617868</c:v>
                </c:pt>
                <c:pt idx="145">
                  <c:v>-0.4441300657442919</c:v>
                </c:pt>
                <c:pt idx="146">
                  <c:v>-0.9153023296296501</c:v>
                </c:pt>
                <c:pt idx="147">
                  <c:v>-1.390244748374011</c:v>
                </c:pt>
                <c:pt idx="148">
                  <c:v>-1.8693414084873692</c:v>
                </c:pt>
                <c:pt idx="149">
                  <c:v>-2.352974465370622</c:v>
                </c:pt>
                <c:pt idx="150">
                  <c:v>-2.8415224037684395</c:v>
                </c:pt>
                <c:pt idx="151">
                  <c:v>-3.3353579620425715</c:v>
                </c:pt>
                <c:pt idx="152">
                  <c:v>-3.834845728683214</c:v>
                </c:pt>
                <c:pt idx="153">
                  <c:v>-4.340339431227893</c:v>
                </c:pt>
                <c:pt idx="154">
                  <c:v>-4.8521789504863</c:v>
                </c:pt>
                <c:pt idx="155">
                  <c:v>-5.370687106192909</c:v>
                </c:pt>
                <c:pt idx="156">
                  <c:v>-5.896166273311981</c:v>
                </c:pt>
                <c:pt idx="157">
                  <c:v>-6.428894900443584</c:v>
                </c:pt>
                <c:pt idx="158">
                  <c:v>-6.96912401229005</c:v>
                </c:pt>
                <c:pt idx="159">
                  <c:v>-7.517073786087351</c:v>
                </c:pt>
                <c:pt idx="160">
                  <c:v>-8.072930296473167</c:v>
                </c:pt>
                <c:pt idx="161">
                  <c:v>-8.636842523790063</c:v>
                </c:pt>
                <c:pt idx="162">
                  <c:v>-9.208919716857785</c:v>
                </c:pt>
                <c:pt idx="163">
                  <c:v>-9.789229192641734</c:v>
                </c:pt>
                <c:pt idx="164">
                  <c:v>-10.377794642179142</c:v>
                </c:pt>
                <c:pt idx="165">
                  <c:v>-10.97459499514343</c:v>
                </c:pt>
                <c:pt idx="166">
                  <c:v>-11.579563875406595</c:v>
                </c:pt>
                <c:pt idx="167">
                  <c:v>-12.192589658042408</c:v>
                </c:pt>
                <c:pt idx="168">
                  <c:v>-12.813516115720901</c:v>
                </c:pt>
                <c:pt idx="169">
                  <c:v>-13.442143620757676</c:v>
                </c:pt>
                <c:pt idx="170">
                  <c:v>-14.078230849506141</c:v>
                </c:pt>
                <c:pt idx="171">
                  <c:v>-14.72149691945142</c:v>
                </c:pt>
                <c:pt idx="172">
                  <c:v>-15.37162387712913</c:v>
                </c:pt>
                <c:pt idx="173">
                  <c:v>-16.02825944736966</c:v>
                </c:pt>
                <c:pt idx="174">
                  <c:v>-16.691019951520673</c:v>
                </c:pt>
                <c:pt idx="175">
                  <c:v>-17.35949330404393</c:v>
                </c:pt>
                <c:pt idx="176">
                  <c:v>-18.03324200276442</c:v>
                </c:pt>
                <c:pt idx="177">
                  <c:v>-18.711806037367285</c:v>
                </c:pt>
                <c:pt idx="178">
                  <c:v>-19.394705652689236</c:v>
                </c:pt>
                <c:pt idx="179">
                  <c:v>-20.08144391706078</c:v>
                </c:pt>
                <c:pt idx="180">
                  <c:v>-20.771509060565712</c:v>
                </c:pt>
                <c:pt idx="181">
                  <c:v>-21.464376562838158</c:v>
                </c:pt>
                <c:pt idx="182">
                  <c:v>-22.159510984240214</c:v>
                </c:pt>
                <c:pt idx="183">
                  <c:v>-22.8563675474423</c:v>
                </c:pt>
                <c:pt idx="184">
                  <c:v>-23.554393488169598</c:v>
                </c:pt>
                <c:pt idx="185">
                  <c:v>-24.253029203907257</c:v>
                </c:pt>
                <c:pt idx="186">
                  <c:v>-24.951709237523268</c:v>
                </c:pt>
                <c:pt idx="187">
                  <c:v>-25.649863138960104</c:v>
                </c:pt>
                <c:pt idx="188">
                  <c:v>-26.346916252345295</c:v>
                </c:pt>
                <c:pt idx="189">
                  <c:v>-27.042290478052983</c:v>
                </c:pt>
                <c:pt idx="190">
                  <c:v>-27.73540505942378</c:v>
                </c:pt>
                <c:pt idx="191">
                  <c:v>-28.425677442024654</c:v>
                </c:pt>
                <c:pt idx="192">
                  <c:v>-29.1125242495161</c:v>
                </c:pt>
                <c:pt idx="193">
                  <c:v>-29.79536241441356</c:v>
                </c:pt>
                <c:pt idx="194">
                  <c:v>-30.47361049434368</c:v>
                </c:pt>
                <c:pt idx="195">
                  <c:v>-31.146690194895548</c:v>
                </c:pt>
                <c:pt idx="196">
                  <c:v>-31.814028109043925</c:v>
                </c:pt>
                <c:pt idx="197">
                  <c:v>-32.47505767064312</c:v>
                </c:pt>
                <c:pt idx="198">
                  <c:v>-33.12922130606264</c:v>
                </c:pt>
                <c:pt idx="199">
                  <c:v>-33.77597275419042</c:v>
                </c:pt>
                <c:pt idx="200">
                  <c:v>-34.414779511428655</c:v>
                </c:pt>
                <c:pt idx="201">
                  <c:v>-35.04512534573091</c:v>
                </c:pt>
                <c:pt idx="202">
                  <c:v>-35.666512813029655</c:v>
                </c:pt>
                <c:pt idx="203">
                  <c:v>-36.27846570145275</c:v>
                </c:pt>
                <c:pt idx="204">
                  <c:v>-36.880531324337355</c:v>
                </c:pt>
                <c:pt idx="205">
                  <c:v>-37.47228258289887</c:v>
                </c:pt>
                <c:pt idx="206">
                  <c:v>-38.05331972394645</c:v>
                </c:pt>
                <c:pt idx="207">
                  <c:v>-38.623271727403036</c:v>
                </c:pt>
                <c:pt idx="208">
                  <c:v>-39.181797272374254</c:v>
                </c:pt>
                <c:pt idx="209">
                  <c:v>-39.728585248539865</c:v>
                </c:pt>
                <c:pt idx="210">
                  <c:v>-40.26335480075369</c:v>
                </c:pt>
                <c:pt idx="211">
                  <c:v>-40.78585491769175</c:v>
                </c:pt>
                <c:pt idx="212">
                  <c:v>-41.295863598714874</c:v>
                </c:pt>
                <c:pt idx="213">
                  <c:v>-41.79318665525197</c:v>
                </c:pt>
                <c:pt idx="214">
                  <c:v>-42.27765622243816</c:v>
                </c:pt>
                <c:pt idx="215">
                  <c:v>-42.749129072107564</c:v>
                </c:pt>
                <c:pt idx="216">
                  <c:v>-43.20748482843713</c:v>
                </c:pt>
                <c:pt idx="217">
                  <c:v>-43.652624191854706</c:v>
                </c:pt>
                <c:pt idx="218">
                  <c:v>-44.084467274908135</c:v>
                </c:pt>
                <c:pt idx="219">
                  <c:v>-44.502952145742654</c:v>
                </c:pt>
                <c:pt idx="220">
                  <c:v>-44.90803366110364</c:v>
                </c:pt>
                <c:pt idx="221">
                  <c:v>-45.29968265220912</c:v>
                </c:pt>
                <c:pt idx="222">
                  <c:v>-45.67788550450786</c:v>
                </c:pt>
                <c:pt idx="223">
                  <c:v>-46.042644147575096</c:v>
                </c:pt>
                <c:pt idx="224">
                  <c:v>-46.393976445640355</c:v>
                </c:pt>
                <c:pt idx="225">
                  <c:v>-46.73191695399041</c:v>
                </c:pt>
                <c:pt idx="226">
                  <c:v>-47.05651798320909</c:v>
                </c:pt>
                <c:pt idx="227">
                  <c:v>-47.3678508932838</c:v>
                </c:pt>
                <c:pt idx="228">
                  <c:v>-47.66600752419593</c:v>
                </c:pt>
                <c:pt idx="229">
                  <c:v>-47.95110165964428</c:v>
                </c:pt>
                <c:pt idx="230">
                  <c:v>-48.223270416631266</c:v>
                </c:pt>
                <c:pt idx="231">
                  <c:v>-48.482675455980356</c:v>
                </c:pt>
                <c:pt idx="232">
                  <c:v>-48.729503917262946</c:v>
                </c:pt>
                <c:pt idx="233">
                  <c:v>-48.96396899549888</c:v>
                </c:pt>
                <c:pt idx="234">
                  <c:v>-49.186310095385046</c:v>
                </c:pt>
                <c:pt idx="235">
                  <c:v>-49.39679252042029</c:v>
                </c:pt>
                <c:pt idx="236">
                  <c:v>-49.59570667767661</c:v>
                </c:pt>
                <c:pt idx="237">
                  <c:v>-49.7833668025376</c:v>
                </c:pt>
                <c:pt idx="238">
                  <c:v>-49.96010923001448</c:v>
                </c:pt>
                <c:pt idx="239">
                  <c:v>-50.12629025891555</c:v>
                </c:pt>
                <c:pt idx="240">
                  <c:v>-50.28228367114809</c:v>
                </c:pt>
                <c:pt idx="241">
                  <c:v>-50.428477980083144</c:v>
                </c:pt>
                <c:pt idx="242">
                  <c:v>-50.56527348887866</c:v>
                </c:pt>
                <c:pt idx="243">
                  <c:v>-50.6930792419991</c:v>
                </c:pt>
                <c:pt idx="244">
                  <c:v>-50.81230995123751</c:v>
                </c:pt>
                <c:pt idx="245">
                  <c:v>-50.92338297197379</c:v>
                </c:pt>
                <c:pt idx="246">
                  <c:v>-51.026715396963375</c:v>
                </c:pt>
                <c:pt idx="247">
                  <c:v>-51.122721324509016</c:v>
                </c:pt>
                <c:pt idx="248">
                  <c:v>-51.21180934628387</c:v>
                </c:pt>
                <c:pt idx="249">
                  <c:v>-51.29438028813526</c:v>
                </c:pt>
                <c:pt idx="250">
                  <c:v>-51.37082522558493</c:v>
                </c:pt>
              </c:numCache>
            </c:numRef>
          </c:yVal>
          <c:smooth val="1"/>
        </c:ser>
        <c:axId val="62018831"/>
        <c:axId val="21298568"/>
      </c:scatterChart>
      <c:valAx>
        <c:axId val="62018831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cross"/>
        <c:tickLblPos val="nextTo"/>
        <c:spPr>
          <a:ln w="3175">
            <a:solidFill>
              <a:srgbClr val="808080"/>
            </a:solidFill>
          </a:ln>
        </c:spPr>
        <c:crossAx val="21298568"/>
        <c:crosses val="autoZero"/>
        <c:crossBetween val="midCat"/>
        <c:dispUnits/>
      </c:valAx>
      <c:valAx>
        <c:axId val="2129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88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Open Loop Phase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1175"/>
          <c:w val="0.91225"/>
          <c:h val="0.88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'Transfer function'!$H$8</c:f>
              <c:strCache>
                <c:ptCount val="1"/>
                <c:pt idx="0">
                  <c:v>Arg(GH(f)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function'!$H$9:$H$259</c:f>
              <c:numCache>
                <c:ptCount val="251"/>
                <c:pt idx="0">
                  <c:v>88.23181759227136</c:v>
                </c:pt>
                <c:pt idx="1">
                  <c:v>88.06215076153902</c:v>
                </c:pt>
                <c:pt idx="2">
                  <c:v>87.97132273922105</c:v>
                </c:pt>
                <c:pt idx="3">
                  <c:v>87.87625038652138</c:v>
                </c:pt>
                <c:pt idx="4">
                  <c:v>87.77673725761102</c:v>
                </c:pt>
                <c:pt idx="5">
                  <c:v>87.67257809258528</c:v>
                </c:pt>
                <c:pt idx="6">
                  <c:v>87.56355846321618</c:v>
                </c:pt>
                <c:pt idx="7">
                  <c:v>87.44945441072055</c:v>
                </c:pt>
                <c:pt idx="8">
                  <c:v>87.33003207641197</c:v>
                </c:pt>
                <c:pt idx="9">
                  <c:v>87.20504732631939</c:v>
                </c:pt>
                <c:pt idx="10">
                  <c:v>87.07424537110556</c:v>
                </c:pt>
                <c:pt idx="11">
                  <c:v>86.93736038290648</c:v>
                </c:pt>
                <c:pt idx="12">
                  <c:v>86.79411511104294</c:v>
                </c:pt>
                <c:pt idx="13">
                  <c:v>86.64422049893875</c:v>
                </c:pt>
                <c:pt idx="14">
                  <c:v>86.48737530501185</c:v>
                </c:pt>
                <c:pt idx="15">
                  <c:v>86.3232657308073</c:v>
                </c:pt>
                <c:pt idx="16">
                  <c:v>86.15156506020516</c:v>
                </c:pt>
                <c:pt idx="17">
                  <c:v>85.97193331418376</c:v>
                </c:pt>
                <c:pt idx="18">
                  <c:v>85.78401692635087</c:v>
                </c:pt>
                <c:pt idx="19">
                  <c:v>85.58744844528327</c:v>
                </c:pt>
                <c:pt idx="20">
                  <c:v>85.38184627064959</c:v>
                </c:pt>
                <c:pt idx="21">
                  <c:v>85.16681443114206</c:v>
                </c:pt>
                <c:pt idx="22">
                  <c:v>84.94194241341864</c:v>
                </c:pt>
                <c:pt idx="23">
                  <c:v>84.70680505257319</c:v>
                </c:pt>
                <c:pt idx="24">
                  <c:v>84.46096249611</c:v>
                </c:pt>
                <c:pt idx="25">
                  <c:v>84.20396025501957</c:v>
                </c:pt>
                <c:pt idx="26">
                  <c:v>83.93532935733133</c:v>
                </c:pt>
                <c:pt idx="27">
                  <c:v>83.65458662147125</c:v>
                </c:pt>
                <c:pt idx="28">
                  <c:v>83.3612350688749</c:v>
                </c:pt>
                <c:pt idx="29">
                  <c:v>83.05476449759605</c:v>
                </c:pt>
                <c:pt idx="30">
                  <c:v>82.73465224110389</c:v>
                </c:pt>
                <c:pt idx="31">
                  <c:v>82.40036413905567</c:v>
                </c:pt>
                <c:pt idx="32">
                  <c:v>82.05135574954556</c:v>
                </c:pt>
                <c:pt idx="33">
                  <c:v>81.68707383511908</c:v>
                </c:pt>
                <c:pt idx="34">
                  <c:v>81.30695815765588</c:v>
                </c:pt>
                <c:pt idx="35">
                  <c:v>80.91044361998385</c:v>
                </c:pt>
                <c:pt idx="36">
                  <c:v>80.49696279469893</c:v>
                </c:pt>
                <c:pt idx="37">
                  <c:v>80.06594888300337</c:v>
                </c:pt>
                <c:pt idx="38">
                  <c:v>79.61683914828434</c:v>
                </c:pt>
                <c:pt idx="39">
                  <c:v>79.14907887044316</c:v>
                </c:pt>
                <c:pt idx="40">
                  <c:v>78.66212586743146</c:v>
                </c:pt>
                <c:pt idx="41">
                  <c:v>78.15545562976997</c:v>
                </c:pt>
                <c:pt idx="42">
                  <c:v>77.62856711172688</c:v>
                </c:pt>
                <c:pt idx="43">
                  <c:v>77.08098921893942</c:v>
                </c:pt>
                <c:pt idx="44">
                  <c:v>76.51228802621318</c:v>
                </c:pt>
                <c:pt idx="45">
                  <c:v>75.92207475059163</c:v>
                </c:pt>
                <c:pt idx="46">
                  <c:v>75.31001449314384</c:v>
                </c:pt>
                <c:pt idx="47">
                  <c:v>74.67583574785166</c:v>
                </c:pt>
                <c:pt idx="48">
                  <c:v>74.01934065712483</c:v>
                </c:pt>
                <c:pt idx="49">
                  <c:v>73.34041597052837</c:v>
                </c:pt>
                <c:pt idx="50">
                  <c:v>72.63904463614077</c:v>
                </c:pt>
                <c:pt idx="51">
                  <c:v>71.9153179225682</c:v>
                </c:pt>
                <c:pt idx="52">
                  <c:v>71.16944793433643</c:v>
                </c:pt>
                <c:pt idx="53">
                  <c:v>70.40178034473932</c:v>
                </c:pt>
                <c:pt idx="54">
                  <c:v>69.61280712925293</c:v>
                </c:pt>
                <c:pt idx="55">
                  <c:v>68.80317904071032</c:v>
                </c:pt>
                <c:pt idx="56">
                  <c:v>67.97371752650233</c:v>
                </c:pt>
                <c:pt idx="57">
                  <c:v>67.12542575041714</c:v>
                </c:pt>
                <c:pt idx="58">
                  <c:v>66.25949835016029</c:v>
                </c:pt>
                <c:pt idx="59">
                  <c:v>65.37732953912571</c:v>
                </c:pt>
                <c:pt idx="60">
                  <c:v>64.48051915083582</c:v>
                </c:pt>
                <c:pt idx="61">
                  <c:v>63.5708762296954</c:v>
                </c:pt>
                <c:pt idx="62">
                  <c:v>62.65041979501222</c:v>
                </c:pt>
                <c:pt idx="63">
                  <c:v>61.721376448529526</c:v>
                </c:pt>
                <c:pt idx="64">
                  <c:v>60.786174559883925</c:v>
                </c:pt>
                <c:pt idx="65">
                  <c:v>59.8474348488587</c:v>
                </c:pt>
                <c:pt idx="66">
                  <c:v>58.907957285922464</c:v>
                </c:pt>
                <c:pt idx="67">
                  <c:v>57.970704349415726</c:v>
                </c:pt>
                <c:pt idx="68">
                  <c:v>57.03878080337364</c:v>
                </c:pt>
                <c:pt idx="69">
                  <c:v>56.11541028747453</c:v>
                </c:pt>
                <c:pt idx="70">
                  <c:v>55.203909132220666</c:v>
                </c:pt>
                <c:pt idx="71">
                  <c:v>54.307657920182976</c:v>
                </c:pt>
                <c:pt idx="72">
                  <c:v>53.43007140045918</c:v>
                </c:pt>
                <c:pt idx="73">
                  <c:v>52.57456742208048</c:v>
                </c:pt>
                <c:pt idx="74">
                  <c:v>51.74453557858079</c:v>
                </c:pt>
                <c:pt idx="75">
                  <c:v>50.943306248269685</c:v>
                </c:pt>
                <c:pt idx="76">
                  <c:v>50.174120673501356</c:v>
                </c:pt>
                <c:pt idx="77">
                  <c:v>49.440102650593595</c:v>
                </c:pt>
                <c:pt idx="78">
                  <c:v>48.74423230542102</c:v>
                </c:pt>
                <c:pt idx="79">
                  <c:v>48.0893223152278</c:v>
                </c:pt>
                <c:pt idx="80">
                  <c:v>47.47799681303783</c:v>
                </c:pt>
                <c:pt idx="81">
                  <c:v>46.912673085580415</c:v>
                </c:pt>
                <c:pt idx="82">
                  <c:v>46.39554605689413</c:v>
                </c:pt>
                <c:pt idx="83">
                  <c:v>45.92857544461874</c:v>
                </c:pt>
                <c:pt idx="84">
                  <c:v>45.51347538990467</c:v>
                </c:pt>
                <c:pt idx="85">
                  <c:v>45.15170629856258</c:v>
                </c:pt>
                <c:pt idx="86">
                  <c:v>44.8444685925349</c:v>
                </c:pt>
                <c:pt idx="87">
                  <c:v>44.59269805726013</c:v>
                </c:pt>
                <c:pt idx="88">
                  <c:v>44.397062480840404</c:v>
                </c:pt>
                <c:pt idx="89">
                  <c:v>44.2579593127405</c:v>
                </c:pt>
                <c:pt idx="90">
                  <c:v>44.17551411971683</c:v>
                </c:pt>
                <c:pt idx="91">
                  <c:v>44.149579680835075</c:v>
                </c:pt>
                <c:pt idx="92">
                  <c:v>44.1797356373831</c:v>
                </c:pt>
                <c:pt idx="93">
                  <c:v>44.26528869252973</c:v>
                </c:pt>
                <c:pt idx="94">
                  <c:v>44.40527343495163</c:v>
                </c:pt>
                <c:pt idx="95">
                  <c:v>44.59845393551567</c:v>
                </c:pt>
                <c:pt idx="96">
                  <c:v>44.843326331806246</c:v>
                </c:pt>
                <c:pt idx="97">
                  <c:v>45.138122667333974</c:v>
                </c:pt>
                <c:pt idx="98">
                  <c:v>45.48081628666387</c:v>
                </c:pt>
                <c:pt idx="99">
                  <c:v>45.86912910100862</c:v>
                </c:pt>
                <c:pt idx="100">
                  <c:v>46.30054102855952</c:v>
                </c:pt>
                <c:pt idx="101">
                  <c:v>46.772301878632575</c:v>
                </c:pt>
                <c:pt idx="102">
                  <c:v>47.28144588864263</c:v>
                </c:pt>
                <c:pt idx="103">
                  <c:v>47.82480903978454</c:v>
                </c:pt>
                <c:pt idx="104">
                  <c:v>48.39904917455759</c:v>
                </c:pt>
                <c:pt idx="105">
                  <c:v>49.000668822196296</c:v>
                </c:pt>
                <c:pt idx="106">
                  <c:v>49.62604051341299</c:v>
                </c:pt>
                <c:pt idx="107">
                  <c:v>50.27143424149121</c:v>
                </c:pt>
                <c:pt idx="108">
                  <c:v>50.93304661110385</c:v>
                </c:pt>
                <c:pt idx="109">
                  <c:v>51.607031117499446</c:v>
                </c:pt>
                <c:pt idx="110">
                  <c:v>52.289528924204895</c:v>
                </c:pt>
                <c:pt idx="111">
                  <c:v>52.97669946283157</c:v>
                </c:pt>
                <c:pt idx="112">
                  <c:v>53.664750167403625</c:v>
                </c:pt>
                <c:pt idx="113">
                  <c:v>54.34996467878577</c:v>
                </c:pt>
                <c:pt idx="114">
                  <c:v>55.02872891057814</c:v>
                </c:pt>
                <c:pt idx="115">
                  <c:v>55.69755445215896</c:v>
                </c:pt>
                <c:pt idx="116">
                  <c:v>56.35309889127001</c:v>
                </c:pt>
                <c:pt idx="117">
                  <c:v>56.99218276031379</c:v>
                </c:pt>
                <c:pt idx="118">
                  <c:v>57.611802939329834</c:v>
                </c:pt>
                <c:pt idx="119">
                  <c:v>58.20914247665173</c:v>
                </c:pt>
                <c:pt idx="120">
                  <c:v>58.78157690850015</c:v>
                </c:pt>
                <c:pt idx="121">
                  <c:v>59.32667726554041</c:v>
                </c:pt>
                <c:pt idx="122">
                  <c:v>59.84221004361417</c:v>
                </c:pt>
                <c:pt idx="123">
                  <c:v>60.326134485088815</c:v>
                </c:pt>
                <c:pt idx="124">
                  <c:v>60.77659756575986</c:v>
                </c:pt>
                <c:pt idx="125">
                  <c:v>61.19192711069473</c:v>
                </c:pt>
                <c:pt idx="126">
                  <c:v>61.57062347258521</c:v>
                </c:pt>
                <c:pt idx="127">
                  <c:v>61.91135020061923</c:v>
                </c:pt>
                <c:pt idx="128">
                  <c:v>62.2129241095976</c:v>
                </c:pt>
                <c:pt idx="129">
                  <c:v>62.47430513107662</c:v>
                </c:pt>
                <c:pt idx="130">
                  <c:v>62.69458629369299</c:v>
                </c:pt>
                <c:pt idx="131">
                  <c:v>62.8729841411735</c:v>
                </c:pt>
                <c:pt idx="132">
                  <c:v>63.008829856057204</c:v>
                </c:pt>
                <c:pt idx="133">
                  <c:v>63.10156131658081</c:v>
                </c:pt>
                <c:pt idx="134">
                  <c:v>63.15071627472036</c:v>
                </c:pt>
                <c:pt idx="135">
                  <c:v>63.15592680576413</c:v>
                </c:pt>
                <c:pt idx="136">
                  <c:v>63.11691514431303</c:v>
                </c:pt>
                <c:pt idx="137">
                  <c:v>63.033490988207305</c:v>
                </c:pt>
                <c:pt idx="138">
                  <c:v>62.90555032020973</c:v>
                </c:pt>
                <c:pt idx="139">
                  <c:v>62.73307576677116</c:v>
                </c:pt>
                <c:pt idx="140">
                  <c:v>62.51613848317497</c:v>
                </c:pt>
                <c:pt idx="141">
                  <c:v>62.254901524076594</c:v>
                </c:pt>
                <c:pt idx="142">
                  <c:v>61.94962462719054</c:v>
                </c:pt>
                <c:pt idx="143">
                  <c:v>61.60067030506755</c:v>
                </c:pt>
                <c:pt idx="144">
                  <c:v>61.20851110510223</c:v>
                </c:pt>
                <c:pt idx="145">
                  <c:v>60.77373786100573</c:v>
                </c:pt>
                <c:pt idx="146">
                  <c:v>60.29706872017228</c:v>
                </c:pt>
                <c:pt idx="147">
                  <c:v>59.77935869126618</c:v>
                </c:pt>
                <c:pt idx="148">
                  <c:v>59.22160941608301</c:v>
                </c:pt>
                <c:pt idx="149">
                  <c:v>58.62497883086974</c:v>
                </c:pt>
                <c:pt idx="150">
                  <c:v>57.99079034693245</c:v>
                </c:pt>
                <c:pt idx="151">
                  <c:v>57.320541151079176</c:v>
                </c:pt>
                <c:pt idx="152">
                  <c:v>56.61590920614253</c:v>
                </c:pt>
                <c:pt idx="153">
                  <c:v>55.8787585235841</c:v>
                </c:pt>
                <c:pt idx="154">
                  <c:v>55.11114228704974</c:v>
                </c:pt>
                <c:pt idx="155">
                  <c:v>54.31530343039666</c:v>
                </c:pt>
                <c:pt idx="156">
                  <c:v>53.49367231814512</c:v>
                </c:pt>
                <c:pt idx="157">
                  <c:v>52.648861241501756</c:v>
                </c:pt>
                <c:pt idx="158">
                  <c:v>51.78365552863784</c:v>
                </c:pt>
                <c:pt idx="159">
                  <c:v>50.901001171826145</c:v>
                </c:pt>
                <c:pt idx="160">
                  <c:v>50.003988992621736</c:v>
                </c:pt>
                <c:pt idx="161">
                  <c:v>49.095835494168796</c:v>
                </c:pt>
                <c:pt idx="162">
                  <c:v>48.17986068017527</c:v>
                </c:pt>
                <c:pt idx="163">
                  <c:v>47.25946324538166</c:v>
                </c:pt>
                <c:pt idx="164">
                  <c:v>46.3380936544306</c:v>
                </c:pt>
                <c:pt idx="165">
                  <c:v>45.41922571722096</c:v>
                </c:pt>
                <c:pt idx="166">
                  <c:v>44.50632733257498</c:v>
                </c:pt>
                <c:pt idx="167">
                  <c:v>43.60283110360118</c:v>
                </c:pt>
                <c:pt idx="168">
                  <c:v>42.71210552508908</c:v>
                </c:pt>
                <c:pt idx="169">
                  <c:v>41.83742740573574</c:v>
                </c:pt>
                <c:pt idx="170">
                  <c:v>40.98195611874498</c:v>
                </c:pt>
                <c:pt idx="171">
                  <c:v>40.14871017829853</c:v>
                </c:pt>
                <c:pt idx="172">
                  <c:v>39.340546523403205</c:v>
                </c:pt>
                <c:pt idx="173">
                  <c:v>38.56014276244957</c:v>
                </c:pt>
                <c:pt idx="174">
                  <c:v>37.80998249972691</c:v>
                </c:pt>
                <c:pt idx="175">
                  <c:v>37.092343736888694</c:v>
                </c:pt>
                <c:pt idx="176">
                  <c:v>36.409290224827906</c:v>
                </c:pt>
                <c:pt idx="177">
                  <c:v>35.762665540053</c:v>
                </c:pt>
                <c:pt idx="178">
                  <c:v>35.15408957820786</c:v>
                </c:pt>
                <c:pt idx="179">
                  <c:v>34.58495709808203</c:v>
                </c:pt>
                <c:pt idx="180">
                  <c:v>34.056437912814246</c:v>
                </c:pt>
                <c:pt idx="181">
                  <c:v>33.56947831034471</c:v>
                </c:pt>
                <c:pt idx="182">
                  <c:v>33.12480329079529</c:v>
                </c:pt>
                <c:pt idx="183">
                  <c:v>32.72291923199254</c:v>
                </c:pt>
                <c:pt idx="184">
                  <c:v>32.36411663309426</c:v>
                </c:pt>
                <c:pt idx="185">
                  <c:v>32.04847263742447</c:v>
                </c:pt>
                <c:pt idx="186">
                  <c:v>31.77585309647897</c:v>
                </c:pt>
                <c:pt idx="187">
                  <c:v>31.545914005136797</c:v>
                </c:pt>
                <c:pt idx="188">
                  <c:v>31.35810221116636</c:v>
                </c:pt>
                <c:pt idx="189">
                  <c:v>31.211655378134843</c:v>
                </c:pt>
                <c:pt idx="190">
                  <c:v>31.105601257971145</c:v>
                </c:pt>
                <c:pt idx="191">
                  <c:v>31.038756405859484</c:v>
                </c:pt>
                <c:pt idx="192">
                  <c:v>31.009724544039617</c:v>
                </c:pt>
                <c:pt idx="193">
                  <c:v>31.016894850375248</c:v>
                </c:pt>
                <c:pt idx="194">
                  <c:v>31.05844051000156</c:v>
                </c:pt>
                <c:pt idx="195">
                  <c:v>31.13231792142828</c:v>
                </c:pt>
                <c:pt idx="196">
                  <c:v>31.236266989374577</c:v>
                </c:pt>
                <c:pt idx="197">
                  <c:v>31.367812962478155</c:v>
                </c:pt>
                <c:pt idx="198">
                  <c:v>31.524270281984638</c:v>
                </c:pt>
                <c:pt idx="199">
                  <c:v>31.702748895056647</c:v>
                </c:pt>
                <c:pt idx="200">
                  <c:v>31.90016345151598</c:v>
                </c:pt>
                <c:pt idx="201">
                  <c:v>32.11324574463906</c:v>
                </c:pt>
                <c:pt idx="202">
                  <c:v>32.338560675333206</c:v>
                </c:pt>
                <c:pt idx="203">
                  <c:v>32.572525916375994</c:v>
                </c:pt>
                <c:pt idx="204">
                  <c:v>32.81143533277603</c:v>
                </c:pt>
                <c:pt idx="205">
                  <c:v>33.051486080701835</c:v>
                </c:pt>
                <c:pt idx="206">
                  <c:v>33.28880916718794</c:v>
                </c:pt>
                <c:pt idx="207">
                  <c:v>33.519503113317</c:v>
                </c:pt>
                <c:pt idx="208">
                  <c:v>33.73967023253677</c:v>
                </c:pt>
                <c:pt idx="209">
                  <c:v>33.94545492071067</c:v>
                </c:pt>
                <c:pt idx="210">
                  <c:v>34.13308326188572</c:v>
                </c:pt>
                <c:pt idx="211">
                  <c:v>34.29890318850117</c:v>
                </c:pt>
                <c:pt idx="212">
                  <c:v>34.43942439960877</c:v>
                </c:pt>
                <c:pt idx="213">
                  <c:v>34.55135723611588</c:v>
                </c:pt>
                <c:pt idx="214">
                  <c:v>34.63164973618956</c:v>
                </c:pt>
                <c:pt idx="215">
                  <c:v>34.67752214302363</c:v>
                </c:pt>
                <c:pt idx="216">
                  <c:v>34.686498205879055</c:v>
                </c:pt>
                <c:pt idx="217">
                  <c:v>34.65643269775529</c:v>
                </c:pt>
                <c:pt idx="218">
                  <c:v>34.58553466332355</c:v>
                </c:pt>
                <c:pt idx="219">
                  <c:v>34.47238600371816</c:v>
                </c:pt>
                <c:pt idx="220">
                  <c:v>34.31595509656291</c:v>
                </c:pt>
                <c:pt idx="221">
                  <c:v>34.11560523796211</c:v>
                </c:pt>
                <c:pt idx="222">
                  <c:v>33.87109777747987</c:v>
                </c:pt>
                <c:pt idx="223">
                  <c:v>33.582589898192914</c:v>
                </c:pt>
                <c:pt idx="224">
                  <c:v>33.250627073559066</c:v>
                </c:pt>
                <c:pt idx="225">
                  <c:v>32.876130313385154</c:v>
                </c:pt>
                <c:pt idx="226">
                  <c:v>32.46037839458311</c:v>
                </c:pt>
                <c:pt idx="227">
                  <c:v>32.00498535997404</c:v>
                </c:pt>
                <c:pt idx="228">
                  <c:v>31.511873659951085</c:v>
                </c:pt>
                <c:pt idx="229">
                  <c:v>30.983243405716873</c:v>
                </c:pt>
                <c:pt idx="230">
                  <c:v>30.421538295648592</c:v>
                </c:pt>
                <c:pt idx="231">
                  <c:v>29.829408863409018</c:v>
                </c:pt>
                <c:pt idx="232">
                  <c:v>29.209673771949127</c:v>
                </c:pt>
                <c:pt idx="233">
                  <c:v>28.56527993556861</c:v>
                </c:pt>
                <c:pt idx="234">
                  <c:v>27.899262287127733</c:v>
                </c:pt>
                <c:pt idx="235">
                  <c:v>27.21470401497677</c:v>
                </c:pt>
                <c:pt idx="236">
                  <c:v>26.514698071645274</c:v>
                </c:pt>
                <c:pt idx="237">
                  <c:v>25.802310703402004</c:v>
                </c:pt>
                <c:pt idx="238">
                  <c:v>25.08054766851346</c:v>
                </c:pt>
                <c:pt idx="239">
                  <c:v>24.352323706488985</c:v>
                </c:pt>
                <c:pt idx="240">
                  <c:v>23.620435696845895</c:v>
                </c:pt>
                <c:pt idx="241">
                  <c:v>22.887539811034596</c:v>
                </c:pt>
                <c:pt idx="242">
                  <c:v>22.156132822814897</c:v>
                </c:pt>
                <c:pt idx="243">
                  <c:v>21.428537607965023</c:v>
                </c:pt>
                <c:pt idx="244">
                  <c:v>20.706892740311524</c:v>
                </c:pt>
                <c:pt idx="245">
                  <c:v>19.99314598296389</c:v>
                </c:pt>
                <c:pt idx="246">
                  <c:v>19.28905138499289</c:v>
                </c:pt>
                <c:pt idx="247">
                  <c:v>18.596169626617762</c:v>
                </c:pt>
                <c:pt idx="248">
                  <c:v>17.915871210637228</c:v>
                </c:pt>
                <c:pt idx="249">
                  <c:v>17.249342073399305</c:v>
                </c:pt>
                <c:pt idx="250">
                  <c:v>16.5975911829862</c:v>
                </c:pt>
              </c:numCache>
            </c:numRef>
          </c:yVal>
          <c:smooth val="1"/>
        </c:ser>
        <c:axId val="57469385"/>
        <c:axId val="47462418"/>
      </c:scatterChart>
      <c:valAx>
        <c:axId val="57469385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7462418"/>
        <c:crosses val="max"/>
        <c:crossBetween val="midCat"/>
        <c:dispUnits/>
      </c:valAx>
      <c:valAx>
        <c:axId val="47462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6938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0</xdr:rowOff>
    </xdr:from>
    <xdr:to>
      <xdr:col>9</xdr:col>
      <xdr:colOff>0</xdr:colOff>
      <xdr:row>70</xdr:row>
      <xdr:rowOff>9525</xdr:rowOff>
    </xdr:to>
    <xdr:graphicFrame>
      <xdr:nvGraphicFramePr>
        <xdr:cNvPr id="1" name="Chart 2"/>
        <xdr:cNvGraphicFramePr/>
      </xdr:nvGraphicFramePr>
      <xdr:xfrm>
        <a:off x="657225" y="10553700"/>
        <a:ext cx="4791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244</xdr:row>
      <xdr:rowOff>19050</xdr:rowOff>
    </xdr:from>
    <xdr:to>
      <xdr:col>8</xdr:col>
      <xdr:colOff>466725</xdr:colOff>
      <xdr:row>259</xdr:row>
      <xdr:rowOff>171450</xdr:rowOff>
    </xdr:to>
    <xdr:graphicFrame>
      <xdr:nvGraphicFramePr>
        <xdr:cNvPr id="2" name="Chart 3"/>
        <xdr:cNvGraphicFramePr/>
      </xdr:nvGraphicFramePr>
      <xdr:xfrm>
        <a:off x="171450" y="46177200"/>
        <a:ext cx="49625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243</xdr:row>
      <xdr:rowOff>190500</xdr:rowOff>
    </xdr:from>
    <xdr:to>
      <xdr:col>16</xdr:col>
      <xdr:colOff>228600</xdr:colOff>
      <xdr:row>260</xdr:row>
      <xdr:rowOff>9525</xdr:rowOff>
    </xdr:to>
    <xdr:graphicFrame>
      <xdr:nvGraphicFramePr>
        <xdr:cNvPr id="3" name="Chart 4"/>
        <xdr:cNvGraphicFramePr/>
      </xdr:nvGraphicFramePr>
      <xdr:xfrm>
        <a:off x="5267325" y="46158150"/>
        <a:ext cx="50387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261</xdr:row>
      <xdr:rowOff>19050</xdr:rowOff>
    </xdr:from>
    <xdr:to>
      <xdr:col>8</xdr:col>
      <xdr:colOff>485775</xdr:colOff>
      <xdr:row>276</xdr:row>
      <xdr:rowOff>171450</xdr:rowOff>
    </xdr:to>
    <xdr:graphicFrame>
      <xdr:nvGraphicFramePr>
        <xdr:cNvPr id="4" name="Chart 3"/>
        <xdr:cNvGraphicFramePr/>
      </xdr:nvGraphicFramePr>
      <xdr:xfrm>
        <a:off x="190500" y="49415700"/>
        <a:ext cx="4962525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619125</xdr:colOff>
      <xdr:row>261</xdr:row>
      <xdr:rowOff>0</xdr:rowOff>
    </xdr:from>
    <xdr:to>
      <xdr:col>16</xdr:col>
      <xdr:colOff>247650</xdr:colOff>
      <xdr:row>277</xdr:row>
      <xdr:rowOff>9525</xdr:rowOff>
    </xdr:to>
    <xdr:graphicFrame>
      <xdr:nvGraphicFramePr>
        <xdr:cNvPr id="5" name="Chart 4"/>
        <xdr:cNvGraphicFramePr/>
      </xdr:nvGraphicFramePr>
      <xdr:xfrm>
        <a:off x="5286375" y="49396650"/>
        <a:ext cx="503872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66675</xdr:rowOff>
    </xdr:from>
    <xdr:to>
      <xdr:col>3</xdr:col>
      <xdr:colOff>219075</xdr:colOff>
      <xdr:row>0</xdr:row>
      <xdr:rowOff>800100</xdr:rowOff>
    </xdr:to>
    <xdr:pic>
      <xdr:nvPicPr>
        <xdr:cNvPr id="6" name="Picture 6" descr="logo_O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6667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5.140625" style="0" customWidth="1"/>
    <col min="2" max="4" width="4.7109375" style="0" customWidth="1"/>
    <col min="5" max="5" width="6.8515625" style="0" customWidth="1"/>
    <col min="6" max="7" width="14.7109375" style="0" customWidth="1"/>
    <col min="8" max="8" width="14.421875" style="0" bestFit="1" customWidth="1"/>
    <col min="9" max="10" width="11.7109375" style="0" customWidth="1"/>
    <col min="12" max="12" width="12.00390625" style="0" bestFit="1" customWidth="1"/>
  </cols>
  <sheetData>
    <row r="1" spans="1:12" ht="70.5" customHeight="1">
      <c r="A1" s="138"/>
      <c r="B1" s="138"/>
      <c r="C1" s="138"/>
      <c r="D1" s="138"/>
      <c r="E1" s="138"/>
      <c r="G1" s="142" t="s">
        <v>339</v>
      </c>
      <c r="H1" s="142"/>
      <c r="I1" s="142"/>
      <c r="J1" s="142"/>
      <c r="K1" s="137"/>
      <c r="L1" s="137"/>
    </row>
    <row r="2" spans="1:10" ht="30.7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1"/>
    </row>
    <row r="4" spans="2:12" ht="15">
      <c r="B4" t="s">
        <v>2</v>
      </c>
      <c r="L4" t="s">
        <v>1</v>
      </c>
    </row>
    <row r="6" spans="1:12" ht="15">
      <c r="A6" s="1" t="s">
        <v>3</v>
      </c>
      <c r="B6" s="1"/>
      <c r="C6" s="1"/>
      <c r="D6" s="1"/>
      <c r="L6" s="2" t="s">
        <v>4</v>
      </c>
    </row>
    <row r="7" spans="6:12" ht="15">
      <c r="F7" s="3" t="s">
        <v>5</v>
      </c>
      <c r="G7" s="3" t="s">
        <v>6</v>
      </c>
      <c r="L7" s="4" t="s">
        <v>7</v>
      </c>
    </row>
    <row r="8" spans="1:12" ht="15">
      <c r="A8" t="s">
        <v>8</v>
      </c>
      <c r="E8" s="5"/>
      <c r="F8" s="6">
        <v>265</v>
      </c>
      <c r="G8" s="6">
        <v>85</v>
      </c>
      <c r="H8" t="s">
        <v>9</v>
      </c>
      <c r="L8" s="4" t="s">
        <v>10</v>
      </c>
    </row>
    <row r="9" spans="1:12" ht="15">
      <c r="A9" t="s">
        <v>11</v>
      </c>
      <c r="E9" s="5"/>
      <c r="F9" s="7">
        <v>375</v>
      </c>
      <c r="G9" s="7">
        <v>120</v>
      </c>
      <c r="H9" t="s">
        <v>12</v>
      </c>
      <c r="L9" s="4" t="s">
        <v>13</v>
      </c>
    </row>
    <row r="10" spans="4:5" ht="6" customHeight="1">
      <c r="D10" s="2" t="b">
        <f>IF($E$11="DC",TRUE,FALSE)</f>
        <v>0</v>
      </c>
      <c r="E10" s="8">
        <v>1</v>
      </c>
    </row>
    <row r="11" spans="1:8" ht="15">
      <c r="A11" t="s">
        <v>14</v>
      </c>
      <c r="E11" s="9" t="str">
        <f>IF(E10=1,"AC",IF(E10=2,"DC","undefined"))</f>
        <v>AC</v>
      </c>
      <c r="H11" t="s">
        <v>15</v>
      </c>
    </row>
    <row r="12" spans="1:8" ht="15">
      <c r="A12" t="s">
        <v>16</v>
      </c>
      <c r="F12" s="10">
        <v>20</v>
      </c>
      <c r="H12" t="s">
        <v>17</v>
      </c>
    </row>
    <row r="13" ht="6" customHeight="1"/>
    <row r="14" spans="6:7" ht="15">
      <c r="F14" s="3" t="s">
        <v>5</v>
      </c>
      <c r="G14" s="3" t="s">
        <v>6</v>
      </c>
    </row>
    <row r="15" spans="2:8" ht="18">
      <c r="B15" s="11"/>
      <c r="C15" s="11" t="s">
        <v>18</v>
      </c>
      <c r="D15" s="11"/>
      <c r="F15" s="12">
        <f>IF(VinType="AC",VinAC_max*SQRT(2),IF(VinType="DC",VinDC_max,"???"))</f>
        <v>374.7665940288702</v>
      </c>
      <c r="G15" s="12">
        <f>IF(VinType="AC",VinAC_min*SQRT(2)-VinAC_ripple,IF(VinType="DC",VinDC_min,"???"))</f>
        <v>100.20815280171308</v>
      </c>
      <c r="H15" t="s">
        <v>19</v>
      </c>
    </row>
    <row r="16" spans="2:8" ht="18">
      <c r="B16" s="11"/>
      <c r="C16" s="11"/>
      <c r="D16" s="11"/>
      <c r="F16" s="115">
        <f>IF(VinType="AC",VinAC_max,IF(VinType="DC",VinDC_max/SQRT(2),"???"))</f>
        <v>265</v>
      </c>
      <c r="G16" s="115">
        <f>IF(VinType="AC",VinAC_min,IF(VinType="DC",VinDC_min/SQRT(2),"???"))</f>
        <v>85</v>
      </c>
      <c r="H16" t="s">
        <v>20</v>
      </c>
    </row>
    <row r="17" ht="6" customHeight="1"/>
    <row r="18" spans="1:7" ht="15">
      <c r="A18" s="1" t="s">
        <v>21</v>
      </c>
      <c r="B18" s="1"/>
      <c r="C18" s="1"/>
      <c r="D18" s="1"/>
      <c r="F18" s="3" t="s">
        <v>22</v>
      </c>
      <c r="G18" s="3" t="s">
        <v>23</v>
      </c>
    </row>
    <row r="19" spans="1:8" ht="15" customHeight="1">
      <c r="A19" t="s">
        <v>24</v>
      </c>
      <c r="F19" s="13">
        <v>19</v>
      </c>
      <c r="G19" s="14">
        <v>60</v>
      </c>
      <c r="H19" t="s">
        <v>25</v>
      </c>
    </row>
    <row r="20" spans="1:8" ht="15" customHeight="1">
      <c r="A20" t="s">
        <v>240</v>
      </c>
      <c r="G20" s="15">
        <f>Pout/Vout</f>
        <v>3.1578947368421053</v>
      </c>
      <c r="H20" t="s">
        <v>26</v>
      </c>
    </row>
    <row r="22" spans="1:4" ht="15">
      <c r="A22" s="1" t="s">
        <v>27</v>
      </c>
      <c r="B22" s="1"/>
      <c r="C22" s="1"/>
      <c r="D22" s="1"/>
    </row>
    <row r="23" spans="1:8" ht="15">
      <c r="A23" t="s">
        <v>28</v>
      </c>
      <c r="F23" s="16">
        <v>0.85</v>
      </c>
      <c r="H23" t="s">
        <v>29</v>
      </c>
    </row>
    <row r="24" spans="1:8" ht="15">
      <c r="A24" t="s">
        <v>30</v>
      </c>
      <c r="F24" s="17">
        <v>0.8</v>
      </c>
      <c r="H24" t="s">
        <v>31</v>
      </c>
    </row>
    <row r="25" spans="1:8" ht="15">
      <c r="A25" t="s">
        <v>32</v>
      </c>
      <c r="F25" s="18">
        <v>45</v>
      </c>
      <c r="G25" s="19">
        <f>F25*1000</f>
        <v>45000</v>
      </c>
      <c r="H25" t="s">
        <v>33</v>
      </c>
    </row>
    <row r="26" spans="1:6" ht="15">
      <c r="A26" t="s">
        <v>34</v>
      </c>
      <c r="F26" s="20"/>
    </row>
    <row r="27" spans="1:8" ht="15">
      <c r="A27" t="s">
        <v>35</v>
      </c>
      <c r="F27" s="21">
        <v>600</v>
      </c>
      <c r="H27" t="s">
        <v>36</v>
      </c>
    </row>
    <row r="28" spans="1:8" ht="15">
      <c r="A28" t="s">
        <v>37</v>
      </c>
      <c r="F28" s="22">
        <v>0.77</v>
      </c>
      <c r="H28" t="s">
        <v>38</v>
      </c>
    </row>
    <row r="29" spans="1:8" ht="15">
      <c r="A29" t="s">
        <v>39</v>
      </c>
      <c r="F29" s="23">
        <v>17</v>
      </c>
      <c r="G29" s="24">
        <f>F29/1000000000</f>
        <v>1.7E-08</v>
      </c>
      <c r="H29" t="s">
        <v>40</v>
      </c>
    </row>
    <row r="30" spans="1:8" ht="15">
      <c r="A30" t="s">
        <v>41</v>
      </c>
      <c r="F30" s="25">
        <v>250</v>
      </c>
      <c r="G30" s="26">
        <f>F30/1000000000000</f>
        <v>2.5E-10</v>
      </c>
      <c r="H30" t="s">
        <v>42</v>
      </c>
    </row>
    <row r="31" spans="1:8" ht="15">
      <c r="A31" t="s">
        <v>43</v>
      </c>
      <c r="F31" s="16">
        <v>0.85</v>
      </c>
      <c r="G31" s="27"/>
      <c r="H31" t="s">
        <v>44</v>
      </c>
    </row>
    <row r="32" spans="1:8" ht="15">
      <c r="A32" t="s">
        <v>45</v>
      </c>
      <c r="G32" s="28">
        <f>α*BVdss</f>
        <v>510</v>
      </c>
      <c r="H32" t="s">
        <v>46</v>
      </c>
    </row>
    <row r="33" spans="1:8" ht="15">
      <c r="A33" t="s">
        <v>258</v>
      </c>
      <c r="F33" s="29">
        <v>150</v>
      </c>
      <c r="G33" s="30">
        <f>F33/1000000000</f>
        <v>1.5E-07</v>
      </c>
      <c r="H33" t="s">
        <v>47</v>
      </c>
    </row>
    <row r="34" spans="1:8" ht="15" customHeight="1">
      <c r="A34" t="s">
        <v>48</v>
      </c>
      <c r="F34" s="21">
        <v>10</v>
      </c>
      <c r="H34" t="s">
        <v>49</v>
      </c>
    </row>
    <row r="35" spans="1:12" ht="15" customHeight="1">
      <c r="A35" t="s">
        <v>250</v>
      </c>
      <c r="F35" s="119">
        <v>3</v>
      </c>
      <c r="H35" t="s">
        <v>252</v>
      </c>
      <c r="L35" t="s">
        <v>248</v>
      </c>
    </row>
    <row r="36" spans="1:12" ht="15" customHeight="1">
      <c r="A36" t="s">
        <v>253</v>
      </c>
      <c r="F36" s="118">
        <v>0.01</v>
      </c>
      <c r="H36" t="s">
        <v>251</v>
      </c>
      <c r="L36" t="s">
        <v>249</v>
      </c>
    </row>
    <row r="37" ht="6" customHeight="1"/>
    <row r="38" spans="1:4" ht="15">
      <c r="A38" s="1" t="s">
        <v>50</v>
      </c>
      <c r="B38" s="31"/>
      <c r="C38" s="31"/>
      <c r="D38" s="31"/>
    </row>
    <row r="39" spans="1:8" ht="15">
      <c r="A39" t="s">
        <v>51</v>
      </c>
      <c r="G39" s="32">
        <v>0.8</v>
      </c>
      <c r="H39" t="s">
        <v>52</v>
      </c>
    </row>
    <row r="41" spans="1:4" ht="15">
      <c r="A41" s="1" t="s">
        <v>53</v>
      </c>
      <c r="B41" s="1"/>
      <c r="C41" s="1"/>
      <c r="D41" s="1"/>
    </row>
    <row r="42" ht="7.5" customHeight="1"/>
    <row r="43" ht="15">
      <c r="A43" s="1" t="s">
        <v>54</v>
      </c>
    </row>
    <row r="44" spans="5:8" ht="18">
      <c r="E44" s="11" t="s">
        <v>55</v>
      </c>
      <c r="F44" s="33">
        <v>0.005</v>
      </c>
      <c r="H44" t="s">
        <v>56</v>
      </c>
    </row>
    <row r="45" spans="5:8" ht="18">
      <c r="E45" s="11" t="s">
        <v>57</v>
      </c>
      <c r="F45" s="33">
        <v>0.008</v>
      </c>
      <c r="H45" t="s">
        <v>58</v>
      </c>
    </row>
    <row r="46" spans="5:8" ht="18">
      <c r="E46" s="11" t="s">
        <v>59</v>
      </c>
      <c r="F46" s="33">
        <v>0.01</v>
      </c>
      <c r="H46" t="s">
        <v>60</v>
      </c>
    </row>
    <row r="47" ht="8.25" customHeight="1"/>
    <row r="48" ht="15" customHeight="1">
      <c r="A48" t="s">
        <v>61</v>
      </c>
    </row>
    <row r="49" spans="1:3" ht="15" customHeight="1">
      <c r="A49" s="34" t="s">
        <v>62</v>
      </c>
      <c r="C49" t="s">
        <v>63</v>
      </c>
    </row>
    <row r="50" spans="1:3" ht="15" customHeight="1">
      <c r="A50" s="34" t="s">
        <v>64</v>
      </c>
      <c r="C50" t="s">
        <v>65</v>
      </c>
    </row>
    <row r="51" spans="1:3" ht="15" customHeight="1">
      <c r="A51" s="34" t="s">
        <v>66</v>
      </c>
      <c r="C51" t="s">
        <v>67</v>
      </c>
    </row>
    <row r="52" spans="1:3" ht="15" customHeight="1">
      <c r="A52" s="34" t="s">
        <v>68</v>
      </c>
      <c r="C52" t="s">
        <v>69</v>
      </c>
    </row>
    <row r="72" ht="18">
      <c r="A72" t="s">
        <v>76</v>
      </c>
    </row>
    <row r="73" spans="5:8" ht="15" customHeight="1">
      <c r="E73" s="42" t="s">
        <v>77</v>
      </c>
      <c r="F73" s="43">
        <v>1.4</v>
      </c>
      <c r="H73" t="s">
        <v>78</v>
      </c>
    </row>
    <row r="74" ht="6" customHeight="1"/>
    <row r="75" spans="1:9" ht="18">
      <c r="A75" t="s">
        <v>79</v>
      </c>
      <c r="H75" s="44">
        <f>kc*(Vout+VFWD)/(BVdss*α-Vos-VinmaxDC)</f>
        <v>0.22134669088526046</v>
      </c>
      <c r="I75" t="s">
        <v>80</v>
      </c>
    </row>
    <row r="76" ht="6" customHeight="1"/>
    <row r="77" spans="5:8" ht="15" customHeight="1">
      <c r="E77" s="42" t="s">
        <v>81</v>
      </c>
      <c r="F77" s="45">
        <v>0.25</v>
      </c>
      <c r="H77" t="s">
        <v>82</v>
      </c>
    </row>
    <row r="78" ht="6" customHeight="1"/>
    <row r="79" spans="1:9" ht="18">
      <c r="A79" t="s">
        <v>83</v>
      </c>
      <c r="G79" s="46">
        <f>VinmaxDC+Vos+(Vout+VFWD)/Nsp</f>
        <v>463.9665940288702</v>
      </c>
      <c r="H79" s="47" t="s">
        <v>84</v>
      </c>
      <c r="I79" s="11"/>
    </row>
    <row r="80" spans="1:9" ht="15">
      <c r="A80" s="47" t="s">
        <v>85</v>
      </c>
      <c r="G80" s="46">
        <f>Vreflect/α</f>
        <v>545.8430517986708</v>
      </c>
      <c r="H80" s="47" t="s">
        <v>86</v>
      </c>
      <c r="I80" s="11"/>
    </row>
    <row r="81" ht="15">
      <c r="I81" s="11"/>
    </row>
    <row r="82" ht="15">
      <c r="A82" s="1" t="s">
        <v>88</v>
      </c>
    </row>
    <row r="83" ht="6" customHeight="1"/>
    <row r="84" ht="18">
      <c r="A84" t="s">
        <v>89</v>
      </c>
    </row>
    <row r="85" spans="7:8" ht="15" customHeight="1">
      <c r="G85" s="48">
        <f>(2*Pout/η)*((1/Vmin)+(Nsp/(Vout+VFWD)))+PI()*SQRT(2*Pout*Coss*Fsw/η)</f>
        <v>3.316564231344033</v>
      </c>
      <c r="H85" t="s">
        <v>90</v>
      </c>
    </row>
    <row r="86" spans="1:8" ht="15" customHeight="1">
      <c r="A86" t="s">
        <v>87</v>
      </c>
      <c r="G86" s="49">
        <f>(2*Pout)/(Ipk^2*η*Fsw)</f>
        <v>0.0002852154066190687</v>
      </c>
      <c r="H86" t="s">
        <v>91</v>
      </c>
    </row>
    <row r="87" spans="5:8" ht="18">
      <c r="E87" s="42" t="s">
        <v>92</v>
      </c>
      <c r="F87" s="50">
        <v>0.075</v>
      </c>
      <c r="G87" s="49">
        <f>G86*(1-F87)</f>
        <v>0.0002638242511226386</v>
      </c>
      <c r="H87" t="s">
        <v>93</v>
      </c>
    </row>
    <row r="88" ht="6" customHeight="1">
      <c r="G88" s="49"/>
    </row>
    <row r="89" spans="1:8" ht="18">
      <c r="A89" s="51" t="s">
        <v>94</v>
      </c>
      <c r="F89" s="52">
        <v>285</v>
      </c>
      <c r="G89" s="53">
        <f>F89/1000000</f>
        <v>0.000285</v>
      </c>
      <c r="H89" t="s">
        <v>95</v>
      </c>
    </row>
    <row r="90" ht="6" customHeight="1"/>
    <row r="91" spans="1:9" ht="15" customHeight="1">
      <c r="A91" t="s">
        <v>96</v>
      </c>
      <c r="H91" s="54">
        <f>VCSmax/Ipk</f>
        <v>0.24121348003436713</v>
      </c>
      <c r="I91" t="s">
        <v>97</v>
      </c>
    </row>
    <row r="92" ht="6" customHeight="1"/>
    <row r="93" spans="5:8" ht="15" customHeight="1">
      <c r="E93" s="42" t="s">
        <v>98</v>
      </c>
      <c r="F93" s="22">
        <v>0.23</v>
      </c>
      <c r="H93" t="s">
        <v>99</v>
      </c>
    </row>
    <row r="94" spans="1:12" ht="18">
      <c r="A94" t="s">
        <v>100</v>
      </c>
      <c r="G94" s="55">
        <f>Rsense*Iprms^2</f>
        <v>0.35795310696686466</v>
      </c>
      <c r="L94" s="116"/>
    </row>
    <row r="96" ht="15">
      <c r="A96" s="1" t="s">
        <v>101</v>
      </c>
    </row>
    <row r="97" ht="6" customHeight="1"/>
    <row r="98" spans="1:9" ht="15" customHeight="1">
      <c r="A98" t="s">
        <v>102</v>
      </c>
      <c r="H98" s="56">
        <f>Ipk*Lp/Vmin</f>
        <v>9.432573892499599E-06</v>
      </c>
      <c r="I98" t="s">
        <v>103</v>
      </c>
    </row>
    <row r="99" spans="1:9" ht="15" customHeight="1">
      <c r="A99" t="s">
        <v>104</v>
      </c>
      <c r="H99" s="57">
        <f>Tonmax*Fsw</f>
        <v>0.42446582516248194</v>
      </c>
      <c r="I99" t="s">
        <v>105</v>
      </c>
    </row>
    <row r="100" spans="1:12" ht="15" customHeight="1">
      <c r="A100" t="s">
        <v>241</v>
      </c>
      <c r="F100" s="117"/>
      <c r="G100" s="65">
        <f>Ipk*SQRT((Dmax)/3)</f>
        <v>1.2475246916905782</v>
      </c>
      <c r="H100" t="s">
        <v>106</v>
      </c>
      <c r="L100" s="116"/>
    </row>
    <row r="101" spans="1:9" ht="15" customHeight="1">
      <c r="A101" t="s">
        <v>107</v>
      </c>
      <c r="G101" s="58">
        <f>Ipk/Nsp</f>
        <v>13.266256925376132</v>
      </c>
      <c r="H101" t="s">
        <v>108</v>
      </c>
      <c r="I101" t="s">
        <v>242</v>
      </c>
    </row>
    <row r="102" spans="1:9" ht="15" customHeight="1">
      <c r="A102" t="s">
        <v>109</v>
      </c>
      <c r="G102" s="59">
        <f>Ips*SQRT((1-Dmax)/3)</f>
        <v>5.8106315119776175</v>
      </c>
      <c r="H102" t="s">
        <v>110</v>
      </c>
      <c r="I102" t="s">
        <v>243</v>
      </c>
    </row>
    <row r="103" spans="1:9" ht="15" customHeight="1">
      <c r="A103" t="s">
        <v>111</v>
      </c>
      <c r="G103" s="60">
        <f>Ipk*Dmax/2</f>
        <v>0.7038840865809087</v>
      </c>
      <c r="H103" t="s">
        <v>112</v>
      </c>
      <c r="I103" t="s">
        <v>244</v>
      </c>
    </row>
    <row r="104" spans="1:9" ht="15" customHeight="1">
      <c r="A104" t="s">
        <v>113</v>
      </c>
      <c r="G104" s="65">
        <f>SQRT(Iprms^2-IpriDC^2)</f>
        <v>1.0299830333727988</v>
      </c>
      <c r="H104" t="s">
        <v>114</v>
      </c>
      <c r="I104" t="s">
        <v>245</v>
      </c>
    </row>
    <row r="106" ht="15">
      <c r="A106" s="1" t="s">
        <v>115</v>
      </c>
    </row>
    <row r="107" ht="6" customHeight="1"/>
    <row r="108" spans="1:8" ht="15">
      <c r="A108" t="s">
        <v>116</v>
      </c>
      <c r="G108" s="61">
        <v>14</v>
      </c>
      <c r="H108" t="s">
        <v>117</v>
      </c>
    </row>
    <row r="109" spans="1:8" ht="18">
      <c r="A109" t="s">
        <v>118</v>
      </c>
      <c r="G109" s="62">
        <f>Nsp*(Vcc_aux+VFWD)/(Vout+VFWD)</f>
        <v>0.18686868686868688</v>
      </c>
      <c r="H109" t="s">
        <v>119</v>
      </c>
    </row>
    <row r="111" ht="15">
      <c r="A111" s="31" t="s">
        <v>120</v>
      </c>
    </row>
    <row r="112" ht="6" customHeight="1"/>
    <row r="113" spans="5:8" ht="15" customHeight="1">
      <c r="E113" s="42" t="s">
        <v>121</v>
      </c>
      <c r="F113" s="63">
        <v>0.4</v>
      </c>
      <c r="H113" t="s">
        <v>122</v>
      </c>
    </row>
    <row r="114" ht="6" customHeight="1"/>
    <row r="115" spans="1:8" ht="15" customHeight="1">
      <c r="A115" t="s">
        <v>123</v>
      </c>
      <c r="G115" s="64">
        <f>Vripple/Ips</f>
        <v>0.03015168500429589</v>
      </c>
      <c r="H115" t="s">
        <v>124</v>
      </c>
    </row>
    <row r="116" spans="1:12" ht="15" customHeight="1">
      <c r="A116" t="s">
        <v>247</v>
      </c>
      <c r="G116" s="65">
        <f>SQRT(IsRMS^2-Iout^2)</f>
        <v>4.877616159458658</v>
      </c>
      <c r="H116" t="s">
        <v>125</v>
      </c>
      <c r="I116" t="s">
        <v>246</v>
      </c>
      <c r="L116" s="116"/>
    </row>
    <row r="117" ht="6" customHeight="1"/>
    <row r="118" ht="15">
      <c r="A118" t="s">
        <v>126</v>
      </c>
    </row>
    <row r="119" spans="5:8" ht="18">
      <c r="E119" s="42" t="s">
        <v>127</v>
      </c>
      <c r="F119" s="22">
        <v>0.008</v>
      </c>
      <c r="H119" t="s">
        <v>128</v>
      </c>
    </row>
    <row r="120" spans="5:9" ht="18">
      <c r="E120" s="42" t="s">
        <v>129</v>
      </c>
      <c r="F120" s="66">
        <v>1360</v>
      </c>
      <c r="G120" s="67">
        <f>F120/1000000</f>
        <v>0.00136</v>
      </c>
      <c r="H120" t="s">
        <v>130</v>
      </c>
      <c r="I120" t="s">
        <v>332</v>
      </c>
    </row>
    <row r="121" spans="5:8" ht="18">
      <c r="E121" s="42" t="s">
        <v>131</v>
      </c>
      <c r="F121" s="68">
        <v>3.29</v>
      </c>
      <c r="H121" t="s">
        <v>132</v>
      </c>
    </row>
    <row r="123" ht="15">
      <c r="A123" s="1" t="s">
        <v>133</v>
      </c>
    </row>
    <row r="124" ht="6" customHeight="1"/>
    <row r="125" spans="1:8" ht="15" customHeight="1">
      <c r="A125" t="s">
        <v>134</v>
      </c>
      <c r="G125" s="69">
        <v>2E-05</v>
      </c>
      <c r="H125" t="s">
        <v>135</v>
      </c>
    </row>
    <row r="126" spans="1:8" ht="15" customHeight="1">
      <c r="A126" t="s">
        <v>136</v>
      </c>
      <c r="G126" s="32">
        <v>0.8</v>
      </c>
      <c r="H126" t="s">
        <v>137</v>
      </c>
    </row>
    <row r="127" spans="1:8" ht="15" customHeight="1">
      <c r="A127" t="s">
        <v>138</v>
      </c>
      <c r="G127" s="32">
        <v>1.4</v>
      </c>
      <c r="H127" t="s">
        <v>139</v>
      </c>
    </row>
    <row r="128" ht="15" customHeight="1">
      <c r="A128" t="s">
        <v>140</v>
      </c>
    </row>
    <row r="129" spans="7:8" ht="15" customHeight="1">
      <c r="G129" s="70">
        <f>(((VFB1/(4*Rsense))+(VinmaxDC*Tprop/Lp))*Lp*((1/VinmaxDC)+(Nsp/(Vout+VFWD))))+7*PI()*SQRT(Lp*Coss)</f>
        <v>1.0520213987372355E-05</v>
      </c>
      <c r="H129" t="s">
        <v>141</v>
      </c>
    </row>
    <row r="130" spans="1:8" ht="15" customHeight="1">
      <c r="A130" t="s">
        <v>142</v>
      </c>
      <c r="G130" s="71">
        <f>6.5-(10*VFB2/3)</f>
        <v>1.833333333333333</v>
      </c>
      <c r="H130" t="s">
        <v>143</v>
      </c>
    </row>
    <row r="131" spans="1:8" ht="15" customHeight="1">
      <c r="A131" t="s">
        <v>144</v>
      </c>
      <c r="F131" s="72">
        <f>G131*1000000000000</f>
        <v>223.85687986224394</v>
      </c>
      <c r="G131" s="73">
        <f>Ict*(Tsw4th+0.00001)/VCt</f>
        <v>2.2385687986224395E-10</v>
      </c>
      <c r="H131" t="s">
        <v>145</v>
      </c>
    </row>
    <row r="132" spans="5:8" ht="15" customHeight="1">
      <c r="E132" s="42" t="s">
        <v>146</v>
      </c>
      <c r="F132" s="74">
        <v>200</v>
      </c>
      <c r="G132" s="26">
        <f>F132/1000000000000</f>
        <v>2E-10</v>
      </c>
      <c r="H132" t="s">
        <v>147</v>
      </c>
    </row>
    <row r="133" ht="15" customHeight="1"/>
    <row r="134" ht="15">
      <c r="A134" s="1" t="s">
        <v>148</v>
      </c>
    </row>
    <row r="135" ht="6" customHeight="1"/>
    <row r="136" spans="1:6" ht="15" customHeight="1">
      <c r="A136" t="s">
        <v>254</v>
      </c>
      <c r="F136" s="76">
        <v>3E-07</v>
      </c>
    </row>
    <row r="137" spans="1:8" ht="15" customHeight="1">
      <c r="A137" t="s">
        <v>149</v>
      </c>
      <c r="H137" s="77">
        <f>(VCSmax/Rsense)+(VinmaxDC*tprop_OPP/Lp)</f>
        <v>3.8727520211745543</v>
      </c>
    </row>
    <row r="138" ht="15" customHeight="1">
      <c r="A138" t="s">
        <v>150</v>
      </c>
    </row>
    <row r="139" ht="15" customHeight="1">
      <c r="H139" s="78">
        <f>H137*Lp*((1/VinmaxDC)+(Nsp/(Vout+VFWD)))+PI()*SQRT(Lp*Coss)</f>
        <v>1.771973986365206E-05</v>
      </c>
    </row>
    <row r="140" spans="1:8" ht="15" customHeight="1">
      <c r="A140" t="s">
        <v>151</v>
      </c>
      <c r="H140" s="79">
        <f>(1/2)*Lp*Ipk_max^2*(1/Tsw_max)*η</f>
        <v>102.52170654449306</v>
      </c>
    </row>
    <row r="141" spans="5:8" ht="15" customHeight="1">
      <c r="E141" s="80" t="s">
        <v>152</v>
      </c>
      <c r="F141" s="81">
        <v>80</v>
      </c>
      <c r="H141" t="s">
        <v>153</v>
      </c>
    </row>
    <row r="142" ht="6" customHeight="1"/>
    <row r="143" spans="1:8" ht="15" customHeight="1">
      <c r="A143" t="s">
        <v>154</v>
      </c>
      <c r="G143" s="82">
        <f>Lp*η/(2*Pout_limit)</f>
        <v>1.5140625E-06</v>
      </c>
      <c r="H143" t="s">
        <v>155</v>
      </c>
    </row>
    <row r="144" spans="1:8" ht="15" customHeight="1">
      <c r="A144" t="s">
        <v>156</v>
      </c>
      <c r="G144" s="82">
        <f>-1*Lp*((1/VinmaxDC)+(Nsp/(Vout+VFWD)))</f>
        <v>-4.358958179194908E-06</v>
      </c>
      <c r="H144" t="s">
        <v>157</v>
      </c>
    </row>
    <row r="145" spans="1:8" ht="15" customHeight="1">
      <c r="A145" t="s">
        <v>158</v>
      </c>
      <c r="G145" s="82">
        <f>-1*PI()*SQRT(Lp*Coss)</f>
        <v>-8.385757649596229E-07</v>
      </c>
      <c r="H145" t="s">
        <v>159</v>
      </c>
    </row>
    <row r="146" ht="15" customHeight="1">
      <c r="A146" t="s">
        <v>160</v>
      </c>
    </row>
    <row r="147" spans="1:8" ht="15" customHeight="1">
      <c r="A147" t="s">
        <v>161</v>
      </c>
      <c r="G147" s="58">
        <f>(-1*blimit+SQRT(blimit^2-4*alimit*climit))/(2*alimit)</f>
        <v>3.059982101014513</v>
      </c>
      <c r="H147" t="s">
        <v>162</v>
      </c>
    </row>
    <row r="148" spans="1:12" ht="15" customHeight="1">
      <c r="A148" t="s">
        <v>255</v>
      </c>
      <c r="G148" s="83">
        <f>(2*Pout_limit)/(Lp*Ipk_limit^2*η)</f>
        <v>70537.23385819704</v>
      </c>
      <c r="H148" t="s">
        <v>163</v>
      </c>
      <c r="L148" s="116"/>
    </row>
    <row r="149" ht="6" customHeight="1"/>
    <row r="150" ht="15" customHeight="1">
      <c r="A150" t="s">
        <v>164</v>
      </c>
    </row>
    <row r="151" spans="1:8" ht="15" customHeight="1">
      <c r="A151" t="s">
        <v>165</v>
      </c>
      <c r="G151" s="84">
        <f>1-(Ipk_limit/Ipk_max)</f>
        <v>0.20986882602246737</v>
      </c>
      <c r="H151" t="s">
        <v>166</v>
      </c>
    </row>
    <row r="152" ht="6" customHeight="1"/>
    <row r="153" spans="5:6" ht="15">
      <c r="E153" s="11" t="s">
        <v>167</v>
      </c>
      <c r="F153" s="85">
        <f>Nap_calc</f>
        <v>0.18686868686868688</v>
      </c>
    </row>
    <row r="154" spans="5:8" ht="15">
      <c r="E154" s="42" t="s">
        <v>168</v>
      </c>
      <c r="F154" s="43">
        <v>0.19</v>
      </c>
      <c r="H154" t="s">
        <v>169</v>
      </c>
    </row>
    <row r="155" spans="5:8" ht="18">
      <c r="E155" s="42" t="s">
        <v>170</v>
      </c>
      <c r="F155" s="86">
        <v>1</v>
      </c>
      <c r="G155" s="87">
        <f>F155*1000</f>
        <v>1000</v>
      </c>
      <c r="H155" t="s">
        <v>171</v>
      </c>
    </row>
    <row r="156" spans="1:9" ht="15">
      <c r="A156" t="s">
        <v>172</v>
      </c>
      <c r="G156" s="71">
        <f>IF(OPP*VCSmax&gt;0.3,0.3,OPP*VCSmax)</f>
        <v>0.1678950608179739</v>
      </c>
      <c r="H156" t="s">
        <v>173</v>
      </c>
      <c r="I156" s="132" t="str">
        <f>IF(VOPP&gt;0.299,"/!\ Maximum OPP voltage is limited to 0.3V; the design power limit should be increased /!\"," ")</f>
        <v> </v>
      </c>
    </row>
    <row r="157" spans="1:8" ht="18">
      <c r="A157" t="s">
        <v>174</v>
      </c>
      <c r="G157" s="88">
        <f>(Nap*VinmaxDC-VOPP)/VOPP</f>
        <v>423.10808583990496</v>
      </c>
      <c r="H157" t="s">
        <v>175</v>
      </c>
    </row>
    <row r="158" spans="1:7" ht="18">
      <c r="A158" t="s">
        <v>176</v>
      </c>
      <c r="G158" s="89">
        <f>G155*ROPP_ratio</f>
        <v>423108.08583990496</v>
      </c>
    </row>
    <row r="159" spans="5:8" ht="18">
      <c r="E159" s="42" t="str">
        <f>IF($G$158&gt;1000000,"OPP upper resistor [ MΩ ] :","OPP upper resistor [ KΩ ] :")</f>
        <v>OPP upper resistor [ KΩ ] :</v>
      </c>
      <c r="F159" s="90">
        <v>420</v>
      </c>
      <c r="G159" s="87">
        <f>IF($G$158&gt;1000000,F159*1000000,F159*1000)</f>
        <v>420000</v>
      </c>
      <c r="H159" t="s">
        <v>177</v>
      </c>
    </row>
    <row r="161" ht="15">
      <c r="A161" s="1" t="s">
        <v>178</v>
      </c>
    </row>
    <row r="162" ht="6" customHeight="1"/>
    <row r="163" spans="1:8" ht="18">
      <c r="A163" t="s">
        <v>179</v>
      </c>
      <c r="G163" s="91">
        <f>BVdss*α-Vos-VinmaxDC</f>
        <v>125.2334059711298</v>
      </c>
      <c r="H163" t="s">
        <v>180</v>
      </c>
    </row>
    <row r="164" ht="18">
      <c r="A164" t="s">
        <v>181</v>
      </c>
    </row>
    <row r="165" ht="18">
      <c r="A165" t="s">
        <v>182</v>
      </c>
    </row>
    <row r="166" spans="5:7" ht="18">
      <c r="E166" s="11" t="s">
        <v>183</v>
      </c>
      <c r="F166" s="75" t="s">
        <v>184</v>
      </c>
      <c r="G166" s="75" t="s">
        <v>185</v>
      </c>
    </row>
    <row r="167" spans="4:7" ht="18">
      <c r="D167" s="11" t="s">
        <v>186</v>
      </c>
      <c r="E167" s="92">
        <f>kleak1</f>
        <v>0.005</v>
      </c>
      <c r="F167" s="53">
        <f>E167*Lp</f>
        <v>1.425E-06</v>
      </c>
      <c r="G167" s="93">
        <f>(2*Vclamp*(Vclamp-((Vout+VFWD)/Nsp)))/(Ipk^2*F167*Fsw)</f>
        <v>16346.286018015222</v>
      </c>
    </row>
    <row r="168" spans="4:7" ht="18">
      <c r="D168" s="11" t="s">
        <v>187</v>
      </c>
      <c r="E168" s="92">
        <f>kleak2</f>
        <v>0.008</v>
      </c>
      <c r="F168" s="53">
        <f>E168*Lp</f>
        <v>2.2799999999999998E-06</v>
      </c>
      <c r="G168" s="93">
        <f>(2*Vclamp*(Vclamp-((Vout+VFWD)/Nsp)))/(Ipk^2*F168*Fsw)</f>
        <v>10216.428761259514</v>
      </c>
    </row>
    <row r="169" spans="4:7" ht="18">
      <c r="D169" s="11" t="s">
        <v>188</v>
      </c>
      <c r="E169" s="92">
        <f>kleak3</f>
        <v>0.01</v>
      </c>
      <c r="F169" s="53">
        <f>E169*Lp</f>
        <v>2.85E-06</v>
      </c>
      <c r="G169" s="93">
        <f>(2*Vclamp*(Vclamp-((Vout+VFWD)/Nsp)))/(Ipk^2*F169*Fsw)</f>
        <v>8173.143009007611</v>
      </c>
    </row>
    <row r="171" spans="5:8" ht="18">
      <c r="E171" s="42" t="s">
        <v>189</v>
      </c>
      <c r="F171" s="94">
        <v>8.1</v>
      </c>
      <c r="G171" s="93">
        <f>F171*1000</f>
        <v>8100</v>
      </c>
      <c r="H171" t="s">
        <v>190</v>
      </c>
    </row>
    <row r="172" spans="5:8" ht="18">
      <c r="E172" s="42" t="s">
        <v>191</v>
      </c>
      <c r="F172" s="16">
        <v>0.2</v>
      </c>
      <c r="H172" t="s">
        <v>192</v>
      </c>
    </row>
    <row r="173" spans="1:8" ht="18">
      <c r="A173" t="s">
        <v>193</v>
      </c>
      <c r="G173" s="96">
        <f>Vclamp/(Rclamp*Fsw*VrippleRCD*Vclamp)</f>
        <v>1.3717421124828532E-08</v>
      </c>
      <c r="H173" t="s">
        <v>194</v>
      </c>
    </row>
    <row r="174" spans="5:8" ht="18">
      <c r="E174" s="42" t="s">
        <v>195</v>
      </c>
      <c r="F174" s="95">
        <v>10</v>
      </c>
      <c r="G174" s="96">
        <f>F174/1000000000</f>
        <v>1E-08</v>
      </c>
      <c r="H174" t="s">
        <v>196</v>
      </c>
    </row>
    <row r="175" spans="1:7" ht="18">
      <c r="A175" t="s">
        <v>197</v>
      </c>
      <c r="G175" s="97">
        <f>Vos+(Vout+VFWD)/Nsp</f>
        <v>89.2</v>
      </c>
    </row>
    <row r="177" ht="15">
      <c r="A177" s="1" t="s">
        <v>256</v>
      </c>
    </row>
    <row r="178" ht="6" customHeight="1">
      <c r="B178" s="98">
        <v>1</v>
      </c>
    </row>
    <row r="179" spans="1:11" ht="15">
      <c r="A179" s="99"/>
      <c r="B179" s="99"/>
      <c r="F179" s="133" t="s">
        <v>198</v>
      </c>
      <c r="G179" s="133"/>
      <c r="I179" s="100" t="s">
        <v>199</v>
      </c>
      <c r="J179" s="100" t="s">
        <v>200</v>
      </c>
      <c r="K179" s="101" t="s">
        <v>259</v>
      </c>
    </row>
    <row r="180" spans="1:11" ht="15" customHeight="1">
      <c r="A180" s="99"/>
      <c r="B180" s="99"/>
      <c r="F180" t="s">
        <v>201</v>
      </c>
      <c r="G180" s="48">
        <f aca="true" t="shared" si="0" ref="G180:G185">IF($B$178=1,I180,J180)</f>
        <v>0.0012</v>
      </c>
      <c r="H180" t="s">
        <v>202</v>
      </c>
      <c r="I180" s="102">
        <v>0.0012</v>
      </c>
      <c r="J180" s="102">
        <v>2E-05</v>
      </c>
      <c r="K180" s="101" t="s">
        <v>203</v>
      </c>
    </row>
    <row r="181" spans="6:11" ht="15" customHeight="1">
      <c r="F181" t="s">
        <v>204</v>
      </c>
      <c r="G181" s="48">
        <f t="shared" si="0"/>
        <v>0.002</v>
      </c>
      <c r="H181" t="s">
        <v>205</v>
      </c>
      <c r="I181" s="102">
        <v>0.002</v>
      </c>
      <c r="J181" s="102">
        <v>0.002</v>
      </c>
      <c r="K181" s="103" t="s">
        <v>206</v>
      </c>
    </row>
    <row r="182" spans="6:11" ht="15" customHeight="1">
      <c r="F182" t="s">
        <v>207</v>
      </c>
      <c r="G182" s="104">
        <f t="shared" si="0"/>
        <v>11.4</v>
      </c>
      <c r="H182" t="s">
        <v>208</v>
      </c>
      <c r="I182" s="105">
        <v>11.4</v>
      </c>
      <c r="J182" s="105">
        <v>17</v>
      </c>
      <c r="K182" s="101" t="s">
        <v>209</v>
      </c>
    </row>
    <row r="183" spans="6:11" ht="15" customHeight="1">
      <c r="F183" t="s">
        <v>210</v>
      </c>
      <c r="G183" s="104">
        <f t="shared" si="0"/>
        <v>9</v>
      </c>
      <c r="H183" t="s">
        <v>211</v>
      </c>
      <c r="I183" s="105">
        <v>9</v>
      </c>
      <c r="J183" s="105">
        <v>9</v>
      </c>
      <c r="K183" s="101" t="s">
        <v>212</v>
      </c>
    </row>
    <row r="184" spans="6:11" ht="15" customHeight="1">
      <c r="F184" t="s">
        <v>213</v>
      </c>
      <c r="G184" s="48">
        <f t="shared" si="0"/>
        <v>1E-05</v>
      </c>
      <c r="H184" t="s">
        <v>214</v>
      </c>
      <c r="I184" s="102">
        <v>1E-05</v>
      </c>
      <c r="J184" s="102">
        <v>1E-05</v>
      </c>
      <c r="K184" s="101" t="s">
        <v>215</v>
      </c>
    </row>
    <row r="185" spans="6:11" ht="15" customHeight="1">
      <c r="F185" t="s">
        <v>216</v>
      </c>
      <c r="G185" s="104">
        <f t="shared" si="0"/>
        <v>0.8</v>
      </c>
      <c r="H185" t="s">
        <v>217</v>
      </c>
      <c r="I185" s="106">
        <v>0.8</v>
      </c>
      <c r="J185" s="106">
        <v>0.8</v>
      </c>
      <c r="K185" s="101" t="s">
        <v>218</v>
      </c>
    </row>
    <row r="186" ht="15" customHeight="1"/>
    <row r="187" spans="1:8" ht="15" customHeight="1">
      <c r="A187" t="s">
        <v>260</v>
      </c>
      <c r="G187" s="107">
        <f>1000000*(((ICC2+Qg*Fsw)*treg)/(Vcc_on-Vcc_off))</f>
        <v>11.520833333333332</v>
      </c>
      <c r="H187" t="s">
        <v>219</v>
      </c>
    </row>
    <row r="188" spans="5:8" ht="15" customHeight="1">
      <c r="E188" s="42" t="s">
        <v>220</v>
      </c>
      <c r="F188" s="108">
        <v>4.7</v>
      </c>
      <c r="G188" s="26">
        <f>F188/1000000</f>
        <v>4.7E-06</v>
      </c>
      <c r="H188" t="s">
        <v>221</v>
      </c>
    </row>
    <row r="189" spans="1:8" ht="15" customHeight="1">
      <c r="A189" t="s">
        <v>222</v>
      </c>
      <c r="G189" s="48">
        <f>Vcc_on*Cvcc1/Tstartup</f>
        <v>1.786E-05</v>
      </c>
      <c r="H189" t="s">
        <v>223</v>
      </c>
    </row>
    <row r="190" spans="1:8" ht="15" customHeight="1">
      <c r="A190" t="s">
        <v>335</v>
      </c>
      <c r="G190" s="109">
        <f>Vinmin*SQRT(2)/(ICVCC1+ICC1)</f>
        <v>98704.41003211626</v>
      </c>
      <c r="H190" t="s">
        <v>224</v>
      </c>
    </row>
    <row r="191" spans="5:8" ht="15" customHeight="1">
      <c r="E191" s="110" t="str">
        <f>IF(G190&gt;1000000,"Design Rstart value [ MΩ ] :","Design Rstart value [ KΩ ] :")</f>
        <v>Design Rstart value [ KΩ ] :</v>
      </c>
      <c r="F191" s="86">
        <v>200</v>
      </c>
      <c r="G191" s="111">
        <f>F191*1000</f>
        <v>200000</v>
      </c>
      <c r="H191" t="s">
        <v>225</v>
      </c>
    </row>
    <row r="192" spans="1:7" ht="15" customHeight="1">
      <c r="A192" t="s">
        <v>226</v>
      </c>
      <c r="G192" s="112">
        <f>(Vinmax*SQRT(2)-Vcc_aux)^2/Rstart</f>
        <v>0.6507626768359582</v>
      </c>
    </row>
    <row r="193" ht="6" customHeight="1"/>
    <row r="194" ht="15" customHeight="1">
      <c r="A194" s="113" t="s">
        <v>227</v>
      </c>
    </row>
    <row r="195" spans="1:12" ht="15" customHeight="1">
      <c r="A195" t="s">
        <v>261</v>
      </c>
      <c r="G195" s="109">
        <f>(Vinmin*SQRT(2)/PI())/(ICVCC1+ICC1)</f>
        <v>31418.58952316113</v>
      </c>
      <c r="H195" t="s">
        <v>228</v>
      </c>
      <c r="L195" s="116"/>
    </row>
    <row r="196" spans="5:8" ht="15" customHeight="1">
      <c r="E196" s="110" t="str">
        <f>IF(G195&gt;1000000,"Design Rstart value [ MΩ ] :","Design Rstart value [ KΩ ] :")</f>
        <v>Design Rstart value [ KΩ ] :</v>
      </c>
      <c r="F196" s="86">
        <v>0.82</v>
      </c>
      <c r="G196" s="111">
        <f>F196*1000000</f>
        <v>820000</v>
      </c>
      <c r="H196" t="s">
        <v>229</v>
      </c>
    </row>
    <row r="197" spans="1:7" ht="15" customHeight="1">
      <c r="A197" t="s">
        <v>230</v>
      </c>
      <c r="G197" s="114">
        <f>((Vinmax*SQRT(2)/PI())-Vcc_aux)^2/Rstart2</f>
        <v>0.013519983792223755</v>
      </c>
    </row>
    <row r="198" ht="16.5" customHeight="1"/>
    <row r="199" ht="15">
      <c r="A199" s="1" t="s">
        <v>257</v>
      </c>
    </row>
    <row r="200" spans="5:8" ht="15" customHeight="1">
      <c r="E200" s="42" t="s">
        <v>231</v>
      </c>
      <c r="F200" s="21">
        <v>110</v>
      </c>
      <c r="H200" t="s">
        <v>232</v>
      </c>
    </row>
    <row r="201" spans="5:8" ht="15" customHeight="1">
      <c r="E201" s="42" t="s">
        <v>233</v>
      </c>
      <c r="F201" s="21">
        <v>60</v>
      </c>
      <c r="H201" t="s">
        <v>234</v>
      </c>
    </row>
    <row r="202" ht="15">
      <c r="A202" t="s">
        <v>235</v>
      </c>
    </row>
    <row r="203" spans="1:8" ht="15" customHeight="1">
      <c r="A203" t="s">
        <v>333</v>
      </c>
      <c r="G203" s="93">
        <f>VBO*(VbulkON-VbulkOFF)/(IBO*(VbulkON-VBO))</f>
        <v>36630.03663003663</v>
      </c>
      <c r="H203" t="s">
        <v>236</v>
      </c>
    </row>
    <row r="204" spans="1:8" ht="15" customHeight="1">
      <c r="A204" t="s">
        <v>237</v>
      </c>
      <c r="G204" s="93">
        <f>RBO_lower*(VbulkON-VBO)/VBO</f>
        <v>5000000</v>
      </c>
      <c r="H204" t="s">
        <v>238</v>
      </c>
    </row>
    <row r="206" ht="15">
      <c r="A206" s="1" t="s">
        <v>239</v>
      </c>
    </row>
    <row r="207" spans="1:8" ht="18">
      <c r="A207" t="s">
        <v>264</v>
      </c>
      <c r="F207" s="120"/>
      <c r="G207" s="121">
        <v>18000</v>
      </c>
      <c r="H207" t="s">
        <v>262</v>
      </c>
    </row>
    <row r="208" spans="1:8" ht="18">
      <c r="A208" t="s">
        <v>263</v>
      </c>
      <c r="F208" s="122">
        <v>0.00025</v>
      </c>
      <c r="H208" t="s">
        <v>265</v>
      </c>
    </row>
    <row r="209" spans="1:6" ht="15">
      <c r="A209" s="51" t="s">
        <v>267</v>
      </c>
      <c r="F209" s="122"/>
    </row>
    <row r="210" spans="1:8" ht="15">
      <c r="A210" t="s">
        <v>269</v>
      </c>
      <c r="F210" s="123">
        <v>0.6</v>
      </c>
      <c r="G210" s="19"/>
      <c r="H210" t="s">
        <v>266</v>
      </c>
    </row>
    <row r="211" spans="1:8" ht="18">
      <c r="A211" t="s">
        <v>268</v>
      </c>
      <c r="F211" s="95">
        <v>2.5</v>
      </c>
      <c r="G211" s="26">
        <f>F211*0.000000001</f>
        <v>2.5E-09</v>
      </c>
      <c r="H211" t="s">
        <v>270</v>
      </c>
    </row>
    <row r="212" spans="1:6" ht="15">
      <c r="A212" s="51" t="s">
        <v>271</v>
      </c>
      <c r="F212" s="21"/>
    </row>
    <row r="213" spans="1:8" ht="18">
      <c r="A213" t="s">
        <v>272</v>
      </c>
      <c r="F213" s="124">
        <v>800</v>
      </c>
      <c r="H213" t="s">
        <v>274</v>
      </c>
    </row>
    <row r="214" spans="1:8" ht="15">
      <c r="A214" t="s">
        <v>273</v>
      </c>
      <c r="F214" s="125">
        <v>60</v>
      </c>
      <c r="G214" s="24"/>
      <c r="H214" t="s">
        <v>275</v>
      </c>
    </row>
    <row r="215" spans="6:7" ht="9" customHeight="1">
      <c r="F215" s="25"/>
      <c r="G215" s="26"/>
    </row>
    <row r="216" spans="1:8" ht="18">
      <c r="A216" t="s">
        <v>276</v>
      </c>
      <c r="G216" s="87">
        <f>2.5/Ibridge</f>
        <v>10000</v>
      </c>
      <c r="H216" t="s">
        <v>279</v>
      </c>
    </row>
    <row r="217" spans="5:8" ht="18">
      <c r="E217" s="42" t="s">
        <v>277</v>
      </c>
      <c r="F217" s="126">
        <v>10</v>
      </c>
      <c r="G217" s="87">
        <f>F217*1000</f>
        <v>10000</v>
      </c>
      <c r="H217" t="s">
        <v>278</v>
      </c>
    </row>
    <row r="218" spans="1:8" ht="18">
      <c r="A218" t="s">
        <v>280</v>
      </c>
      <c r="G218" s="87">
        <f>(Vout-2.5)/Ibridge</f>
        <v>66000</v>
      </c>
      <c r="H218" t="s">
        <v>281</v>
      </c>
    </row>
    <row r="219" spans="5:8" ht="18">
      <c r="E219" s="42" t="s">
        <v>277</v>
      </c>
      <c r="F219" s="126">
        <v>66</v>
      </c>
      <c r="G219" s="87">
        <f>F219*1000</f>
        <v>66000</v>
      </c>
      <c r="H219" t="s">
        <v>282</v>
      </c>
    </row>
    <row r="220" spans="1:8" ht="18">
      <c r="A220" t="s">
        <v>283</v>
      </c>
      <c r="G220" s="127">
        <f>Vout/Iout</f>
        <v>6.016666666666667</v>
      </c>
      <c r="H220" t="s">
        <v>284</v>
      </c>
    </row>
    <row r="221" ht="15">
      <c r="A221" t="s">
        <v>286</v>
      </c>
    </row>
    <row r="222" spans="7:8" ht="18">
      <c r="G222" s="127">
        <f>Rload*(Vout+Nsp*Vinmin*SQRT(2))/(2*Vout+Nsp*Vinmin*SQRT(2))</f>
        <v>4.3368247443721595</v>
      </c>
      <c r="H222" t="s">
        <v>285</v>
      </c>
    </row>
    <row r="223" ht="18">
      <c r="A223" t="s">
        <v>287</v>
      </c>
    </row>
    <row r="224" spans="7:8" ht="18">
      <c r="G224" s="129">
        <f>(η*Vinmin*SQRT(2)*Rload)/(8*Rsense*(2*Vout+Nsp*Vinmin*SQRT(2)))</f>
        <v>4.909642171230443</v>
      </c>
      <c r="H224" t="s">
        <v>288</v>
      </c>
    </row>
    <row r="225" ht="18">
      <c r="A225" t="s">
        <v>334</v>
      </c>
    </row>
    <row r="226" spans="7:8" ht="18">
      <c r="G226" s="129">
        <f>(2*Pout*4*Rsense*(Vout+Nsp*Vinmin*SQRT(2))/(Vout*Vinmin*SQRT(2)*η))</f>
        <v>2.789457063716556</v>
      </c>
      <c r="H226" t="s">
        <v>289</v>
      </c>
    </row>
    <row r="227" spans="1:7" ht="15">
      <c r="A227" t="s">
        <v>307</v>
      </c>
      <c r="G227" s="129"/>
    </row>
    <row r="228" spans="1:7" ht="15">
      <c r="A228" t="s">
        <v>308</v>
      </c>
      <c r="G228" s="129"/>
    </row>
    <row r="229" spans="1:8" ht="15">
      <c r="A229" t="s">
        <v>316</v>
      </c>
      <c r="G229" t="str">
        <f>IMDIV(IMPRODUCT(Go,COMPLEX(1,Rcout*Cout*2*PI()*FC),COMPLEX(1,-Lp*Vc*2*PI()*FC/(8*Rsense*Vinmin*SQRT(2)))),IMPRODUCT(COMPLEX(1,Req*Cout*2*PI()*FC),COMPLEX(1,Rpullup*Copto*2*PI()*FC)))</f>
        <v>-0.0245099190227415-0.159830279712886i</v>
      </c>
      <c r="H229" t="s">
        <v>306</v>
      </c>
    </row>
    <row r="230" spans="1:8" ht="15">
      <c r="A230" t="s">
        <v>309</v>
      </c>
      <c r="G230" s="130">
        <f>IMARGUMENT(G229)*180/PI()</f>
        <v>-98.71837091308828</v>
      </c>
      <c r="H230" t="s">
        <v>290</v>
      </c>
    </row>
    <row r="231" ht="15">
      <c r="A231" t="s">
        <v>291</v>
      </c>
    </row>
    <row r="232" spans="1:8" ht="15">
      <c r="A232" t="s">
        <v>292</v>
      </c>
      <c r="G232" s="130">
        <f>PM-PS-90</f>
        <v>68.71837091308828</v>
      </c>
      <c r="H232" t="s">
        <v>293</v>
      </c>
    </row>
    <row r="233" spans="1:8" ht="15">
      <c r="A233" t="s">
        <v>297</v>
      </c>
      <c r="G233" s="128">
        <f>TAN((Boost/2+45)*PI()/180)</f>
        <v>5.3224809073077255</v>
      </c>
      <c r="H233" t="s">
        <v>299</v>
      </c>
    </row>
    <row r="234" ht="15">
      <c r="A234" t="s">
        <v>294</v>
      </c>
    </row>
    <row r="235" spans="1:8" ht="15">
      <c r="A235" t="s">
        <v>296</v>
      </c>
      <c r="G235" s="131">
        <f>FC*k</f>
        <v>4257.9847258461805</v>
      </c>
      <c r="H235" t="s">
        <v>300</v>
      </c>
    </row>
    <row r="236" spans="1:7" ht="15">
      <c r="A236" t="s">
        <v>295</v>
      </c>
      <c r="G236" s="131"/>
    </row>
    <row r="237" spans="1:8" ht="15">
      <c r="A237" t="s">
        <v>298</v>
      </c>
      <c r="G237" s="131">
        <f>FC/k</f>
        <v>150.30584682823496</v>
      </c>
      <c r="H237" t="s">
        <v>301</v>
      </c>
    </row>
    <row r="238" spans="1:8" ht="15">
      <c r="A238" t="s">
        <v>302</v>
      </c>
      <c r="G238" s="67">
        <f>1/(2*PI()*Rupper*fzc)</f>
        <v>1.604354443011857E-08</v>
      </c>
      <c r="H238" t="s">
        <v>304</v>
      </c>
    </row>
    <row r="239" spans="1:8" ht="15">
      <c r="A239" t="s">
        <v>303</v>
      </c>
      <c r="G239" s="67">
        <f>1/(2*PI()*Rpullup*fpc)</f>
        <v>2.0765554252019854E-09</v>
      </c>
      <c r="H239" t="s">
        <v>305</v>
      </c>
    </row>
    <row r="240" spans="1:8" ht="15">
      <c r="A240" t="s">
        <v>310</v>
      </c>
      <c r="G240" s="129">
        <f>20*LOG10(IMABS(G229))</f>
        <v>-15.82587194749943</v>
      </c>
      <c r="H240" t="s">
        <v>312</v>
      </c>
    </row>
    <row r="241" spans="1:8" ht="15">
      <c r="A241" t="s">
        <v>311</v>
      </c>
      <c r="G241" s="87">
        <f>Rpullup*CTR/(10^(-Gs/20))</f>
        <v>1746.3454544567026</v>
      </c>
      <c r="H241" t="s">
        <v>313</v>
      </c>
    </row>
    <row r="243" spans="1:8" ht="15">
      <c r="A243" t="s">
        <v>314</v>
      </c>
      <c r="G243" s="129">
        <f>Rpullup*CTR/Rled</f>
        <v>6.184343408366438</v>
      </c>
      <c r="H243" t="s">
        <v>315</v>
      </c>
    </row>
    <row r="281" spans="2:8" ht="18.75" customHeight="1">
      <c r="B281" s="136" t="s">
        <v>336</v>
      </c>
      <c r="C281" s="136"/>
      <c r="D281" s="136"/>
      <c r="E281" s="136"/>
      <c r="F281" s="136"/>
      <c r="G281" s="136"/>
      <c r="H281" s="136"/>
    </row>
    <row r="282" spans="2:8" ht="15">
      <c r="B282" s="135" t="s">
        <v>337</v>
      </c>
      <c r="C282" s="135"/>
      <c r="D282" s="135"/>
      <c r="E282" s="135"/>
      <c r="F282" s="135"/>
      <c r="G282" s="135"/>
      <c r="H282" s="135"/>
    </row>
    <row r="283" spans="2:8" ht="15">
      <c r="B283" s="135" t="s">
        <v>338</v>
      </c>
      <c r="C283" s="135"/>
      <c r="D283" s="135"/>
      <c r="E283" s="135"/>
      <c r="F283" s="135"/>
      <c r="G283" s="135"/>
      <c r="H283" s="135"/>
    </row>
  </sheetData>
  <sheetProtection/>
  <mergeCells count="7">
    <mergeCell ref="F179:G179"/>
    <mergeCell ref="B281:H281"/>
    <mergeCell ref="B282:H282"/>
    <mergeCell ref="B283:H283"/>
    <mergeCell ref="A1:E1"/>
    <mergeCell ref="A2:J2"/>
    <mergeCell ref="G1:J1"/>
  </mergeCells>
  <conditionalFormatting sqref="F8:G8">
    <cfRule type="expression" priority="15" dxfId="10" stopIfTrue="1">
      <formula>IF(VinType&lt;&gt;"AC",TRUE,FALSE)</formula>
    </cfRule>
    <cfRule type="expression" priority="16" dxfId="11" stopIfTrue="1">
      <formula>IF(VinType="AC",TRUE,FALSE)</formula>
    </cfRule>
  </conditionalFormatting>
  <conditionalFormatting sqref="F9:G9">
    <cfRule type="expression" priority="13" dxfId="10" stopIfTrue="1">
      <formula>IF(VinType&lt;&gt;"DC",TRUE,FALSE)</formula>
    </cfRule>
    <cfRule type="expression" priority="14" dxfId="11" stopIfTrue="1">
      <formula>IF(VinType="DC",TRUE,FALSE)</formula>
    </cfRule>
  </conditionalFormatting>
  <conditionalFormatting sqref="F12">
    <cfRule type="expression" priority="11" dxfId="10" stopIfTrue="1">
      <formula>IF(VinType&lt;&gt;"AC",TRUE,FALSE)</formula>
    </cfRule>
    <cfRule type="expression" priority="12" dxfId="11" stopIfTrue="1">
      <formula>IF(VinType="AC",TRUE,FALSE)</formula>
    </cfRule>
  </conditionalFormatting>
  <conditionalFormatting sqref="F159">
    <cfRule type="expression" priority="6" dxfId="12" stopIfTrue="1">
      <formula>$G$158&gt;1000000</formula>
    </cfRule>
  </conditionalFormatting>
  <conditionalFormatting sqref="F191 F196">
    <cfRule type="expression" priority="5" dxfId="13" stopIfTrue="1">
      <formula>$G$190&gt;1000000</formula>
    </cfRule>
  </conditionalFormatting>
  <conditionalFormatting sqref="A194:H197">
    <cfRule type="expression" priority="3" dxfId="14" stopIfTrue="1">
      <formula>$D$10</formula>
    </cfRule>
  </conditionalFormatting>
  <conditionalFormatting sqref="G156">
    <cfRule type="cellIs" priority="1" dxfId="15" operator="greaterThan" stopIfTrue="1">
      <formula>0.299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1"/>
  <sheetViews>
    <sheetView zoomScalePageLayoutView="0" workbookViewId="0" topLeftCell="A49">
      <selection activeCell="A3" sqref="A3:IV61"/>
    </sheetView>
  </sheetViews>
  <sheetFormatPr defaultColWidth="9.140625" defaultRowHeight="15"/>
  <sheetData>
    <row r="3" spans="2:4" ht="18">
      <c r="B3" s="35"/>
      <c r="C3" s="36" t="s">
        <v>70</v>
      </c>
      <c r="D3" s="35"/>
    </row>
    <row r="4" spans="1:5" ht="18">
      <c r="A4" s="37" t="s">
        <v>71</v>
      </c>
      <c r="B4" s="38" t="s">
        <v>72</v>
      </c>
      <c r="C4" s="38" t="s">
        <v>73</v>
      </c>
      <c r="D4" s="38" t="s">
        <v>74</v>
      </c>
      <c r="E4" s="35" t="s">
        <v>75</v>
      </c>
    </row>
    <row r="5" spans="1:5" ht="15">
      <c r="A5" s="39">
        <v>1.2</v>
      </c>
      <c r="B5" s="40">
        <f aca="true" t="shared" si="0" ref="B5:B36">kleak1*(Pout/η)*($A5/($A5-1))</f>
        <v>2.11764705882353</v>
      </c>
      <c r="C5" s="40">
        <f aca="true" t="shared" si="1" ref="C5:C36">kleak2*(Pout/η)*($A5/($A5-1))</f>
        <v>3.3882352941176483</v>
      </c>
      <c r="D5" s="40">
        <f aca="true" t="shared" si="2" ref="D5:D36">kleak3*(Pout/η)*($A5/($A5-1))</f>
        <v>4.23529411764706</v>
      </c>
      <c r="E5" s="41">
        <f aca="true" t="shared" si="3" ref="E5:E36">(4/3)*Rdson110*(Pout^2/(η^2*Vmin))*((1/Vmin)+($A5/(VDSmax-VinmaxDC-Vos)))</f>
        <v>0.998595403610106</v>
      </c>
    </row>
    <row r="6" spans="1:5" ht="15">
      <c r="A6" s="39">
        <v>1.25</v>
      </c>
      <c r="B6" s="40">
        <f t="shared" si="0"/>
        <v>1.7647058823529413</v>
      </c>
      <c r="C6" s="40">
        <f t="shared" si="1"/>
        <v>2.8235294117647065</v>
      </c>
      <c r="D6" s="40">
        <f t="shared" si="2"/>
        <v>3.5294117647058827</v>
      </c>
      <c r="E6" s="41">
        <f t="shared" si="3"/>
        <v>1.0189771252799007</v>
      </c>
    </row>
    <row r="7" spans="1:5" ht="15">
      <c r="A7" s="39">
        <v>1.3</v>
      </c>
      <c r="B7" s="40">
        <f t="shared" si="0"/>
        <v>1.5294117647058822</v>
      </c>
      <c r="C7" s="40">
        <f t="shared" si="1"/>
        <v>2.447058823529412</v>
      </c>
      <c r="D7" s="40">
        <f t="shared" si="2"/>
        <v>3.0588235294117645</v>
      </c>
      <c r="E7" s="41">
        <f t="shared" si="3"/>
        <v>1.0393588469496955</v>
      </c>
    </row>
    <row r="8" spans="1:5" ht="15">
      <c r="A8" s="39">
        <v>1.35</v>
      </c>
      <c r="B8" s="40">
        <f t="shared" si="0"/>
        <v>1.3613445378151259</v>
      </c>
      <c r="C8" s="40">
        <f t="shared" si="1"/>
        <v>2.1781512605042015</v>
      </c>
      <c r="D8" s="40">
        <f t="shared" si="2"/>
        <v>2.7226890756302518</v>
      </c>
      <c r="E8" s="41">
        <f t="shared" si="3"/>
        <v>1.05974056861949</v>
      </c>
    </row>
    <row r="9" spans="1:5" ht="15">
      <c r="A9" s="39">
        <v>1.4</v>
      </c>
      <c r="B9" s="40">
        <f t="shared" si="0"/>
        <v>1.235294117647059</v>
      </c>
      <c r="C9" s="40">
        <f t="shared" si="1"/>
        <v>1.9764705882352946</v>
      </c>
      <c r="D9" s="40">
        <f t="shared" si="2"/>
        <v>2.470588235294118</v>
      </c>
      <c r="E9" s="41">
        <f t="shared" si="3"/>
        <v>1.0801222902892846</v>
      </c>
    </row>
    <row r="10" spans="1:5" ht="15">
      <c r="A10" s="39">
        <v>1.45</v>
      </c>
      <c r="B10" s="40">
        <f t="shared" si="0"/>
        <v>1.1372549019607845</v>
      </c>
      <c r="C10" s="40">
        <f t="shared" si="1"/>
        <v>1.8196078431372553</v>
      </c>
      <c r="D10" s="40">
        <f t="shared" si="2"/>
        <v>2.274509803921569</v>
      </c>
      <c r="E10" s="41">
        <f t="shared" si="3"/>
        <v>1.1005040119590792</v>
      </c>
    </row>
    <row r="11" spans="1:5" ht="15">
      <c r="A11" s="39">
        <v>1.5</v>
      </c>
      <c r="B11" s="40">
        <f t="shared" si="0"/>
        <v>1.0588235294117647</v>
      </c>
      <c r="C11" s="40">
        <f t="shared" si="1"/>
        <v>1.6941176470588237</v>
      </c>
      <c r="D11" s="40">
        <f t="shared" si="2"/>
        <v>2.1176470588235294</v>
      </c>
      <c r="E11" s="41">
        <f t="shared" si="3"/>
        <v>1.120885733628874</v>
      </c>
    </row>
    <row r="12" spans="1:5" ht="15">
      <c r="A12" s="39">
        <v>1.55</v>
      </c>
      <c r="B12" s="40">
        <f t="shared" si="0"/>
        <v>0.9946524064171123</v>
      </c>
      <c r="C12" s="40">
        <f t="shared" si="1"/>
        <v>1.5914438502673798</v>
      </c>
      <c r="D12" s="40">
        <f t="shared" si="2"/>
        <v>1.9893048128342246</v>
      </c>
      <c r="E12" s="41">
        <f t="shared" si="3"/>
        <v>1.1412674552986686</v>
      </c>
    </row>
    <row r="13" spans="1:5" ht="15">
      <c r="A13" s="39">
        <v>1.6</v>
      </c>
      <c r="B13" s="40">
        <f t="shared" si="0"/>
        <v>0.9411764705882353</v>
      </c>
      <c r="C13" s="40">
        <f t="shared" si="1"/>
        <v>1.5058823529411767</v>
      </c>
      <c r="D13" s="40">
        <f t="shared" si="2"/>
        <v>1.8823529411764706</v>
      </c>
      <c r="E13" s="41">
        <f t="shared" si="3"/>
        <v>1.1616491769684634</v>
      </c>
    </row>
    <row r="14" spans="1:5" ht="15">
      <c r="A14" s="39">
        <v>1.65</v>
      </c>
      <c r="B14" s="40">
        <f t="shared" si="0"/>
        <v>0.8959276018099549</v>
      </c>
      <c r="C14" s="40">
        <f t="shared" si="1"/>
        <v>1.433484162895928</v>
      </c>
      <c r="D14" s="40">
        <f t="shared" si="2"/>
        <v>1.7918552036199098</v>
      </c>
      <c r="E14" s="41">
        <f t="shared" si="3"/>
        <v>1.182030898638258</v>
      </c>
    </row>
    <row r="15" spans="1:5" ht="15">
      <c r="A15" s="39">
        <v>1.7</v>
      </c>
      <c r="B15" s="40">
        <f t="shared" si="0"/>
        <v>0.8571428571428573</v>
      </c>
      <c r="C15" s="40">
        <f t="shared" si="1"/>
        <v>1.3714285714285719</v>
      </c>
      <c r="D15" s="40">
        <f t="shared" si="2"/>
        <v>1.7142857142857146</v>
      </c>
      <c r="E15" s="41">
        <f t="shared" si="3"/>
        <v>1.2024126203080525</v>
      </c>
    </row>
    <row r="16" spans="1:5" ht="15">
      <c r="A16" s="39">
        <v>1.75</v>
      </c>
      <c r="B16" s="40">
        <f t="shared" si="0"/>
        <v>0.823529411764706</v>
      </c>
      <c r="C16" s="40">
        <f t="shared" si="1"/>
        <v>1.3176470588235298</v>
      </c>
      <c r="D16" s="40">
        <f t="shared" si="2"/>
        <v>1.647058823529412</v>
      </c>
      <c r="E16" s="41">
        <f t="shared" si="3"/>
        <v>1.2227943419778473</v>
      </c>
    </row>
    <row r="17" spans="1:5" ht="15">
      <c r="A17" s="39">
        <v>1.8</v>
      </c>
      <c r="B17" s="40">
        <f t="shared" si="0"/>
        <v>0.7941176470588236</v>
      </c>
      <c r="C17" s="40">
        <f t="shared" si="1"/>
        <v>1.2705882352941178</v>
      </c>
      <c r="D17" s="40">
        <f t="shared" si="2"/>
        <v>1.5882352941176472</v>
      </c>
      <c r="E17" s="41">
        <f t="shared" si="3"/>
        <v>1.2431760636476419</v>
      </c>
    </row>
    <row r="18" spans="1:5" ht="15">
      <c r="A18" s="39">
        <v>1.85</v>
      </c>
      <c r="B18" s="40">
        <f t="shared" si="0"/>
        <v>0.7681660899653979</v>
      </c>
      <c r="C18" s="40">
        <f t="shared" si="1"/>
        <v>1.2290657439446369</v>
      </c>
      <c r="D18" s="40">
        <f t="shared" si="2"/>
        <v>1.5363321799307958</v>
      </c>
      <c r="E18" s="41">
        <f t="shared" si="3"/>
        <v>1.2635577853174367</v>
      </c>
    </row>
    <row r="19" spans="1:5" ht="15">
      <c r="A19" s="39">
        <v>1.9</v>
      </c>
      <c r="B19" s="40">
        <f t="shared" si="0"/>
        <v>0.7450980392156863</v>
      </c>
      <c r="C19" s="40">
        <f t="shared" si="1"/>
        <v>1.1921568627450982</v>
      </c>
      <c r="D19" s="40">
        <f t="shared" si="2"/>
        <v>1.4901960784313726</v>
      </c>
      <c r="E19" s="41">
        <f t="shared" si="3"/>
        <v>1.2839395069872312</v>
      </c>
    </row>
    <row r="20" spans="1:5" ht="15">
      <c r="A20" s="39">
        <v>1.95</v>
      </c>
      <c r="B20" s="40">
        <f t="shared" si="0"/>
        <v>0.7244582043343655</v>
      </c>
      <c r="C20" s="40">
        <f t="shared" si="1"/>
        <v>1.1591331269349847</v>
      </c>
      <c r="D20" s="40">
        <f t="shared" si="2"/>
        <v>1.448916408668731</v>
      </c>
      <c r="E20" s="41">
        <f t="shared" si="3"/>
        <v>1.304321228657026</v>
      </c>
    </row>
    <row r="21" spans="1:5" ht="15">
      <c r="A21" s="39">
        <v>2</v>
      </c>
      <c r="B21" s="40">
        <f t="shared" si="0"/>
        <v>0.7058823529411765</v>
      </c>
      <c r="C21" s="40">
        <f t="shared" si="1"/>
        <v>1.1294117647058826</v>
      </c>
      <c r="D21" s="40">
        <f t="shared" si="2"/>
        <v>1.411764705882353</v>
      </c>
      <c r="E21" s="41">
        <f t="shared" si="3"/>
        <v>1.3247029503268206</v>
      </c>
    </row>
    <row r="22" spans="1:5" ht="15">
      <c r="A22" s="39">
        <v>2.05</v>
      </c>
      <c r="B22" s="40">
        <f t="shared" si="0"/>
        <v>0.689075630252101</v>
      </c>
      <c r="C22" s="40">
        <f t="shared" si="1"/>
        <v>1.1025210084033616</v>
      </c>
      <c r="D22" s="40">
        <f t="shared" si="2"/>
        <v>1.378151260504202</v>
      </c>
      <c r="E22" s="41">
        <f t="shared" si="3"/>
        <v>1.3450846719966154</v>
      </c>
    </row>
    <row r="23" spans="1:5" ht="15">
      <c r="A23" s="39">
        <v>2.1</v>
      </c>
      <c r="B23" s="40">
        <f t="shared" si="0"/>
        <v>0.6737967914438503</v>
      </c>
      <c r="C23" s="40">
        <f t="shared" si="1"/>
        <v>1.0780748663101605</v>
      </c>
      <c r="D23" s="40">
        <f t="shared" si="2"/>
        <v>1.3475935828877006</v>
      </c>
      <c r="E23" s="41">
        <f t="shared" si="3"/>
        <v>1.36546639366641</v>
      </c>
    </row>
    <row r="24" spans="1:5" ht="15">
      <c r="A24" s="39">
        <v>2.15</v>
      </c>
      <c r="B24" s="40">
        <f t="shared" si="0"/>
        <v>0.659846547314578</v>
      </c>
      <c r="C24" s="40">
        <f t="shared" si="1"/>
        <v>1.055754475703325</v>
      </c>
      <c r="D24" s="40">
        <f t="shared" si="2"/>
        <v>1.319693094629156</v>
      </c>
      <c r="E24" s="41">
        <f t="shared" si="3"/>
        <v>1.3858481153362048</v>
      </c>
    </row>
    <row r="25" spans="1:5" ht="15">
      <c r="A25" s="39">
        <v>2.2</v>
      </c>
      <c r="B25" s="40">
        <f t="shared" si="0"/>
        <v>0.6470588235294118</v>
      </c>
      <c r="C25" s="40">
        <f t="shared" si="1"/>
        <v>1.035294117647059</v>
      </c>
      <c r="D25" s="40">
        <f t="shared" si="2"/>
        <v>1.2941176470588236</v>
      </c>
      <c r="E25" s="41">
        <f t="shared" si="3"/>
        <v>1.4062298370059994</v>
      </c>
    </row>
    <row r="26" spans="1:5" ht="15">
      <c r="A26" s="39">
        <v>2.25</v>
      </c>
      <c r="B26" s="40">
        <f t="shared" si="0"/>
        <v>0.6352941176470589</v>
      </c>
      <c r="C26" s="40">
        <f t="shared" si="1"/>
        <v>1.0164705882352942</v>
      </c>
      <c r="D26" s="40">
        <f t="shared" si="2"/>
        <v>1.2705882352941178</v>
      </c>
      <c r="E26" s="41">
        <f t="shared" si="3"/>
        <v>1.4266115586757941</v>
      </c>
    </row>
    <row r="27" spans="1:5" ht="15">
      <c r="A27" s="39">
        <v>2.3</v>
      </c>
      <c r="B27" s="40">
        <f t="shared" si="0"/>
        <v>0.6244343891402716</v>
      </c>
      <c r="C27" s="40">
        <f t="shared" si="1"/>
        <v>0.9990950226244346</v>
      </c>
      <c r="D27" s="40">
        <f t="shared" si="2"/>
        <v>1.2488687782805432</v>
      </c>
      <c r="E27" s="41">
        <f t="shared" si="3"/>
        <v>1.4469932803455887</v>
      </c>
    </row>
    <row r="28" spans="1:5" ht="15">
      <c r="A28" s="39">
        <v>2.35</v>
      </c>
      <c r="B28" s="40">
        <f t="shared" si="0"/>
        <v>0.6143790849673203</v>
      </c>
      <c r="C28" s="40">
        <f t="shared" si="1"/>
        <v>0.9830065359477126</v>
      </c>
      <c r="D28" s="40">
        <f t="shared" si="2"/>
        <v>1.2287581699346406</v>
      </c>
      <c r="E28" s="41">
        <f t="shared" si="3"/>
        <v>1.4673750020153833</v>
      </c>
    </row>
    <row r="29" spans="1:5" ht="15">
      <c r="A29" s="39">
        <v>2.4</v>
      </c>
      <c r="B29" s="40">
        <f t="shared" si="0"/>
        <v>0.6050420168067228</v>
      </c>
      <c r="C29" s="40">
        <f t="shared" si="1"/>
        <v>0.9680672268907565</v>
      </c>
      <c r="D29" s="40">
        <f t="shared" si="2"/>
        <v>1.2100840336134455</v>
      </c>
      <c r="E29" s="41">
        <f t="shared" si="3"/>
        <v>1.487756723685178</v>
      </c>
    </row>
    <row r="30" spans="1:5" ht="15">
      <c r="A30" s="39">
        <v>2.45</v>
      </c>
      <c r="B30" s="40">
        <f t="shared" si="0"/>
        <v>0.5963488843813387</v>
      </c>
      <c r="C30" s="40">
        <f t="shared" si="1"/>
        <v>0.9541582150101421</v>
      </c>
      <c r="D30" s="40">
        <f t="shared" si="2"/>
        <v>1.1926977687626774</v>
      </c>
      <c r="E30" s="41">
        <f t="shared" si="3"/>
        <v>1.5081384453549727</v>
      </c>
    </row>
    <row r="31" spans="1:5" ht="15">
      <c r="A31" s="39">
        <v>2.5</v>
      </c>
      <c r="B31" s="40">
        <f t="shared" si="0"/>
        <v>0.5882352941176471</v>
      </c>
      <c r="C31" s="40">
        <f t="shared" si="1"/>
        <v>0.9411764705882355</v>
      </c>
      <c r="D31" s="40">
        <f t="shared" si="2"/>
        <v>1.1764705882352942</v>
      </c>
      <c r="E31" s="41">
        <f t="shared" si="3"/>
        <v>1.5285201670247675</v>
      </c>
    </row>
    <row r="32" spans="1:5" ht="15">
      <c r="A32" s="39">
        <v>2.55</v>
      </c>
      <c r="B32" s="40">
        <f t="shared" si="0"/>
        <v>0.5806451612903226</v>
      </c>
      <c r="C32" s="40">
        <f t="shared" si="1"/>
        <v>0.9290322580645164</v>
      </c>
      <c r="D32" s="40">
        <f t="shared" si="2"/>
        <v>1.1612903225806452</v>
      </c>
      <c r="E32" s="41">
        <f t="shared" si="3"/>
        <v>1.5489018886945618</v>
      </c>
    </row>
    <row r="33" spans="1:5" ht="15">
      <c r="A33" s="39">
        <v>2.6</v>
      </c>
      <c r="B33" s="40">
        <f t="shared" si="0"/>
        <v>0.573529411764706</v>
      </c>
      <c r="C33" s="40">
        <f t="shared" si="1"/>
        <v>0.9176470588235296</v>
      </c>
      <c r="D33" s="40">
        <f t="shared" si="2"/>
        <v>1.147058823529412</v>
      </c>
      <c r="E33" s="41">
        <f t="shared" si="3"/>
        <v>1.5692836103643568</v>
      </c>
    </row>
    <row r="34" spans="1:5" ht="15">
      <c r="A34" s="39">
        <v>2.65</v>
      </c>
      <c r="B34" s="40">
        <f t="shared" si="0"/>
        <v>0.5668449197860963</v>
      </c>
      <c r="C34" s="40">
        <f t="shared" si="1"/>
        <v>0.9069518716577543</v>
      </c>
      <c r="D34" s="40">
        <f t="shared" si="2"/>
        <v>1.1336898395721926</v>
      </c>
      <c r="E34" s="41">
        <f t="shared" si="3"/>
        <v>1.5896653320341512</v>
      </c>
    </row>
    <row r="35" spans="1:5" ht="15">
      <c r="A35" s="39">
        <v>2.7</v>
      </c>
      <c r="B35" s="40">
        <f t="shared" si="0"/>
        <v>0.5605536332179931</v>
      </c>
      <c r="C35" s="40">
        <f t="shared" si="1"/>
        <v>0.896885813148789</v>
      </c>
      <c r="D35" s="40">
        <f t="shared" si="2"/>
        <v>1.1211072664359862</v>
      </c>
      <c r="E35" s="41">
        <f t="shared" si="3"/>
        <v>1.6100470537039462</v>
      </c>
    </row>
    <row r="36" spans="1:5" ht="15">
      <c r="A36" s="39">
        <v>2.75</v>
      </c>
      <c r="B36" s="40">
        <f t="shared" si="0"/>
        <v>0.5546218487394958</v>
      </c>
      <c r="C36" s="40">
        <f t="shared" si="1"/>
        <v>0.8873949579831935</v>
      </c>
      <c r="D36" s="40">
        <f t="shared" si="2"/>
        <v>1.1092436974789917</v>
      </c>
      <c r="E36" s="41">
        <f t="shared" si="3"/>
        <v>1.6304287753737405</v>
      </c>
    </row>
    <row r="37" spans="1:5" ht="15">
      <c r="A37" s="39">
        <v>2.8</v>
      </c>
      <c r="B37" s="40">
        <f aca="true" t="shared" si="4" ref="B37:B61">kleak1*(Pout/η)*($A37/($A37-1))</f>
        <v>0.5490196078431373</v>
      </c>
      <c r="C37" s="40">
        <f aca="true" t="shared" si="5" ref="C37:C61">kleak2*(Pout/η)*($A37/($A37-1))</f>
        <v>0.8784313725490198</v>
      </c>
      <c r="D37" s="40">
        <f aca="true" t="shared" si="6" ref="D37:D61">kleak3*(Pout/η)*($A37/($A37-1))</f>
        <v>1.0980392156862746</v>
      </c>
      <c r="E37" s="41">
        <f aca="true" t="shared" si="7" ref="E37:E61">(4/3)*Rdson110*(Pout^2/(η^2*Vmin))*((1/Vmin)+($A37/(VDSmax-VinmaxDC-Vos)))</f>
        <v>1.650810497043535</v>
      </c>
    </row>
    <row r="38" spans="1:5" ht="15">
      <c r="A38" s="39">
        <v>2.85</v>
      </c>
      <c r="B38" s="40">
        <f t="shared" si="4"/>
        <v>0.5437201907790143</v>
      </c>
      <c r="C38" s="40">
        <f t="shared" si="5"/>
        <v>0.8699523052464231</v>
      </c>
      <c r="D38" s="40">
        <f t="shared" si="6"/>
        <v>1.0874403815580287</v>
      </c>
      <c r="E38" s="41">
        <f t="shared" si="7"/>
        <v>1.6711922187133297</v>
      </c>
    </row>
    <row r="39" spans="1:5" ht="15">
      <c r="A39" s="39">
        <v>2.9</v>
      </c>
      <c r="B39" s="40">
        <f t="shared" si="4"/>
        <v>0.5386996904024769</v>
      </c>
      <c r="C39" s="40">
        <f t="shared" si="5"/>
        <v>0.861919504643963</v>
      </c>
      <c r="D39" s="40">
        <f t="shared" si="6"/>
        <v>1.0773993808049538</v>
      </c>
      <c r="E39" s="41">
        <f t="shared" si="7"/>
        <v>1.6915739403831245</v>
      </c>
    </row>
    <row r="40" spans="1:5" ht="15">
      <c r="A40" s="39">
        <v>2.95</v>
      </c>
      <c r="B40" s="40">
        <f t="shared" si="4"/>
        <v>0.5339366515837104</v>
      </c>
      <c r="C40" s="40">
        <f t="shared" si="5"/>
        <v>0.8542986425339368</v>
      </c>
      <c r="D40" s="40">
        <f t="shared" si="6"/>
        <v>1.0678733031674208</v>
      </c>
      <c r="E40" s="41">
        <f t="shared" si="7"/>
        <v>1.7119556620529195</v>
      </c>
    </row>
    <row r="41" spans="1:5" ht="15">
      <c r="A41" s="39">
        <v>3</v>
      </c>
      <c r="B41" s="40">
        <f t="shared" si="4"/>
        <v>0.5294117647058824</v>
      </c>
      <c r="C41" s="40">
        <f t="shared" si="5"/>
        <v>0.8470588235294119</v>
      </c>
      <c r="D41" s="40">
        <f t="shared" si="6"/>
        <v>1.0588235294117647</v>
      </c>
      <c r="E41" s="41">
        <f t="shared" si="7"/>
        <v>1.7323373837227138</v>
      </c>
    </row>
    <row r="42" spans="1:5" ht="15">
      <c r="A42" s="39">
        <v>3.05</v>
      </c>
      <c r="B42" s="40">
        <f t="shared" si="4"/>
        <v>0.5251076040172167</v>
      </c>
      <c r="C42" s="40">
        <f t="shared" si="5"/>
        <v>0.8401721664275468</v>
      </c>
      <c r="D42" s="40">
        <f t="shared" si="6"/>
        <v>1.0502152080344334</v>
      </c>
      <c r="E42" s="41">
        <f t="shared" si="7"/>
        <v>1.7527191053925084</v>
      </c>
    </row>
    <row r="43" spans="1:5" ht="15">
      <c r="A43" s="39">
        <v>3.1</v>
      </c>
      <c r="B43" s="40">
        <f t="shared" si="4"/>
        <v>0.5210084033613446</v>
      </c>
      <c r="C43" s="40">
        <f t="shared" si="5"/>
        <v>0.8336134453781514</v>
      </c>
      <c r="D43" s="40">
        <f t="shared" si="6"/>
        <v>1.0420168067226891</v>
      </c>
      <c r="E43" s="41">
        <f t="shared" si="7"/>
        <v>1.7731008270623032</v>
      </c>
    </row>
    <row r="44" spans="1:5" ht="15">
      <c r="A44" s="39">
        <v>3.15</v>
      </c>
      <c r="B44" s="40">
        <f t="shared" si="4"/>
        <v>0.5170998632010944</v>
      </c>
      <c r="C44" s="40">
        <f t="shared" si="5"/>
        <v>0.8273597811217511</v>
      </c>
      <c r="D44" s="40">
        <f t="shared" si="6"/>
        <v>1.0341997264021887</v>
      </c>
      <c r="E44" s="41">
        <f t="shared" si="7"/>
        <v>1.7934825487320978</v>
      </c>
    </row>
    <row r="45" spans="1:5" ht="15">
      <c r="A45" s="39">
        <v>3.2</v>
      </c>
      <c r="B45" s="40">
        <f t="shared" si="4"/>
        <v>0.5133689839572193</v>
      </c>
      <c r="C45" s="40">
        <f t="shared" si="5"/>
        <v>0.8213903743315509</v>
      </c>
      <c r="D45" s="40">
        <f t="shared" si="6"/>
        <v>1.0267379679144386</v>
      </c>
      <c r="E45" s="41">
        <f t="shared" si="7"/>
        <v>1.8138642704018926</v>
      </c>
    </row>
    <row r="46" spans="1:5" ht="15">
      <c r="A46" s="39">
        <v>3.25</v>
      </c>
      <c r="B46" s="40">
        <f t="shared" si="4"/>
        <v>0.5098039215686275</v>
      </c>
      <c r="C46" s="40">
        <f t="shared" si="5"/>
        <v>0.815686274509804</v>
      </c>
      <c r="D46" s="40">
        <f t="shared" si="6"/>
        <v>1.019607843137255</v>
      </c>
      <c r="E46" s="41">
        <f t="shared" si="7"/>
        <v>1.8342459920716871</v>
      </c>
    </row>
    <row r="47" spans="1:5" ht="15">
      <c r="A47" s="39">
        <v>3.3</v>
      </c>
      <c r="B47" s="40">
        <f t="shared" si="4"/>
        <v>0.5063938618925832</v>
      </c>
      <c r="C47" s="40">
        <f t="shared" si="5"/>
        <v>0.8102301790281331</v>
      </c>
      <c r="D47" s="40">
        <f t="shared" si="6"/>
        <v>1.0127877237851663</v>
      </c>
      <c r="E47" s="41">
        <f t="shared" si="7"/>
        <v>1.854627713741482</v>
      </c>
    </row>
    <row r="48" spans="1:5" ht="15">
      <c r="A48" s="39">
        <v>3.35</v>
      </c>
      <c r="B48" s="40">
        <f t="shared" si="4"/>
        <v>0.5031289111389237</v>
      </c>
      <c r="C48" s="40">
        <f t="shared" si="5"/>
        <v>0.805006257822278</v>
      </c>
      <c r="D48" s="40">
        <f t="shared" si="6"/>
        <v>1.0062578222778473</v>
      </c>
      <c r="E48" s="41">
        <f t="shared" si="7"/>
        <v>1.8750094354112765</v>
      </c>
    </row>
    <row r="49" spans="1:5" ht="15">
      <c r="A49" s="39">
        <v>3.4</v>
      </c>
      <c r="B49" s="40">
        <f t="shared" si="4"/>
        <v>0.5000000000000001</v>
      </c>
      <c r="C49" s="40">
        <f t="shared" si="5"/>
        <v>0.8000000000000002</v>
      </c>
      <c r="D49" s="40">
        <f t="shared" si="6"/>
        <v>1.0000000000000002</v>
      </c>
      <c r="E49" s="41">
        <f t="shared" si="7"/>
        <v>1.8953911570810713</v>
      </c>
    </row>
    <row r="50" spans="1:5" ht="15">
      <c r="A50" s="39">
        <v>3.45</v>
      </c>
      <c r="B50" s="40">
        <f t="shared" si="4"/>
        <v>0.49699879951980797</v>
      </c>
      <c r="C50" s="40">
        <f t="shared" si="5"/>
        <v>0.7951980792316928</v>
      </c>
      <c r="D50" s="40">
        <f t="shared" si="6"/>
        <v>0.9939975990396159</v>
      </c>
      <c r="E50" s="41">
        <f t="shared" si="7"/>
        <v>1.9157728787508659</v>
      </c>
    </row>
    <row r="51" spans="1:5" ht="15">
      <c r="A51" s="39">
        <v>3.5</v>
      </c>
      <c r="B51" s="40">
        <f t="shared" si="4"/>
        <v>0.49411764705882355</v>
      </c>
      <c r="C51" s="40">
        <f t="shared" si="5"/>
        <v>0.7905882352941177</v>
      </c>
      <c r="D51" s="40">
        <f t="shared" si="6"/>
        <v>0.9882352941176471</v>
      </c>
      <c r="E51" s="41">
        <f t="shared" si="7"/>
        <v>1.9361546004206605</v>
      </c>
    </row>
    <row r="52" spans="1:5" ht="15">
      <c r="A52" s="39">
        <v>3.55</v>
      </c>
      <c r="B52" s="40">
        <f t="shared" si="4"/>
        <v>0.49134948096885817</v>
      </c>
      <c r="C52" s="40">
        <f t="shared" si="5"/>
        <v>0.7861591695501731</v>
      </c>
      <c r="D52" s="40">
        <f t="shared" si="6"/>
        <v>0.9826989619377163</v>
      </c>
      <c r="E52" s="41">
        <f t="shared" si="7"/>
        <v>1.9565363220904552</v>
      </c>
    </row>
    <row r="53" spans="1:5" ht="15">
      <c r="A53" s="39">
        <v>3.6</v>
      </c>
      <c r="B53" s="40">
        <f t="shared" si="4"/>
        <v>0.4886877828054299</v>
      </c>
      <c r="C53" s="40">
        <f t="shared" si="5"/>
        <v>0.7819004524886879</v>
      </c>
      <c r="D53" s="40">
        <f t="shared" si="6"/>
        <v>0.9773755656108598</v>
      </c>
      <c r="E53" s="41">
        <f t="shared" si="7"/>
        <v>1.9769180437602498</v>
      </c>
    </row>
    <row r="54" spans="1:5" ht="15">
      <c r="A54" s="39">
        <v>3.65</v>
      </c>
      <c r="B54" s="40">
        <f t="shared" si="4"/>
        <v>0.48612652608213097</v>
      </c>
      <c r="C54" s="40">
        <f t="shared" si="5"/>
        <v>0.7778024417314097</v>
      </c>
      <c r="D54" s="40">
        <f t="shared" si="6"/>
        <v>0.9722530521642619</v>
      </c>
      <c r="E54" s="41">
        <f t="shared" si="7"/>
        <v>1.9972997654300446</v>
      </c>
    </row>
    <row r="55" spans="1:5" ht="15">
      <c r="A55" s="39">
        <v>3.7</v>
      </c>
      <c r="B55" s="40">
        <f t="shared" si="4"/>
        <v>0.48366013071895425</v>
      </c>
      <c r="C55" s="40">
        <f t="shared" si="5"/>
        <v>0.7738562091503268</v>
      </c>
      <c r="D55" s="40">
        <f t="shared" si="6"/>
        <v>0.9673202614379085</v>
      </c>
      <c r="E55" s="41">
        <f t="shared" si="7"/>
        <v>2.017681487099839</v>
      </c>
    </row>
    <row r="56" spans="1:5" ht="15">
      <c r="A56" s="39">
        <v>3.75</v>
      </c>
      <c r="B56" s="40">
        <f t="shared" si="4"/>
        <v>0.48128342245989303</v>
      </c>
      <c r="C56" s="40">
        <f t="shared" si="5"/>
        <v>0.770053475935829</v>
      </c>
      <c r="D56" s="40">
        <f t="shared" si="6"/>
        <v>0.9625668449197861</v>
      </c>
      <c r="E56" s="41">
        <f t="shared" si="7"/>
        <v>2.0380632087696338</v>
      </c>
    </row>
    <row r="57" spans="1:5" ht="15">
      <c r="A57" s="39">
        <v>3.8</v>
      </c>
      <c r="B57" s="40">
        <f t="shared" si="4"/>
        <v>0.47899159663865554</v>
      </c>
      <c r="C57" s="40">
        <f t="shared" si="5"/>
        <v>0.7663865546218489</v>
      </c>
      <c r="D57" s="40">
        <f t="shared" si="6"/>
        <v>0.9579831932773111</v>
      </c>
      <c r="E57" s="41">
        <f t="shared" si="7"/>
        <v>2.0584449304394288</v>
      </c>
    </row>
    <row r="58" spans="1:5" ht="15">
      <c r="A58" s="39">
        <v>3.85</v>
      </c>
      <c r="B58" s="40">
        <f t="shared" si="4"/>
        <v>0.47678018575851394</v>
      </c>
      <c r="C58" s="40">
        <f t="shared" si="5"/>
        <v>0.7628482972136225</v>
      </c>
      <c r="D58" s="40">
        <f t="shared" si="6"/>
        <v>0.9535603715170279</v>
      </c>
      <c r="E58" s="41">
        <f t="shared" si="7"/>
        <v>2.0788266521092233</v>
      </c>
    </row>
    <row r="59" spans="1:5" ht="15">
      <c r="A59" s="39">
        <v>3.9</v>
      </c>
      <c r="B59" s="40">
        <f t="shared" si="4"/>
        <v>0.4746450304259635</v>
      </c>
      <c r="C59" s="40">
        <f t="shared" si="5"/>
        <v>0.7594320486815417</v>
      </c>
      <c r="D59" s="40">
        <f t="shared" si="6"/>
        <v>0.949290060851927</v>
      </c>
      <c r="E59" s="41">
        <f t="shared" si="7"/>
        <v>2.099208373779018</v>
      </c>
    </row>
    <row r="60" spans="1:5" ht="15">
      <c r="A60" s="39">
        <v>3.95</v>
      </c>
      <c r="B60" s="40">
        <f t="shared" si="4"/>
        <v>0.4725822532402792</v>
      </c>
      <c r="C60" s="40">
        <f t="shared" si="5"/>
        <v>0.7561316051844468</v>
      </c>
      <c r="D60" s="40">
        <f t="shared" si="6"/>
        <v>0.9451645064805584</v>
      </c>
      <c r="E60" s="41">
        <f t="shared" si="7"/>
        <v>2.1195900954488125</v>
      </c>
    </row>
    <row r="61" spans="1:5" ht="15">
      <c r="A61" s="39">
        <v>4</v>
      </c>
      <c r="B61" s="40">
        <f t="shared" si="4"/>
        <v>0.47058823529411764</v>
      </c>
      <c r="C61" s="40">
        <f t="shared" si="5"/>
        <v>0.7529411764705883</v>
      </c>
      <c r="D61" s="40">
        <f t="shared" si="6"/>
        <v>0.9411764705882353</v>
      </c>
      <c r="E61" s="41">
        <f t="shared" si="7"/>
        <v>2.139971817118607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3"/>
  <sheetViews>
    <sheetView zoomScalePageLayoutView="0" workbookViewId="0" topLeftCell="A100">
      <selection activeCell="G1" sqref="G1:H16384"/>
    </sheetView>
  </sheetViews>
  <sheetFormatPr defaultColWidth="9.140625" defaultRowHeight="15"/>
  <cols>
    <col min="1" max="1" width="13.28125" style="0" bestFit="1" customWidth="1"/>
    <col min="2" max="2" width="14.00390625" style="0" customWidth="1"/>
    <col min="3" max="3" width="7.421875" style="0" customWidth="1"/>
    <col min="4" max="4" width="12.8515625" style="0" bestFit="1" customWidth="1"/>
    <col min="5" max="5" width="8.140625" style="20" bestFit="1" customWidth="1"/>
    <col min="7" max="7" width="14.28125" style="20" bestFit="1" customWidth="1"/>
    <col min="8" max="8" width="9.421875" style="20" bestFit="1" customWidth="1"/>
  </cols>
  <sheetData>
    <row r="1" spans="1:2" ht="15">
      <c r="A1" t="s">
        <v>321</v>
      </c>
      <c r="B1">
        <v>1</v>
      </c>
    </row>
    <row r="2" spans="1:2" ht="15">
      <c r="A2" t="s">
        <v>322</v>
      </c>
      <c r="B2">
        <v>100000</v>
      </c>
    </row>
    <row r="3" spans="1:2" ht="15">
      <c r="A3" t="s">
        <v>325</v>
      </c>
      <c r="B3">
        <v>50</v>
      </c>
    </row>
    <row r="4" spans="1:2" ht="15">
      <c r="A4" t="s">
        <v>323</v>
      </c>
      <c r="B4">
        <f>LOG10(B2)-LOG10(B1)</f>
        <v>5</v>
      </c>
    </row>
    <row r="5" spans="1:2" ht="15">
      <c r="A5" t="s">
        <v>324</v>
      </c>
      <c r="B5">
        <f>B4*B3+1</f>
        <v>251</v>
      </c>
    </row>
    <row r="7" spans="3:8" ht="15">
      <c r="C7" s="134" t="s">
        <v>327</v>
      </c>
      <c r="D7" s="134"/>
      <c r="E7" s="134"/>
      <c r="F7" s="134" t="s">
        <v>328</v>
      </c>
      <c r="G7" s="134"/>
      <c r="H7" s="134"/>
    </row>
    <row r="8" spans="1:8" ht="15">
      <c r="A8" t="s">
        <v>326</v>
      </c>
      <c r="B8" t="s">
        <v>320</v>
      </c>
      <c r="C8" t="s">
        <v>317</v>
      </c>
      <c r="D8" t="s">
        <v>318</v>
      </c>
      <c r="E8" s="20" t="s">
        <v>319</v>
      </c>
      <c r="F8" t="s">
        <v>329</v>
      </c>
      <c r="G8" s="20" t="s">
        <v>330</v>
      </c>
      <c r="H8" s="20" t="s">
        <v>331</v>
      </c>
    </row>
    <row r="9" spans="1:8" ht="15">
      <c r="A9">
        <v>1</v>
      </c>
      <c r="B9" s="41">
        <f>10^(LOG10($B$1)+(A9-1)*$B$4/$B$5)</f>
        <v>1</v>
      </c>
      <c r="C9" t="str">
        <f aca="true" t="shared" si="0" ref="C9:C72">IMDIV(IMPRODUCT(Go,COMPLEX(1,Rcout*Cout*2*PI()*B9),COMPLEX(1,-Lp*Vc*2*PI()*B9/(8*Rsense*Vinmin*SQRT(2)))),COMPLEX(1,Req*Cout*2*PI()*B9))</f>
        <v>4.90291708559797-0.181471178352224i</v>
      </c>
      <c r="D9" s="129">
        <f>20*LOG10(IMABS(C9))</f>
        <v>13.815036543222297</v>
      </c>
      <c r="E9" s="39">
        <f>IMARGUMENT(C9)*180/PI()</f>
        <v>-2.1197153226623464</v>
      </c>
      <c r="F9" t="str">
        <f aca="true" t="shared" si="1" ref="F9:F72">IMPRODUCT(IMDIV(IMPRODUCT(-Ho,COMPLEX(1,Rupper*Czero*2*PI()*B9)),IMPRODUCT(COMPLEX(1,Rpullup*(Copto+Cpole)*2*PI()*B9),COMPLEX(0,Rupper*Czero*2*PI()*B9))),C9)</f>
        <v>140.723409244326+4558.52156664831i</v>
      </c>
      <c r="G9" s="129">
        <f>20*LOG10(IMABS(F9))</f>
        <v>73.18061705342888</v>
      </c>
      <c r="H9" s="39">
        <f>IMARGUMENT(F9)*180/PI()</f>
        <v>88.23181759227136</v>
      </c>
    </row>
    <row r="10" spans="1:8" ht="15">
      <c r="A10">
        <f>IF(A9&gt;=$B$5,NA,A9+1)</f>
        <v>2</v>
      </c>
      <c r="B10" s="41">
        <f>10^(LOG10($B$1)+A10*$B$4/$B$5)</f>
        <v>1.0960759218506728</v>
      </c>
      <c r="C10" t="str">
        <f t="shared" si="0"/>
        <v>4.90156500236271-0.198851268572419i</v>
      </c>
      <c r="D10" s="129">
        <f>20*LOG10(IMABS(C10))</f>
        <v>13.813837238507844</v>
      </c>
      <c r="E10" s="39">
        <f aca="true" t="shared" si="2" ref="E10:E73">IMARGUMENT(C10)*180/PI()</f>
        <v>-2.3231547614457173</v>
      </c>
      <c r="F10" t="str">
        <f t="shared" si="1"/>
        <v>140.684653528568+4157.99275155661i</v>
      </c>
      <c r="G10" s="129">
        <f aca="true" t="shared" si="3" ref="G10:G73">20*LOG10(IMABS(F10))</f>
        <v>72.38264347627562</v>
      </c>
      <c r="H10" s="39">
        <f aca="true" t="shared" si="4" ref="H10:H73">IMARGUMENT(F10)*180/PI()</f>
        <v>88.06215076153902</v>
      </c>
    </row>
    <row r="11" spans="1:8" ht="15">
      <c r="A11">
        <f>IF(A10&gt;=$B$5,NA,A10+1)</f>
        <v>3</v>
      </c>
      <c r="B11" s="41">
        <f aca="true" t="shared" si="5" ref="B11:B74">10^(LOG10($B$1)+A11*$B$4/$B$5)</f>
        <v>1.1475218301096595</v>
      </c>
      <c r="C11" t="str">
        <f t="shared" si="0"/>
        <v>4.90079038176977-0.208151699098008i</v>
      </c>
      <c r="D11" s="129">
        <f aca="true" t="shared" si="6" ref="D11:D74">20*LOG10(IMABS(C11))</f>
        <v>13.81314999684568</v>
      </c>
      <c r="E11" s="39">
        <f t="shared" si="2"/>
        <v>-2.4320669110608066</v>
      </c>
      <c r="F11" t="str">
        <f t="shared" si="1"/>
        <v>140.66245003196+3971.05872337885i</v>
      </c>
      <c r="G11" s="129">
        <f t="shared" si="3"/>
        <v>71.98357191310234</v>
      </c>
      <c r="H11" s="39">
        <f t="shared" si="4"/>
        <v>87.97132273922105</v>
      </c>
    </row>
    <row r="12" spans="1:8" ht="15">
      <c r="A12">
        <f>IF(A11&gt;=$B$5,NA,A11+1)</f>
        <v>4</v>
      </c>
      <c r="B12" s="41">
        <f t="shared" si="5"/>
        <v>1.2013824264608024</v>
      </c>
      <c r="C12" t="str">
        <f t="shared" si="0"/>
        <v>4.89994162033819-0.217883811753434i</v>
      </c>
      <c r="D12" s="129">
        <f t="shared" si="6"/>
        <v>13.81239685271309</v>
      </c>
      <c r="E12" s="39">
        <f t="shared" si="2"/>
        <v>-2.546072085888281</v>
      </c>
      <c r="F12" t="str">
        <f t="shared" si="1"/>
        <v>140.638121384179+3792.481029666i</v>
      </c>
      <c r="G12" s="129">
        <f t="shared" si="3"/>
        <v>71.58443656608985</v>
      </c>
      <c r="H12" s="39">
        <f t="shared" si="4"/>
        <v>87.87625038652138</v>
      </c>
    </row>
    <row r="13" spans="1:8" ht="15">
      <c r="A13">
        <f>IF(A12&gt;=$B$5,NA,A12+1)</f>
        <v>5</v>
      </c>
      <c r="B13" s="41">
        <f t="shared" si="5"/>
        <v>1.2577710477812163</v>
      </c>
      <c r="C13" t="str">
        <f t="shared" si="0"/>
        <v>4.89901165144109-0.228067156344626i</v>
      </c>
      <c r="D13" s="129">
        <f t="shared" si="6"/>
        <v>13.811571499571047</v>
      </c>
      <c r="E13" s="39">
        <f t="shared" si="2"/>
        <v>-2.6654065502749096</v>
      </c>
      <c r="F13" t="str">
        <f t="shared" si="1"/>
        <v>140.61146502951+3621.88392256004i</v>
      </c>
      <c r="G13" s="129">
        <f t="shared" si="3"/>
        <v>71.18523133222234</v>
      </c>
      <c r="H13" s="39">
        <f t="shared" si="4"/>
        <v>87.77673725761102</v>
      </c>
    </row>
    <row r="14" spans="1:8" ht="15">
      <c r="A14">
        <f>IF(A13&gt;=$B$5,NA,A13+1)</f>
        <v>6</v>
      </c>
      <c r="B14" s="41">
        <f t="shared" si="5"/>
        <v>1.3168063505782224</v>
      </c>
      <c r="C14" t="str">
        <f t="shared" si="0"/>
        <v>4.89799274084589-0.238722096094757i</v>
      </c>
      <c r="D14" s="129">
        <f t="shared" si="6"/>
        <v>13.810667030012612</v>
      </c>
      <c r="E14" s="39">
        <f t="shared" si="2"/>
        <v>-2.790317249193134</v>
      </c>
      <c r="F14" t="str">
        <f t="shared" si="1"/>
        <v>140.582259276188+3458.90845135959i</v>
      </c>
      <c r="G14" s="129">
        <f t="shared" si="3"/>
        <v>70.78594952716456</v>
      </c>
      <c r="H14" s="39">
        <f t="shared" si="4"/>
        <v>87.67257809258528</v>
      </c>
    </row>
    <row r="15" spans="1:8" ht="15">
      <c r="A15">
        <f>IF(A14&gt;=$B$5,NA,A14+1)</f>
        <v>7</v>
      </c>
      <c r="B15" s="41">
        <f t="shared" si="5"/>
        <v>1.3786125606738835</v>
      </c>
      <c r="C15" t="str">
        <f t="shared" si="0"/>
        <v>4.89687642483686-0.249869830666337i</v>
      </c>
      <c r="D15" s="129">
        <f t="shared" si="6"/>
        <v>13.809675879043319</v>
      </c>
      <c r="E15" s="39">
        <f t="shared" si="2"/>
        <v>-2.9210622497455287</v>
      </c>
      <c r="F15" t="str">
        <f t="shared" si="1"/>
        <v>140.550261522752+3303.21170776134i</v>
      </c>
      <c r="G15" s="129">
        <f t="shared" si="3"/>
        <v>70.38658383041908</v>
      </c>
      <c r="H15" s="39">
        <f t="shared" si="4"/>
        <v>87.56355846321618</v>
      </c>
    </row>
    <row r="16" spans="1:8" ht="15">
      <c r="A16">
        <f>IF(A15&gt;=$B$5,NA,A15+1)</f>
        <v>8</v>
      </c>
      <c r="B16" s="41">
        <f t="shared" si="5"/>
        <v>1.4433197346088453</v>
      </c>
      <c r="C16" t="str">
        <f t="shared" si="0"/>
        <v>4.89565344284313-0.261532418082184i</v>
      </c>
      <c r="D16" s="129">
        <f t="shared" si="6"/>
        <v>13.808589762113993</v>
      </c>
      <c r="E16" s="39">
        <f t="shared" si="2"/>
        <v>-3.0579111946969952</v>
      </c>
      <c r="F16" t="str">
        <f t="shared" si="1"/>
        <v>140.515206326927+3154.46610494113i</v>
      </c>
      <c r="G16" s="129">
        <f t="shared" si="3"/>
        <v>69.98712622541657</v>
      </c>
      <c r="H16" s="39">
        <f t="shared" si="4"/>
        <v>87.44945441072055</v>
      </c>
    </row>
    <row r="17" spans="1:8" ht="15">
      <c r="A17">
        <f>IF(A16&gt;=$B$5,NA,A16+1)</f>
        <v>9</v>
      </c>
      <c r="B17" s="41">
        <f t="shared" si="5"/>
        <v>1.5110640333155436</v>
      </c>
      <c r="C17" t="str">
        <f t="shared" si="0"/>
        <v>4.89431366413311-0.273732795185532i</v>
      </c>
      <c r="D17" s="129">
        <f t="shared" si="6"/>
        <v>13.80739960744175</v>
      </c>
      <c r="E17" s="39">
        <f t="shared" si="2"/>
        <v>-3.2011457673488835</v>
      </c>
      <c r="F17" t="str">
        <f t="shared" si="1"/>
        <v>140.4768033044+3012.35868896891i</v>
      </c>
      <c r="G17" s="129">
        <f t="shared" si="3"/>
        <v>69.58756793409107</v>
      </c>
      <c r="H17" s="39">
        <f t="shared" si="4"/>
        <v>87.33003207641197</v>
      </c>
    </row>
    <row r="18" spans="1:8" ht="15">
      <c r="A18">
        <f>IF(A17&gt;=$B$5,NA,A17+1)</f>
        <v>10</v>
      </c>
      <c r="B18" s="41">
        <f t="shared" si="5"/>
        <v>1.581988008636659</v>
      </c>
      <c r="C18" t="str">
        <f t="shared" si="0"/>
        <v>4.89284600811143-0.286494796220767i</v>
      </c>
      <c r="D18" s="129">
        <f t="shared" si="6"/>
        <v>13.806095482118259</v>
      </c>
      <c r="E18" s="39">
        <f t="shared" si="2"/>
        <v>-3.351060166861674</v>
      </c>
      <c r="F18" t="str">
        <f t="shared" si="1"/>
        <v>140.434734844244+2876.59048112217i</v>
      </c>
      <c r="G18" s="129">
        <f t="shared" si="3"/>
        <v>69.18789934545939</v>
      </c>
      <c r="H18" s="39">
        <f t="shared" si="4"/>
        <v>87.20504732631939</v>
      </c>
    </row>
    <row r="19" spans="1:8" ht="15">
      <c r="A19">
        <f>IF(A18&gt;=$B$5,NA,A18+1)</f>
        <v>11</v>
      </c>
      <c r="B19" s="41">
        <f t="shared" si="5"/>
        <v>1.6562409032917305</v>
      </c>
      <c r="C19" t="str">
        <f t="shared" si="0"/>
        <v>4.89123835773106-0.299843169049333i</v>
      </c>
      <c r="D19" s="129">
        <f t="shared" si="6"/>
        <v>13.804666511466262</v>
      </c>
      <c r="E19" s="39">
        <f t="shared" si="2"/>
        <v>-3.5079615928900285</v>
      </c>
      <c r="F19" t="str">
        <f t="shared" si="1"/>
        <v>140.38865362699+2746.87584972883i</v>
      </c>
      <c r="G19" s="129">
        <f t="shared" si="3"/>
        <v>68.7881099376856</v>
      </c>
      <c r="H19" s="39">
        <f t="shared" si="4"/>
        <v>87.07424537110556</v>
      </c>
    </row>
    <row r="20" spans="1:8" ht="15">
      <c r="A20">
        <f>IF(A19&gt;=$B$5,NA,A19+1)</f>
        <v>12</v>
      </c>
      <c r="B20" s="41">
        <f t="shared" si="5"/>
        <v>1.733978964923136</v>
      </c>
      <c r="C20" t="str">
        <f t="shared" si="0"/>
        <v>4.88947746551041-0.313803588439472i</v>
      </c>
      <c r="D20" s="129">
        <f t="shared" si="6"/>
        <v>13.80310079106384</v>
      </c>
      <c r="E20" s="39">
        <f t="shared" si="2"/>
        <v>-3.6721707381145903</v>
      </c>
      <c r="F20" t="str">
        <f t="shared" si="1"/>
        <v>140.338179930716+2622.94191023458i</v>
      </c>
      <c r="G20" s="129">
        <f t="shared" si="3"/>
        <v>68.38818819307251</v>
      </c>
      <c r="H20" s="39">
        <f t="shared" si="4"/>
        <v>86.93736038290648</v>
      </c>
    </row>
    <row r="21" spans="1:8" ht="15">
      <c r="A21">
        <f>IF(A20&gt;=$B$5,NA,A20+1)</f>
        <v>13</v>
      </c>
      <c r="B21" s="41">
        <f t="shared" si="5"/>
        <v>1.8153657748822747</v>
      </c>
      <c r="C21" t="str">
        <f t="shared" si="0"/>
        <v>4.88754885162615-0.328402665782528i</v>
      </c>
      <c r="D21" s="129">
        <f t="shared" si="6"/>
        <v>13.801385290814633</v>
      </c>
      <c r="E21" s="39">
        <f t="shared" si="2"/>
        <v>-3.844022286931193</v>
      </c>
      <c r="F21" t="str">
        <f t="shared" si="1"/>
        <v>140.28289871003+2504.5279522522i</v>
      </c>
      <c r="G21" s="129">
        <f t="shared" si="3"/>
        <v>67.98812150538467</v>
      </c>
      <c r="H21" s="39">
        <f t="shared" si="4"/>
        <v>86.79411511104294</v>
      </c>
    </row>
    <row r="22" spans="1:8" ht="15">
      <c r="A22">
        <f>IF(A21&gt;=$B$5,NA,A21+1)</f>
        <v>14</v>
      </c>
      <c r="B22" s="41">
        <f t="shared" si="5"/>
        <v>1.900572592447802</v>
      </c>
      <c r="C22" t="str">
        <f t="shared" si="0"/>
        <v>4.88543669353619-0.343667954491443i</v>
      </c>
      <c r="D22" s="129">
        <f t="shared" si="6"/>
        <v>13.799505750398108</v>
      </c>
      <c r="E22" s="39">
        <f t="shared" si="2"/>
        <v>-4.02386541818523</v>
      </c>
      <c r="F22" t="str">
        <f t="shared" si="1"/>
        <v>140.222356432231+2391.38489240846i</v>
      </c>
      <c r="G22" s="129">
        <f t="shared" si="3"/>
        <v>67.58789607886206</v>
      </c>
      <c r="H22" s="39">
        <f t="shared" si="4"/>
        <v>86.64422049893875</v>
      </c>
    </row>
    <row r="23" spans="1:8" ht="15">
      <c r="A23">
        <f>IF(A22&gt;=$B$5,NA,A22+1)</f>
        <v>15</v>
      </c>
      <c r="B23" s="41">
        <f t="shared" si="5"/>
        <v>1.9897787152002504</v>
      </c>
      <c r="C23" t="str">
        <f t="shared" si="0"/>
        <v>4.88312370657592-0.359627950227793i</v>
      </c>
      <c r="D23" s="129">
        <f t="shared" si="6"/>
        <v>13.79744656538868</v>
      </c>
      <c r="E23" s="39">
        <f t="shared" si="2"/>
        <v>-4.212064309412176</v>
      </c>
      <c r="F23" t="str">
        <f t="shared" si="1"/>
        <v>140.156057654774+2283.2747518626i</v>
      </c>
      <c r="G23" s="129">
        <f t="shared" si="3"/>
        <v>67.18749681824535</v>
      </c>
      <c r="H23" s="39">
        <f t="shared" si="4"/>
        <v>86.48737530501185</v>
      </c>
    </row>
    <row r="24" spans="1:8" ht="15">
      <c r="A24">
        <f>IF(A23&gt;=$B$5,NA,A23+1)</f>
        <v>16</v>
      </c>
      <c r="B24" s="41">
        <f t="shared" si="5"/>
        <v>2.083171856311348</v>
      </c>
      <c r="C24" t="str">
        <f t="shared" si="0"/>
        <v>4.88059101496706-0.376312084980869i</v>
      </c>
      <c r="D24" s="129">
        <f t="shared" si="6"/>
        <v>13.795190663288215</v>
      </c>
      <c r="E24" s="39">
        <f t="shared" si="2"/>
        <v>-4.408998639554256</v>
      </c>
      <c r="F24" t="str">
        <f t="shared" si="1"/>
        <v>140.0834613279+2179.97015742465i</v>
      </c>
      <c r="G24" s="129">
        <f t="shared" si="3"/>
        <v>66.7869072090883</v>
      </c>
      <c r="H24" s="39">
        <f t="shared" si="4"/>
        <v>86.3232657308073</v>
      </c>
    </row>
    <row r="25" spans="1:8" ht="15">
      <c r="A25">
        <f>IF(A24&gt;=$B$5,NA,A24+1)</f>
        <v>17</v>
      </c>
      <c r="B25" s="41">
        <f t="shared" si="5"/>
        <v>2.180948539541962</v>
      </c>
      <c r="C25" t="str">
        <f t="shared" si="0"/>
        <v>4.87781801268184-0.393750713884812i</v>
      </c>
      <c r="D25" s="129">
        <f t="shared" si="6"/>
        <v>13.792719368669687</v>
      </c>
      <c r="E25" s="39">
        <f t="shared" si="2"/>
        <v>-4.615064086564377</v>
      </c>
      <c r="F25" t="str">
        <f t="shared" si="1"/>
        <v>140.003976806481+2081.25386525538i</v>
      </c>
      <c r="G25" s="129">
        <f t="shared" si="3"/>
        <v>66.38610918759122</v>
      </c>
      <c r="H25" s="39">
        <f t="shared" si="4"/>
        <v>86.15156506020516</v>
      </c>
    </row>
    <row r="26" spans="1:8" ht="15">
      <c r="A26">
        <f>IF(A25&gt;=$B$5,NA,A25+1)</f>
        <v>18</v>
      </c>
      <c r="B26" s="41">
        <f t="shared" si="5"/>
        <v>2.2833145127798384</v>
      </c>
      <c r="C26" t="str">
        <f t="shared" si="0"/>
        <v>4.87478221362091-0.411975093506424i</v>
      </c>
      <c r="D26" s="129">
        <f t="shared" si="6"/>
        <v>13.79001225658591</v>
      </c>
      <c r="E26" s="39">
        <f t="shared" si="2"/>
        <v>-4.830672815670747</v>
      </c>
      <c r="F26" t="str">
        <f t="shared" si="1"/>
        <v>139.916959555571+1986.91830618141i</v>
      </c>
      <c r="G26" s="129">
        <f t="shared" si="3"/>
        <v>65.98508299914943</v>
      </c>
      <c r="H26" s="39">
        <f t="shared" si="4"/>
        <v>85.97193331418376</v>
      </c>
    </row>
    <row r="27" spans="1:8" ht="15">
      <c r="A27">
        <f>IF(A26&gt;=$B$5,NA,A26+1)</f>
        <v>19</v>
      </c>
      <c r="B27" s="41">
        <f t="shared" si="5"/>
        <v>2.390485180987335</v>
      </c>
      <c r="C27" t="str">
        <f t="shared" si="0"/>
        <v>4.87145909059205-0.431017350165745i</v>
      </c>
      <c r="D27" s="129">
        <f t="shared" si="6"/>
        <v>13.787046993353878</v>
      </c>
      <c r="E27" s="39">
        <f t="shared" si="2"/>
        <v>-5.056253953351277</v>
      </c>
      <c r="F27" t="str">
        <f t="shared" si="1"/>
        <v>139.821706534935+1896.76515170824i</v>
      </c>
      <c r="G27" s="129">
        <f t="shared" si="3"/>
        <v>65.58380704476878</v>
      </c>
      <c r="H27" s="39">
        <f t="shared" si="4"/>
        <v>85.78401692635087</v>
      </c>
    </row>
    <row r="28" spans="1:8" ht="15">
      <c r="A28">
        <f>IF(A27&gt;=$B$5,NA,A27+1)</f>
        <v>20</v>
      </c>
      <c r="B28" s="41">
        <f t="shared" si="5"/>
        <v>2.5026860594701814</v>
      </c>
      <c r="C28" t="str">
        <f t="shared" si="0"/>
        <v>4.86782190262313-0.450910436662844i</v>
      </c>
      <c r="D28" s="129">
        <f t="shared" si="6"/>
        <v>13.783799163785575</v>
      </c>
      <c r="E28" s="39">
        <f t="shared" si="2"/>
        <v>-5.2922540412464105</v>
      </c>
      <c r="F28" t="str">
        <f t="shared" si="1"/>
        <v>139.717451249197+1810.604899863i</v>
      </c>
      <c r="G28" s="129">
        <f t="shared" si="3"/>
        <v>65.18225771446708</v>
      </c>
      <c r="H28" s="39">
        <f t="shared" si="4"/>
        <v>85.58744844528327</v>
      </c>
    </row>
    <row r="29" spans="1:8" ht="15">
      <c r="A29">
        <f>IF(A28&gt;=$B$5,NA,A28+1)</f>
        <v>21</v>
      </c>
      <c r="B29" s="41">
        <f t="shared" si="5"/>
        <v>2.6201532484210657</v>
      </c>
      <c r="C29" t="str">
        <f t="shared" si="0"/>
        <v>4.86384151021002-0.471688075576555i</v>
      </c>
      <c r="D29" s="129">
        <f t="shared" si="6"/>
        <v>13.780242083900632</v>
      </c>
      <c r="E29" s="39">
        <f t="shared" si="2"/>
        <v>-5.539137463312377</v>
      </c>
      <c r="F29" t="str">
        <f t="shared" si="1"/>
        <v>139.603358452166+1728.25648004532i</v>
      </c>
      <c r="G29" s="129">
        <f t="shared" si="3"/>
        <v>64.7804092067483</v>
      </c>
      <c r="H29" s="39">
        <f t="shared" si="4"/>
        <v>85.38184627064959</v>
      </c>
    </row>
    <row r="30" spans="1:8" ht="15">
      <c r="A30">
        <f>IF(A29&gt;=$B$5,NA,A29+1)</f>
        <v>22</v>
      </c>
      <c r="B30" s="41">
        <f t="shared" si="5"/>
        <v>2.743133929736607</v>
      </c>
      <c r="C30" t="str">
        <f t="shared" si="0"/>
        <v>4.85948617819359-0.493384687073537i</v>
      </c>
      <c r="D30" s="129">
        <f t="shared" si="6"/>
        <v>13.776346598127407</v>
      </c>
      <c r="E30" s="39">
        <f t="shared" si="2"/>
        <v>-5.797386838473792</v>
      </c>
      <c r="F30" t="str">
        <f t="shared" si="1"/>
        <v>139.478518496549+1649.54687611025i</v>
      </c>
      <c r="G30" s="129">
        <f t="shared" si="3"/>
        <v>64.37823333321099</v>
      </c>
      <c r="H30" s="39">
        <f t="shared" si="4"/>
        <v>85.16681443114206</v>
      </c>
    </row>
    <row r="31" spans="1:8" ht="15">
      <c r="A31">
        <f>IF(A30&gt;=$B$5,NA,A30+1)</f>
        <v>23</v>
      </c>
      <c r="B31" s="41">
        <f t="shared" si="5"/>
        <v>2.8718868871531544</v>
      </c>
      <c r="C31" t="str">
        <f t="shared" si="0"/>
        <v>4.85472136608457-0.516035298918767i</v>
      </c>
      <c r="D31" s="129">
        <f t="shared" si="6"/>
        <v>13.772080859979036</v>
      </c>
      <c r="E31" s="39">
        <f t="shared" si="2"/>
        <v>-6.067503369863762</v>
      </c>
      <c r="F31" t="str">
        <f t="shared" si="1"/>
        <v>139.341941323894+1574.31076695236i</v>
      </c>
      <c r="G31" s="129">
        <f t="shared" si="3"/>
        <v>63.97569930734113</v>
      </c>
      <c r="H31" s="39">
        <f t="shared" si="4"/>
        <v>84.94194241341864</v>
      </c>
    </row>
    <row r="32" spans="1:8" ht="15">
      <c r="A32">
        <f>IF(A31&gt;=$B$5,NA,A31+1)</f>
        <v>24</v>
      </c>
      <c r="B32" s="41">
        <f t="shared" si="5"/>
        <v>3.006683050795911</v>
      </c>
      <c r="C32" t="str">
        <f t="shared" si="0"/>
        <v>4.84950950581757-0.539675436111857i</v>
      </c>
      <c r="D32" s="129">
        <f t="shared" si="6"/>
        <v>13.76741009518275</v>
      </c>
      <c r="E32" s="39">
        <f t="shared" si="2"/>
        <v>-6.350007140431937</v>
      </c>
      <c r="F32" t="str">
        <f t="shared" si="1"/>
        <v>139.192550094186+1502.3901839027i</v>
      </c>
      <c r="G32" s="129">
        <f t="shared" si="3"/>
        <v>63.572773516533246</v>
      </c>
      <c r="H32" s="39">
        <f t="shared" si="4"/>
        <v>84.70680505257319</v>
      </c>
    </row>
    <row r="33" spans="1:8" ht="15">
      <c r="A33">
        <f>IF(A32&gt;=$B$5,NA,A32+1)</f>
        <v>25</v>
      </c>
      <c r="B33" s="41">
        <f t="shared" si="5"/>
        <v>3.1478060672872537</v>
      </c>
      <c r="C33" t="str">
        <f t="shared" si="0"/>
        <v>4.84380976712275-0.564340987288355i</v>
      </c>
      <c r="D33" s="129">
        <f t="shared" si="6"/>
        <v>13.76229634624699</v>
      </c>
      <c r="E33" s="39">
        <f t="shared" si="2"/>
        <v>-6.645437343244224</v>
      </c>
      <c r="F33" t="str">
        <f t="shared" si="1"/>
        <v>139.029174460538+1433.63418429331i</v>
      </c>
      <c r="G33" s="129">
        <f t="shared" si="3"/>
        <v>63.16941927639923</v>
      </c>
      <c r="H33" s="39">
        <f t="shared" si="4"/>
        <v>84.46096249611</v>
      </c>
    </row>
    <row r="34" spans="1:8" ht="15">
      <c r="A34">
        <f>IF(A33&gt;=$B$5,NA,A33+1)</f>
        <v>26</v>
      </c>
      <c r="B34" s="41">
        <f t="shared" si="5"/>
        <v>3.295552896613921</v>
      </c>
      <c r="C34" t="str">
        <f t="shared" si="0"/>
        <v>4.83757781096434-0.590068044723754i</v>
      </c>
      <c r="D34" s="129">
        <f t="shared" si="6"/>
        <v>13.756698197476808</v>
      </c>
      <c r="E34" s="39">
        <f t="shared" si="2"/>
        <v>-6.954352433184742</v>
      </c>
      <c r="F34" t="str">
        <f t="shared" si="1"/>
        <v>138.850543501814+1367.89854058482i</v>
      </c>
      <c r="G34" s="129">
        <f t="shared" si="3"/>
        <v>62.765596566455244</v>
      </c>
      <c r="H34" s="39">
        <f t="shared" si="4"/>
        <v>84.20396025501957</v>
      </c>
    </row>
    <row r="35" spans="1:8" ht="15">
      <c r="A35">
        <f>IF(A34&gt;=$B$5,NA,A34+1)</f>
        <v>27</v>
      </c>
      <c r="B35" s="41">
        <f t="shared" si="5"/>
        <v>3.450234437009018</v>
      </c>
      <c r="C35" t="str">
        <f t="shared" si="0"/>
        <v>4.83076553181802-0.616892714463566i</v>
      </c>
      <c r="D35" s="129">
        <f t="shared" si="6"/>
        <v>13.750570479496666</v>
      </c>
      <c r="E35" s="39">
        <f t="shared" si="2"/>
        <v>-7.277330184992041</v>
      </c>
      <c r="F35" t="str">
        <f t="shared" si="1"/>
        <v>138.655278335346+1305.04544449307i</v>
      </c>
      <c r="G35" s="129">
        <f t="shared" si="3"/>
        <v>62.36126174633485</v>
      </c>
      <c r="H35" s="39">
        <f t="shared" si="4"/>
        <v>83.93532935733133</v>
      </c>
    </row>
    <row r="36" spans="1:8" ht="15">
      <c r="A36">
        <f>IF(A35&gt;=$B$5,NA,A35+1)</f>
        <v>28</v>
      </c>
      <c r="B36" s="41">
        <f t="shared" si="5"/>
        <v>3.6121761791637588</v>
      </c>
      <c r="C36" t="str">
        <f t="shared" si="0"/>
        <v>4.8233207899551-0.6448508927806i</v>
      </c>
      <c r="D36" s="129">
        <f t="shared" si="6"/>
        <v>13.743863952418604</v>
      </c>
      <c r="E36" s="39">
        <f t="shared" si="2"/>
        <v>-7.614967640611376</v>
      </c>
      <c r="F36" t="str">
        <f t="shared" si="1"/>
        <v>138.441884443204+1244.94322558946i</v>
      </c>
      <c r="G36" s="129">
        <f t="shared" si="3"/>
        <v>61.95636725176151</v>
      </c>
      <c r="H36" s="39">
        <f t="shared" si="4"/>
        <v>83.65458662147125</v>
      </c>
    </row>
    <row r="37" spans="1:8" ht="15">
      <c r="A37">
        <f>IF(A36&gt;=$B$5,NA,A36+1)</f>
        <v>29</v>
      </c>
      <c r="B37" s="41">
        <f t="shared" si="5"/>
        <v>3.7817188911455974</v>
      </c>
      <c r="C37" t="str">
        <f t="shared" si="0"/>
        <v>4.81518713538102-0.673978004837753i</v>
      </c>
      <c r="D37" s="129">
        <f t="shared" si="6"/>
        <v>13.736524966907114</v>
      </c>
      <c r="E37" s="39">
        <f t="shared" si="2"/>
        <v>-7.96788092672265</v>
      </c>
      <c r="F37" t="str">
        <f t="shared" si="1"/>
        <v>138.208743759248+1187.46608388779i</v>
      </c>
      <c r="G37" s="129">
        <f t="shared" si="3"/>
        <v>61.55086126963893</v>
      </c>
      <c r="H37" s="39">
        <f t="shared" si="4"/>
        <v>83.3612350688749</v>
      </c>
    </row>
    <row r="38" spans="1:8" ht="15">
      <c r="A38">
        <f>IF(A37&gt;=$B$5,NA,A37+1)</f>
        <v>30</v>
      </c>
      <c r="B38" s="41">
        <f t="shared" si="5"/>
        <v>3.9592193354639593</v>
      </c>
      <c r="C38" t="str">
        <f t="shared" si="0"/>
        <v>4.80630352565154-0.704308701120773i</v>
      </c>
      <c r="D38" s="129">
        <f t="shared" si="6"/>
        <v>13.72849510254869</v>
      </c>
      <c r="E38" s="39">
        <f t="shared" si="2"/>
        <v>-8.336704921009154</v>
      </c>
      <c r="F38" t="str">
        <f t="shared" si="1"/>
        <v>137.954106580689+1132.49383596596i</v>
      </c>
      <c r="G38" s="129">
        <f t="shared" si="3"/>
        <v>61.14468739178058</v>
      </c>
      <c r="H38" s="39">
        <f t="shared" si="4"/>
        <v>83.05476449759605</v>
      </c>
    </row>
    <row r="39" spans="1:8" ht="15">
      <c r="A39">
        <f>IF(A38&gt;=$B$5,NA,A38+1)</f>
        <v>31</v>
      </c>
      <c r="B39" s="41">
        <f t="shared" si="5"/>
        <v>4.145051019792514</v>
      </c>
      <c r="C39" t="str">
        <f t="shared" si="0"/>
        <v>4.79660404047476-0.735876506913599i</v>
      </c>
      <c r="D39" s="129">
        <f t="shared" si="6"/>
        <v>13.719710783141847</v>
      </c>
      <c r="E39" s="39">
        <f t="shared" si="2"/>
        <v>-8.722092743275775</v>
      </c>
      <c r="F39" t="str">
        <f t="shared" si="1"/>
        <v>137.676083387517+1079.91167420573i</v>
      </c>
      <c r="G39" s="129">
        <f t="shared" si="3"/>
        <v>60.737784247021466</v>
      </c>
      <c r="H39" s="39">
        <f t="shared" si="4"/>
        <v>82.73465224110389</v>
      </c>
    </row>
    <row r="40" spans="1:8" ht="15">
      <c r="A40">
        <f>IF(A39&gt;=$B$5,NA,A39+1)</f>
        <v>32</v>
      </c>
      <c r="B40" s="41">
        <f t="shared" si="5"/>
        <v>4.339604982927668</v>
      </c>
      <c r="C40" t="str">
        <f t="shared" si="0"/>
        <v>4.78601759681356-0.768713419835551i</v>
      </c>
      <c r="D40" s="129">
        <f t="shared" si="6"/>
        <v>13.710102868791271</v>
      </c>
      <c r="E40" s="39">
        <f t="shared" si="2"/>
        <v>-9.124715044921714</v>
      </c>
      <c r="F40" t="str">
        <f t="shared" si="1"/>
        <v>137.372636676285+1029.60993876545i</v>
      </c>
      <c r="G40" s="129">
        <f t="shared" si="3"/>
        <v>60.33008511173284</v>
      </c>
      <c r="H40" s="39">
        <f t="shared" si="4"/>
        <v>82.40036413905567</v>
      </c>
    </row>
    <row r="41" spans="1:8" ht="15">
      <c r="A41">
        <f>IF(A40&gt;=$B$5,NA,A40+1)</f>
        <v>33</v>
      </c>
      <c r="B41" s="41">
        <f t="shared" si="5"/>
        <v>4.543290617637152</v>
      </c>
      <c r="C41" t="str">
        <f t="shared" si="0"/>
        <v>4.77446766914449-0.802849450265906i</v>
      </c>
      <c r="D41" s="129">
        <f t="shared" si="6"/>
        <v>13.69959622502945</v>
      </c>
      <c r="E41" s="39">
        <f t="shared" si="2"/>
        <v>-9.545259067546588</v>
      </c>
      <c r="F41" t="str">
        <f t="shared" si="1"/>
        <v>137.041572941681+981.483901929968i</v>
      </c>
      <c r="G41" s="129">
        <f t="shared" si="3"/>
        <v>59.92151749911302</v>
      </c>
      <c r="H41" s="39">
        <f t="shared" si="4"/>
        <v>82.05135574954556</v>
      </c>
    </row>
    <row r="42" spans="1:8" ht="15">
      <c r="A42">
        <f>IF(A41&gt;=$B$5,NA,A41+1)</f>
        <v>34</v>
      </c>
      <c r="B42" s="41">
        <f t="shared" si="5"/>
        <v>4.756536532130217</v>
      </c>
      <c r="C42" t="str">
        <f t="shared" si="0"/>
        <v>4.76187202061636-0.838312099373879i</v>
      </c>
      <c r="D42" s="129">
        <f t="shared" si="6"/>
        <v>13.6881092696099</v>
      </c>
      <c r="E42" s="39">
        <f t="shared" si="2"/>
        <v>-9.984427438663914</v>
      </c>
      <c r="F42" t="str">
        <f t="shared" si="1"/>
        <v>136.680534970527+935.433564507612i</v>
      </c>
      <c r="G42" s="129">
        <f t="shared" si="3"/>
        <v>59.5120027280624</v>
      </c>
      <c r="H42" s="39">
        <f t="shared" si="4"/>
        <v>81.68707383511908</v>
      </c>
    </row>
    <row r="43" spans="1:8" ht="15">
      <c r="A43">
        <f>IF(A42&gt;=$B$5,NA,A42+1)</f>
        <v>35</v>
      </c>
      <c r="B43" s="41">
        <f t="shared" si="5"/>
        <v>4.979791451962155</v>
      </c>
      <c r="C43" t="str">
        <f t="shared" si="0"/>
        <v>4.74814245209535-0.875125769482627i</v>
      </c>
      <c r="D43" s="129">
        <f t="shared" si="6"/>
        <v>13.675553498132375</v>
      </c>
      <c r="E43" s="39">
        <f t="shared" si="2"/>
        <v>-10.44293666966052</v>
      </c>
      <c r="F43" t="str">
        <f t="shared" si="1"/>
        <v>136.286994648478+891.363463965503i</v>
      </c>
      <c r="G43" s="129">
        <f t="shared" si="3"/>
        <v>59.10145547298253</v>
      </c>
      <c r="H43" s="39">
        <f t="shared" si="4"/>
        <v>81.30695815765588</v>
      </c>
    </row>
    <row r="44" spans="1:8" ht="15">
      <c r="A44">
        <f>IF(A43&gt;=$B$5,NA,A43+1)</f>
        <v>36</v>
      </c>
      <c r="B44" s="41">
        <f t="shared" si="5"/>
        <v>5.213525164271031</v>
      </c>
      <c r="C44" t="str">
        <f t="shared" si="0"/>
        <v>4.73318457748951-0.913311101663923i</v>
      </c>
      <c r="D44" s="129">
        <f t="shared" si="6"/>
        <v>13.66183299028451</v>
      </c>
      <c r="E44" s="39">
        <f t="shared" si="2"/>
        <v>-10.921515318352208</v>
      </c>
      <c r="F44" t="str">
        <f t="shared" si="1"/>
        <v>135.858246519974+849.182494010036i</v>
      </c>
      <c r="G44" s="129">
        <f t="shared" si="3"/>
        <v>58.689783296477216</v>
      </c>
      <c r="H44" s="39">
        <f t="shared" si="4"/>
        <v>80.91044361998385</v>
      </c>
    </row>
    <row r="45" spans="1:8" ht="15">
      <c r="A45">
        <f>IF(A44&gt;=$B$5,NA,A44+1)</f>
        <v>37</v>
      </c>
      <c r="B45" s="41">
        <f t="shared" si="5"/>
        <v>5.45822950633352</v>
      </c>
      <c r="C45" t="str">
        <f t="shared" si="0"/>
        <v>4.71689763531451-0.952884235831587i</v>
      </c>
      <c r="D45" s="129">
        <f t="shared" si="6"/>
        <v>13.646843899228509</v>
      </c>
      <c r="E45" s="39">
        <f t="shared" si="2"/>
        <v>-11.420901775840004</v>
      </c>
      <c r="F45" t="str">
        <f t="shared" si="1"/>
        <v>135.391402387009+808.803735328724i</v>
      </c>
      <c r="G45" s="129">
        <f t="shared" si="3"/>
        <v>58.276886167698045</v>
      </c>
      <c r="H45" s="39">
        <f t="shared" si="4"/>
        <v>80.49696279469893</v>
      </c>
    </row>
    <row r="46" spans="1:8" ht="15">
      <c r="A46">
        <f>IF(A45&gt;=$B$5,NA,A45+1)</f>
        <v>38</v>
      </c>
      <c r="B46" s="41">
        <f t="shared" si="5"/>
        <v>5.714419400520051</v>
      </c>
      <c r="C46" t="str">
        <f t="shared" si="0"/>
        <v>4.69917434818875-0.993855989230535i</v>
      </c>
      <c r="D46" s="129">
        <f t="shared" si="6"/>
        <v>13.630473927539779</v>
      </c>
      <c r="E46" s="39">
        <f t="shared" si="2"/>
        <v>-11.941841634991242</v>
      </c>
      <c r="F46" t="str">
        <f t="shared" si="1"/>
        <v>134.883387281726+770.144297210087i</v>
      </c>
      <c r="G46" s="129">
        <f t="shared" si="3"/>
        <v>57.86265596997175</v>
      </c>
      <c r="H46" s="39">
        <f t="shared" si="4"/>
        <v>80.06594888300337</v>
      </c>
    </row>
    <row r="47" spans="1:8" ht="15">
      <c r="A47">
        <f>IF(A46&gt;=$B$5,NA,A46+1)</f>
        <v>39</v>
      </c>
      <c r="B47" s="41">
        <f t="shared" si="5"/>
        <v>5.982633937827056</v>
      </c>
      <c r="C47" t="str">
        <f t="shared" si="0"/>
        <v>4.67990084381388-1.03623095016578i</v>
      </c>
      <c r="D47" s="129">
        <f t="shared" si="6"/>
        <v>13.612601794129924</v>
      </c>
      <c r="E47" s="39">
        <f t="shared" si="2"/>
        <v>-12.485084595907212</v>
      </c>
      <c r="F47" t="str">
        <f t="shared" si="1"/>
        <v>134.330937201403+733.125169749313i</v>
      </c>
      <c r="G47" s="129">
        <f t="shared" si="3"/>
        <v>57.44697600239413</v>
      </c>
      <c r="H47" s="39">
        <f t="shared" si="4"/>
        <v>79.61683914828434</v>
      </c>
    </row>
    <row r="48" spans="1:8" ht="15">
      <c r="A48">
        <f>IF(A47&gt;=$B$5,NA,A47+1)</f>
        <v>40</v>
      </c>
      <c r="B48" s="41">
        <f t="shared" si="5"/>
        <v>6.263437512266385</v>
      </c>
      <c r="C48" t="str">
        <f t="shared" si="0"/>
        <v>4.65895665297494-1.08000648515032i</v>
      </c>
      <c r="D48" s="129">
        <f t="shared" si="6"/>
        <v>13.59309669776627</v>
      </c>
      <c r="E48" s="39">
        <f t="shared" si="2"/>
        <v>-13.051380862388037</v>
      </c>
      <c r="F48" t="str">
        <f t="shared" si="1"/>
        <v>133.730599051119+697.67108632614i</v>
      </c>
      <c r="G48" s="129">
        <f t="shared" si="3"/>
        <v>57.02972048127655</v>
      </c>
      <c r="H48" s="39">
        <f t="shared" si="4"/>
        <v>79.14907887044316</v>
      </c>
    </row>
    <row r="49" spans="1:8" ht="15">
      <c r="A49">
        <f>IF(A48&gt;=$B$5,NA,A48+1)</f>
        <v>41</v>
      </c>
      <c r="B49" s="41">
        <f t="shared" si="5"/>
        <v>6.557421008498912</v>
      </c>
      <c r="C49" t="str">
        <f t="shared" si="0"/>
        <v>4.63621480213978-1.12517165944691i</v>
      </c>
      <c r="D49" s="129">
        <f t="shared" si="6"/>
        <v>13.57181778414697</v>
      </c>
      <c r="E49" s="39">
        <f t="shared" si="2"/>
        <v>-13.641476982886854</v>
      </c>
      <c r="F49" t="str">
        <f t="shared" si="1"/>
        <v>133.078733297964+663.710396006512i</v>
      </c>
      <c r="G49" s="129">
        <f t="shared" si="3"/>
        <v>56.61075404870189</v>
      </c>
      <c r="H49" s="39">
        <f t="shared" si="4"/>
        <v>78.66212586743146</v>
      </c>
    </row>
    <row r="50" spans="1:8" ht="15">
      <c r="A50">
        <f>IF(A49&gt;=$B$5,NA,A49+1)</f>
        <v>42</v>
      </c>
      <c r="B50" s="41">
        <f t="shared" si="5"/>
        <v>6.865203045211464</v>
      </c>
      <c r="C50" t="str">
        <f t="shared" si="0"/>
        <v>4.61154202027882-1.17170607331333i</v>
      </c>
      <c r="D50" s="129">
        <f t="shared" si="6"/>
        <v>13.548613625000002</v>
      </c>
      <c r="E50" s="39">
        <f t="shared" si="2"/>
        <v>-14.256111090032338</v>
      </c>
      <c r="F50" t="str">
        <f t="shared" si="1"/>
        <v>132.371519899244+631.174945468093i</v>
      </c>
      <c r="G50" s="129">
        <f t="shared" si="3"/>
        <v>56.18993129698205</v>
      </c>
      <c r="H50" s="39">
        <f t="shared" si="4"/>
        <v>78.15545562976997</v>
      </c>
    </row>
    <row r="51" spans="1:8" ht="15">
      <c r="A51">
        <f>IF(A50&gt;=$B$5,NA,A50+1)</f>
        <v>43</v>
      </c>
      <c r="B51" s="41">
        <f t="shared" si="5"/>
        <v>7.187431276853415</v>
      </c>
      <c r="C51" t="str">
        <f t="shared" si="0"/>
        <v>4.58479908147593-1.2195786192117i</v>
      </c>
      <c r="D51" s="129">
        <f t="shared" si="6"/>
        <v>13.523321719350935</v>
      </c>
      <c r="E51" s="39">
        <f t="shared" si="2"/>
        <v>-14.896007494796327</v>
      </c>
      <c r="F51" t="str">
        <f t="shared" si="1"/>
        <v>131.604968122937+599.999969980286i</v>
      </c>
      <c r="G51" s="129">
        <f t="shared" si="3"/>
        <v>55.76709631951257</v>
      </c>
      <c r="H51" s="39">
        <f t="shared" si="4"/>
        <v>77.62856711172688</v>
      </c>
    </row>
    <row r="52" spans="1:8" ht="15">
      <c r="A52">
        <f>IF(A51&gt;=$B$5,NA,A51+1)</f>
        <v>44</v>
      </c>
      <c r="B52" s="41">
        <f t="shared" si="5"/>
        <v>7.5247837564722015</v>
      </c>
      <c r="C52" t="str">
        <f t="shared" si="0"/>
        <v>4.55584130663309-1.26874616888073i</v>
      </c>
      <c r="D52" s="129">
        <f t="shared" si="6"/>
        <v>13.495768028927731</v>
      </c>
      <c r="E52" s="39">
        <f t="shared" si="2"/>
        <v>-15.561870595147477</v>
      </c>
      <c r="F52" t="str">
        <f t="shared" si="1"/>
        <v>130.774930928381+570.123992879261i</v>
      </c>
      <c r="G52" s="129">
        <f t="shared" si="3"/>
        <v>55.3420823003733</v>
      </c>
      <c r="H52" s="39">
        <f t="shared" si="4"/>
        <v>77.08098921893942</v>
      </c>
    </row>
    <row r="53" spans="1:8" ht="15">
      <c r="A53">
        <f>IF(A52&gt;=$B$5,NA,A52+1)</f>
        <v>45</v>
      </c>
      <c r="B53" s="41">
        <f t="shared" si="5"/>
        <v>7.877970362515463</v>
      </c>
      <c r="C53" t="str">
        <f t="shared" si="0"/>
        <v>4.52451924893389-1.31915220355393i</v>
      </c>
      <c r="D53" s="129">
        <f t="shared" si="6"/>
        <v>13.465766561623365</v>
      </c>
      <c r="E53" s="39">
        <f t="shared" si="2"/>
        <v>-16.254378064939644</v>
      </c>
      <c r="F53" t="str">
        <f t="shared" si="1"/>
        <v>129.877124614151+541.488732866529i</v>
      </c>
      <c r="G53" s="129">
        <f t="shared" si="3"/>
        <v>54.914711157007304</v>
      </c>
      <c r="H53" s="39">
        <f t="shared" si="4"/>
        <v>76.51228802621318</v>
      </c>
    </row>
    <row r="54" spans="1:8" ht="15">
      <c r="A54">
        <f>IF(A53&gt;=$B$5,NA,A53+1)</f>
        <v>46</v>
      </c>
      <c r="B54" s="41">
        <f t="shared" si="5"/>
        <v>8.247734292602235</v>
      </c>
      <c r="C54" t="str">
        <f t="shared" si="0"/>
        <v>4.49067958853082-1.37072540577239i</v>
      </c>
      <c r="D54" s="129">
        <f t="shared" si="6"/>
        <v>13.433119018977566</v>
      </c>
      <c r="E54" s="39">
        <f t="shared" si="2"/>
        <v>-16.97417329725056</v>
      </c>
      <c r="F54" t="str">
        <f t="shared" si="1"/>
        <v>128.907154463072+514.039018324631i</v>
      </c>
      <c r="G54" s="129">
        <f t="shared" si="3"/>
        <v>54.4847932523859</v>
      </c>
      <c r="H54" s="39">
        <f t="shared" si="4"/>
        <v>75.92207475059163</v>
      </c>
    </row>
    <row r="55" spans="1:8" ht="15">
      <c r="A55">
        <f>IF(A54&gt;=$B$5,NA,A54+1)</f>
        <v>47</v>
      </c>
      <c r="B55" s="41">
        <f t="shared" si="5"/>
        <v>8.634853627406418</v>
      </c>
      <c r="C55" t="str">
        <f t="shared" si="0"/>
        <v>4.45416626193265-1.42337823718935i</v>
      </c>
      <c r="D55" s="129">
        <f t="shared" si="6"/>
        <v>13.397614525715325</v>
      </c>
      <c r="E55" s="39">
        <f t="shared" si="2"/>
        <v>-17.721857087836366</v>
      </c>
      <c r="F55" t="str">
        <f t="shared" si="1"/>
        <v>127.860547114582+487.722707685291i</v>
      </c>
      <c r="G55" s="129">
        <f t="shared" si="3"/>
        <v>54.052127195176496</v>
      </c>
      <c r="H55" s="39">
        <f t="shared" si="4"/>
        <v>75.31001449314384</v>
      </c>
    </row>
    <row r="56" spans="1:8" ht="15">
      <c r="A56">
        <f>IF(A55&gt;=$B$5,NA,A55+1)</f>
        <v>48</v>
      </c>
      <c r="B56" s="41">
        <f t="shared" si="5"/>
        <v>9.040142967943405</v>
      </c>
      <c r="C56" t="str">
        <f t="shared" si="0"/>
        <v>4.41482185052762-1.47700553344602i</v>
      </c>
      <c r="D56" s="129">
        <f t="shared" si="6"/>
        <v>13.359029461414645</v>
      </c>
      <c r="E56" s="39">
        <f t="shared" si="2"/>
        <v>-18.497978559199577</v>
      </c>
      <c r="F56" t="str">
        <f t="shared" si="1"/>
        <v>126.732790364907+462.490614705942i</v>
      </c>
      <c r="G56" s="129">
        <f t="shared" si="3"/>
        <v>53.6164997485061</v>
      </c>
      <c r="H56" s="39">
        <f t="shared" si="4"/>
        <v>74.67583574785166</v>
      </c>
    </row>
    <row r="57" spans="1:8" ht="15">
      <c r="A57">
        <f>IF(A56&gt;=$B$5,NA,A56+1)</f>
        <v>49</v>
      </c>
      <c r="B57" s="41">
        <f t="shared" si="5"/>
        <v>9.464455149705119</v>
      </c>
      <c r="C57" t="str">
        <f t="shared" si="0"/>
        <v>4.37248925029687-1.53148315450169i</v>
      </c>
      <c r="D57" s="129">
        <f t="shared" si="6"/>
        <v>13.317127416275499</v>
      </c>
      <c r="E57" s="39">
        <f t="shared" si="2"/>
        <v>-19.303025344357362</v>
      </c>
      <c r="F57" t="str">
        <f t="shared" si="1"/>
        <v>125.51938102715+438.296437312331i</v>
      </c>
      <c r="G57" s="129">
        <f t="shared" si="3"/>
        <v>53.17768586984804</v>
      </c>
      <c r="H57" s="39">
        <f t="shared" si="4"/>
        <v>74.01934065712483</v>
      </c>
    </row>
    <row r="58" spans="1:8" ht="15">
      <c r="A58">
        <f>IF(A57&gt;=$B$5,NA,A57+1)</f>
        <v>50</v>
      </c>
      <c r="B58" s="41">
        <f t="shared" si="5"/>
        <v>9.908683037250448</v>
      </c>
      <c r="C58" t="str">
        <f t="shared" si="0"/>
        <v>4.32701364074279-1.58666673652962i</v>
      </c>
      <c r="D58" s="129">
        <f t="shared" si="6"/>
        <v>13.271659294601953</v>
      </c>
      <c r="E58" s="39">
        <f t="shared" si="2"/>
        <v>-20.13741307203076</v>
      </c>
      <c r="F58" t="str">
        <f t="shared" si="1"/>
        <v>124.215881368011+415.096688454426i</v>
      </c>
      <c r="G58" s="129">
        <f t="shared" si="3"/>
        <v>52.735448906244365</v>
      </c>
      <c r="H58" s="39">
        <f t="shared" si="4"/>
        <v>73.34041597052837</v>
      </c>
    </row>
    <row r="59" spans="1:8" ht="15">
      <c r="A59">
        <f>IF(A58&gt;=$B$5,NA,A58+1)</f>
        <v>51</v>
      </c>
      <c r="B59" s="41">
        <f t="shared" si="5"/>
        <v>10.373761403027384</v>
      </c>
      <c r="C59" t="str">
        <f t="shared" si="0"/>
        <v>4.27824476507542-1.64239059934611i</v>
      </c>
      <c r="D59" s="129">
        <f t="shared" si="6"/>
        <v>13.222363590845044</v>
      </c>
      <c r="E59" s="39">
        <f t="shared" si="2"/>
        <v>-21.001474221787696</v>
      </c>
      <c r="F59" t="str">
        <f t="shared" si="1"/>
        <v>122.817984466282+392.850627207877i</v>
      </c>
      <c r="G59" s="129">
        <f t="shared" si="3"/>
        <v>52.289540970351844</v>
      </c>
      <c r="H59" s="39">
        <f t="shared" si="4"/>
        <v>72.63904463614077</v>
      </c>
    </row>
    <row r="60" spans="1:8" ht="15">
      <c r="A60">
        <f>IF(A59&gt;=$B$5,NA,A59+1)</f>
        <v>52</v>
      </c>
      <c r="B60" s="41">
        <f t="shared" si="5"/>
        <v>10.860668894380407</v>
      </c>
      <c r="C60" t="str">
        <f t="shared" si="0"/>
        <v>4.22603952549095-1.69846687091539i</v>
      </c>
      <c r="D60" s="129">
        <f t="shared" si="6"/>
        <v>13.168966863715351</v>
      </c>
      <c r="E60" s="39">
        <f t="shared" si="2"/>
        <v>-21.895446448657143</v>
      </c>
      <c r="F60" t="str">
        <f t="shared" si="1"/>
        <v>121.321588603054+371.520188146151i</v>
      </c>
      <c r="G60" s="129">
        <f t="shared" si="3"/>
        <v>51.83970352350634</v>
      </c>
      <c r="H60" s="39">
        <f t="shared" si="4"/>
        <v>71.9153179225682</v>
      </c>
    </row>
    <row r="61" spans="1:8" ht="15">
      <c r="A61">
        <f>IF(A60&gt;=$B$5,NA,A60+1)</f>
        <v>53</v>
      </c>
      <c r="B61" s="41">
        <f t="shared" si="5"/>
        <v>11.37043009288217</v>
      </c>
      <c r="C61" t="str">
        <f t="shared" si="0"/>
        <v>4.17026488672779-1.75468489723082i</v>
      </c>
      <c r="D61" s="129">
        <f t="shared" si="6"/>
        <v>13.111184433769589</v>
      </c>
      <c r="E61" s="39">
        <f t="shared" si="2"/>
        <v>-22.819460511571204</v>
      </c>
      <c r="F61" t="str">
        <f t="shared" si="1"/>
        <v>119.722880488286+351.069906824163i</v>
      </c>
      <c r="G61" s="129">
        <f t="shared" si="3"/>
        <v>51.38566819193998</v>
      </c>
      <c r="H61" s="39">
        <f t="shared" si="4"/>
        <v>71.16944793433643</v>
      </c>
    </row>
    <row r="62" spans="1:8" ht="15">
      <c r="A62">
        <f>IF(A61&gt;=$B$5,NA,A61+1)</f>
        <v>54</v>
      </c>
      <c r="B62" s="41">
        <f t="shared" si="5"/>
        <v>11.904117670322934</v>
      </c>
      <c r="C62" t="str">
        <f t="shared" si="0"/>
        <v>4.110801067894-1.81081101115748i</v>
      </c>
      <c r="D62" s="129">
        <f t="shared" si="6"/>
        <v>13.048721328803719</v>
      </c>
      <c r="E62" s="39">
        <f t="shared" si="2"/>
        <v>-23.773527978097434</v>
      </c>
      <c r="F62" t="str">
        <f t="shared" si="1"/>
        <v>118.018426750295+331.466839071761i</v>
      </c>
      <c r="G62" s="129">
        <f t="shared" si="3"/>
        <v>50.92715784125809</v>
      </c>
      <c r="H62" s="39">
        <f t="shared" si="4"/>
        <v>70.40178034473932</v>
      </c>
    </row>
    <row r="63" spans="1:8" ht="15">
      <c r="A63">
        <f>IF(A62&gt;=$B$5,NA,A62+1)</f>
        <v>55</v>
      </c>
      <c r="B63" s="41">
        <f t="shared" si="5"/>
        <v>12.462854645894454</v>
      </c>
      <c r="C63" t="str">
        <f t="shared" si="0"/>
        <v>4.04754498687674-1.86658873686272i</v>
      </c>
      <c r="D63" s="129">
        <f t="shared" si="6"/>
        <v>12.981273499138574</v>
      </c>
      <c r="E63" s="39">
        <f t="shared" si="2"/>
        <v>-24.757528918292582</v>
      </c>
      <c r="F63" t="str">
        <f t="shared" si="1"/>
        <v>116.20527266516+312.680471716946i</v>
      </c>
      <c r="G63" s="129">
        <f t="shared" si="3"/>
        <v>50.463887932082415</v>
      </c>
      <c r="H63" s="39">
        <f t="shared" si="4"/>
        <v>69.61280712925293</v>
      </c>
    </row>
    <row r="64" spans="1:8" ht="15">
      <c r="A64">
        <f>IF(A63&gt;=$B$5,NA,A63+1)</f>
        <v>56</v>
      </c>
      <c r="B64" s="41">
        <f t="shared" si="5"/>
        <v>13.047816749318093</v>
      </c>
      <c r="C64" t="str">
        <f t="shared" si="0"/>
        <v>3.98041390373204-1.92173950641165i</v>
      </c>
      <c r="D64" s="129">
        <f t="shared" si="6"/>
        <v>12.908529321270215</v>
      </c>
      <c r="E64" s="39">
        <f t="shared" si="2"/>
        <v>-25.771199841722986</v>
      </c>
      <c r="F64" t="str">
        <f t="shared" si="1"/>
        <v>114.281046589645+294.682622368257i</v>
      </c>
      <c r="G64" s="129">
        <f t="shared" si="3"/>
        <v>49.995568176194574</v>
      </c>
      <c r="H64" s="39">
        <f t="shared" si="4"/>
        <v>68.80317904071032</v>
      </c>
    </row>
    <row r="65" spans="1:8" ht="15">
      <c r="A65">
        <f>IF(A64&gt;=$B$5,NA,A64+1)</f>
        <v>57</v>
      </c>
      <c r="B65" s="41">
        <f t="shared" si="5"/>
        <v>13.660234894889715</v>
      </c>
      <c r="C65" t="str">
        <f t="shared" si="0"/>
        <v>3.90934918983473-1.97596396108612i</v>
      </c>
      <c r="D65" s="129">
        <f t="shared" si="6"/>
        <v>12.830171403214718</v>
      </c>
      <c r="E65" s="39">
        <f t="shared" si="2"/>
        <v>-26.814122171855594</v>
      </c>
      <c r="F65" t="str">
        <f t="shared" si="1"/>
        <v>112.244067998847+277.447326008913i</v>
      </c>
      <c r="G65" s="129">
        <f t="shared" si="3"/>
        <v>49.52190450741361</v>
      </c>
      <c r="H65" s="39">
        <f t="shared" si="4"/>
        <v>67.97371752650233</v>
      </c>
    </row>
    <row r="66" spans="1:8" ht="15">
      <c r="A66">
        <f>IF(A65&gt;=$B$5,NA,A65+1)</f>
        <v>58</v>
      </c>
      <c r="B66" s="41">
        <f t="shared" si="5"/>
        <v>14.301397771647487</v>
      </c>
      <c r="C66" t="str">
        <f t="shared" si="0"/>
        <v>3.83432012906561-2.02894390116747i</v>
      </c>
      <c r="D66" s="129">
        <f t="shared" si="6"/>
        <v>12.745878698097467</v>
      </c>
      <c r="E66" s="39">
        <f t="shared" si="2"/>
        <v>-27.885711588779106</v>
      </c>
      <c r="F66" t="str">
        <f t="shared" si="1"/>
        <v>110.093456442157+260.950706415509i</v>
      </c>
      <c r="G66" s="129">
        <f t="shared" si="3"/>
        <v>49.04260137469763</v>
      </c>
      <c r="H66" s="39">
        <f t="shared" si="4"/>
        <v>67.12542575041714</v>
      </c>
    </row>
    <row r="67" spans="1:8" ht="15">
      <c r="A67">
        <f>IF(A66&gt;=$B$5,NA,A66+1)</f>
        <v>59</v>
      </c>
      <c r="B67" s="41">
        <f t="shared" si="5"/>
        <v>14.97265455511297</v>
      </c>
      <c r="C67" t="str">
        <f t="shared" si="0"/>
        <v>3.75532763707054-2.0803449336184i</v>
      </c>
      <c r="D67" s="129">
        <f t="shared" si="6"/>
        <v>12.655328924093368</v>
      </c>
      <c r="E67" s="39">
        <f t="shared" si="2"/>
        <v>-28.985208601799442</v>
      </c>
      <c r="F67" t="str">
        <f t="shared" si="1"/>
        <v>107.82923815084+245.1708308313i</v>
      </c>
      <c r="G67" s="129">
        <f t="shared" si="3"/>
        <v>48.557364356547225</v>
      </c>
      <c r="H67" s="39">
        <f t="shared" si="4"/>
        <v>66.25949835016029</v>
      </c>
    </row>
    <row r="68" spans="1:8" ht="15">
      <c r="A68">
        <f>IF(A67&gt;=$B$5,NA,A67+1)</f>
        <v>60</v>
      </c>
      <c r="B68" s="41">
        <f t="shared" si="5"/>
        <v>15.675417746311675</v>
      </c>
      <c r="C68" t="str">
        <f t="shared" si="0"/>
        <v>3.67240776609849-2.12981984688084i</v>
      </c>
      <c r="D68" s="129">
        <f t="shared" si="6"/>
        <v>12.558201278795702</v>
      </c>
      <c r="E68" s="39">
        <f t="shared" si="2"/>
        <v>-30.111670734799482</v>
      </c>
      <c r="F68" t="str">
        <f t="shared" si="1"/>
        <v>105.45244649951+230.087546910515i</v>
      </c>
      <c r="G68" s="129">
        <f t="shared" si="3"/>
        <v>48.06590308578285</v>
      </c>
      <c r="H68" s="39">
        <f t="shared" si="4"/>
        <v>65.37732953912571</v>
      </c>
    </row>
    <row r="69" spans="1:8" ht="15">
      <c r="A69">
        <f>IF(A68&gt;=$B$5,NA,A68+1)</f>
        <v>61</v>
      </c>
      <c r="B69" s="41">
        <f t="shared" si="5"/>
        <v>16.41116614404713</v>
      </c>
      <c r="C69" t="str">
        <f t="shared" si="0"/>
        <v>3.58563484782573-2.17701271583216i</v>
      </c>
      <c r="D69" s="129">
        <f t="shared" si="6"/>
        <v>12.454179424683357</v>
      </c>
      <c r="E69" s="39">
        <f t="shared" si="2"/>
        <v>-31.26396671615348</v>
      </c>
      <c r="F69" t="str">
        <f t="shared" si="1"/>
        <v>102.965212090934+215.682301706931i</v>
      </c>
      <c r="G69" s="129">
        <f t="shared" si="3"/>
        <v>47.567934462373444</v>
      </c>
      <c r="H69" s="39">
        <f t="shared" si="4"/>
        <v>64.48051915083582</v>
      </c>
    </row>
    <row r="70" spans="1:8" ht="15">
      <c r="A70">
        <f>IF(A69&gt;=$B$5,NA,A69+1)</f>
        <v>62</v>
      </c>
      <c r="B70" s="41">
        <f t="shared" si="5"/>
        <v>17.181447956682963</v>
      </c>
      <c r="C70" t="str">
        <f t="shared" si="0"/>
        <v>3.49512411677334-2.22156370827585i</v>
      </c>
      <c r="D70" s="129">
        <f t="shared" si="6"/>
        <v>12.342954709923815</v>
      </c>
      <c r="E70" s="39">
        <f t="shared" si="2"/>
        <v>-32.440773058365174</v>
      </c>
      <c r="F70" t="str">
        <f t="shared" si="1"/>
        <v>100.370837952719+201.937943393862i</v>
      </c>
      <c r="G70" s="129">
        <f t="shared" si="3"/>
        <v>47.063186119559845</v>
      </c>
      <c r="H70" s="39">
        <f t="shared" si="4"/>
        <v>63.5708762296954</v>
      </c>
    </row>
    <row r="71" spans="1:8" ht="15">
      <c r="A71">
        <f>IF(A70&gt;=$B$5,NA,A70+1)</f>
        <v>63</v>
      </c>
      <c r="B71" s="41">
        <f t="shared" si="5"/>
        <v>17.987884059981006</v>
      </c>
      <c r="C71" t="str">
        <f t="shared" si="0"/>
        <v>3.4010336543042-2.26311452824571i</v>
      </c>
      <c r="D71" s="129">
        <f t="shared" si="6"/>
        <v>12.224229575800818</v>
      </c>
      <c r="E71" s="39">
        <f t="shared" si="2"/>
        <v>-33.64057338773862</v>
      </c>
      <c r="F71" t="str">
        <f t="shared" si="1"/>
        <v>97.6738552592791+188.838507443404i</v>
      </c>
      <c r="G71" s="129">
        <f t="shared" si="3"/>
        <v>46.55140009555161</v>
      </c>
      <c r="H71" s="39">
        <f t="shared" si="4"/>
        <v>62.65041979501222</v>
      </c>
    </row>
    <row r="72" spans="1:8" ht="15">
      <c r="A72">
        <f>IF(A71&gt;=$B$5,NA,A71+1)</f>
        <v>64</v>
      </c>
      <c r="B72" s="41">
        <f t="shared" si="5"/>
        <v>18.83217140785064</v>
      </c>
      <c r="C72" t="str">
        <f t="shared" si="0"/>
        <v>3.30356549942698-2.30131439258717i</v>
      </c>
      <c r="D72" s="129">
        <f t="shared" si="6"/>
        <v>12.09772108924309</v>
      </c>
      <c r="E72" s="39">
        <f t="shared" si="2"/>
        <v>-34.861660839384506</v>
      </c>
      <c r="F72" t="str">
        <f t="shared" si="1"/>
        <v>94.8800551714025+176.368990111019i</v>
      </c>
      <c r="G72" s="129">
        <f t="shared" si="3"/>
        <v>46.03233665022146</v>
      </c>
      <c r="H72" s="39">
        <f t="shared" si="4"/>
        <v>61.721376448529526</v>
      </c>
    </row>
    <row r="73" spans="1:8" ht="15">
      <c r="A73">
        <f>IF(A72&gt;=$B$5,NA,A72+1)</f>
        <v>65</v>
      </c>
      <c r="B73" s="41">
        <f t="shared" si="5"/>
        <v>19.716086603186707</v>
      </c>
      <c r="C73" t="str">
        <f aca="true" t="shared" si="7" ref="C73:C136">IMDIV(IMPRODUCT(Go,COMPLEX(1,Rcout*Cout*2*PI()*B73),COMPLEX(1,-Lp*Vc*2*PI()*B73/(8*Rsense*Vinmin*SQRT(2)))),COMPLEX(1,Req*Cout*2*PI()*B73))</f>
        <v>3.20296578900057-2.33582639807986i</v>
      </c>
      <c r="D73" s="129">
        <f t="shared" si="6"/>
        <v>11.963164527030212</v>
      </c>
      <c r="E73" s="39">
        <f t="shared" si="2"/>
        <v>-36.102143766821094</v>
      </c>
      <c r="F73" t="str">
        <f aca="true" t="shared" si="8" ref="F73:F136">IMPRODUCT(IMDIV(IMPRODUCT(-Ho,COMPLEX(1,Rupper*Czero*2*PI()*B73)),IMPRODUCT(COMPLEX(1,Rpullup*(Copto+Cpole)*2*PI()*B73),COMPLEX(0,Rupper*Czero*2*PI()*B73))),C73)</f>
        <v>91.9964928548341+164.515113200675i</v>
      </c>
      <c r="G73" s="129">
        <f t="shared" si="3"/>
        <v>45.50577815425828</v>
      </c>
      <c r="H73" s="39">
        <f t="shared" si="4"/>
        <v>60.786174559883925</v>
      </c>
    </row>
    <row r="74" spans="1:8" ht="15">
      <c r="A74">
        <f>IF(A73&gt;=$B$5,NA,A73+1)</f>
        <v>66</v>
      </c>
      <c r="B74" s="41">
        <f t="shared" si="5"/>
        <v>20.64148963630977</v>
      </c>
      <c r="C74" t="str">
        <f t="shared" si="7"/>
        <v>3.09952381702056-2.3663340996373i</v>
      </c>
      <c r="D74" s="129">
        <f t="shared" si="6"/>
        <v>11.820316928114881</v>
      </c>
      <c r="E74" s="39">
        <f aca="true" t="shared" si="9" ref="E74:E137">IMARGUMENT(C74)*180/PI()</f>
        <v>-37.35995492890926</v>
      </c>
      <c r="F74" t="str">
        <f t="shared" si="8"/>
        <v>89.0314605157443+153.263085143644i</v>
      </c>
      <c r="G74" s="129">
        <f aca="true" t="shared" si="10" ref="G74:G137">20*LOG10(IMABS(F74))</f>
        <v>44.9715329680005</v>
      </c>
      <c r="H74" s="39">
        <f aca="true" t="shared" si="11" ref="H74:H137">IMARGUMENT(F74)*180/PI()</f>
        <v>59.8474348488587</v>
      </c>
    </row>
    <row r="75" spans="1:8" ht="15">
      <c r="A75">
        <f>IF(A74&gt;=$B$5,NA,A74+1)</f>
        <v>67</v>
      </c>
      <c r="B75" s="41">
        <f aca="true" t="shared" si="12" ref="B75:B134">10^(LOG10($B$1)+A75*$B$4/$B$5)</f>
        <v>21.610327798875566</v>
      </c>
      <c r="C75" t="str">
        <f t="shared" si="7"/>
        <v>2.99356994020736-2.3925480890325i</v>
      </c>
      <c r="D75" s="129">
        <f aca="true" t="shared" si="13" ref="D75:D134">20*LOG10(IMABS(C75))</f>
        <v>11.668960522995988</v>
      </c>
      <c r="E75" s="39">
        <f t="shared" si="9"/>
        <v>-38.63286421202238</v>
      </c>
      <c r="F75" t="str">
        <f t="shared" si="8"/>
        <v>85.9944273669163+142.599364320176i</v>
      </c>
      <c r="G75" s="129">
        <f t="shared" si="10"/>
        <v>44.42943921953017</v>
      </c>
      <c r="H75" s="39">
        <f t="shared" si="11"/>
        <v>58.907957285922464</v>
      </c>
    </row>
    <row r="76" spans="1:8" ht="15">
      <c r="A76">
        <f>IF(A75&gt;=$B$5,NA,A75+1)</f>
        <v>68</v>
      </c>
      <c r="B76" s="41">
        <f t="shared" si="12"/>
        <v>22.624639781489346</v>
      </c>
      <c r="C76" t="str">
        <f t="shared" si="7"/>
        <v>2.88547230381312-2.41421234134689i</v>
      </c>
      <c r="D76" s="129">
        <f t="shared" si="13"/>
        <v>11.50890594500394</v>
      </c>
      <c r="E76" s="39">
        <f t="shared" si="9"/>
        <v>-39.918494826078536</v>
      </c>
      <c r="F76" t="str">
        <f t="shared" si="8"/>
        <v>82.8959457770397+132.510431195806i</v>
      </c>
      <c r="G76" s="129">
        <f t="shared" si="10"/>
        <v>43.87936838735001</v>
      </c>
      <c r="H76" s="39">
        <f t="shared" si="11"/>
        <v>57.970704349415726</v>
      </c>
    </row>
    <row r="77" spans="1:8" ht="15">
      <c r="A77">
        <f>IF(A76&gt;=$B$5,NA,A76+1)</f>
        <v>69</v>
      </c>
      <c r="B77" s="41">
        <f t="shared" si="12"/>
        <v>23.686559963647767</v>
      </c>
      <c r="C77" t="str">
        <f t="shared" si="7"/>
        <v>2.77563241508114-2.43111008579574i</v>
      </c>
      <c r="D77" s="129">
        <f t="shared" si="13"/>
        <v>11.339995128379673</v>
      </c>
      <c r="E77" s="39">
        <f t="shared" si="9"/>
        <v>-41.21434278489051</v>
      </c>
      <c r="F77" t="str">
        <f t="shared" si="8"/>
        <v>79.7475243894339+122.982576150791i</v>
      </c>
      <c r="G77" s="129">
        <f t="shared" si="10"/>
        <v>43.3212285927399</v>
      </c>
      <c r="H77" s="39">
        <f t="shared" si="11"/>
        <v>57.03878080337364</v>
      </c>
    </row>
    <row r="78" spans="1:8" ht="15">
      <c r="A78">
        <f>IF(A77&gt;=$B$5,NA,A77+1)</f>
        <v>70</v>
      </c>
      <c r="B78" s="41">
        <f t="shared" si="12"/>
        <v>24.79832290503535</v>
      </c>
      <c r="C78" t="str">
        <f t="shared" si="7"/>
        <v>2.6644796488239-2.44306896091258i</v>
      </c>
      <c r="D78" s="129">
        <f t="shared" si="13"/>
        <v>11.162103802563205</v>
      </c>
      <c r="E78" s="39">
        <f t="shared" si="9"/>
        <v>-42.51779935110171</v>
      </c>
      <c r="F78" t="str">
        <f t="shared" si="8"/>
        <v>76.561470631332+114.001709790141i</v>
      </c>
      <c r="G78" s="129">
        <f t="shared" si="10"/>
        <v>42.75496751111913</v>
      </c>
      <c r="H78" s="39">
        <f t="shared" si="11"/>
        <v>56.11541028747453</v>
      </c>
    </row>
    <row r="79" spans="1:8" ht="15">
      <c r="A79">
        <f>IF(A78&gt;=$B$5,NA,A78+1)</f>
        <v>71</v>
      </c>
      <c r="B79" s="41">
        <f t="shared" si="12"/>
        <v>25.96226804762647</v>
      </c>
      <c r="C79" t="str">
        <f t="shared" si="7"/>
        <v>2.55246482611108-2.44996523240551i</v>
      </c>
      <c r="D79" s="129">
        <f t="shared" si="13"/>
        <v>10.975143501284883</v>
      </c>
      <c r="E79" s="39">
        <f t="shared" si="9"/>
        <v>-43.82617600157548</v>
      </c>
      <c r="F79" t="str">
        <f t="shared" si="8"/>
        <v>73.3507066550382+105.553202000366i</v>
      </c>
      <c r="G79" s="129">
        <f t="shared" si="10"/>
        <v>42.180574820527774</v>
      </c>
      <c r="H79" s="39">
        <f t="shared" si="11"/>
        <v>55.203909132220666</v>
      </c>
    </row>
    <row r="80" spans="1:8" ht="15">
      <c r="A80">
        <f>IF(A79&gt;=$B$5,NA,A79+1)</f>
        <v>72</v>
      </c>
      <c r="B80" s="41">
        <f t="shared" si="12"/>
        <v>27.18084463848728</v>
      </c>
      <c r="C80" t="str">
        <f t="shared" si="7"/>
        <v>2.44005305869734-2.45172688516033i</v>
      </c>
      <c r="D80" s="129">
        <f t="shared" si="13"/>
        <v>10.779063018653597</v>
      </c>
      <c r="E80" s="39">
        <f t="shared" si="9"/>
        <v>-45.13673135853621</v>
      </c>
      <c r="F80" t="str">
        <f t="shared" si="8"/>
        <v>70.1285642324543+97.6217550725221i</v>
      </c>
      <c r="G80" s="129">
        <f t="shared" si="10"/>
        <v>41.59808411846953</v>
      </c>
      <c r="H80" s="39">
        <f t="shared" si="11"/>
        <v>54.307657920182976</v>
      </c>
    </row>
    <row r="81" spans="1:8" ht="15">
      <c r="A81">
        <f>IF(A80&gt;=$B$5,NA,A80+1)</f>
        <v>73</v>
      </c>
      <c r="B81" s="41">
        <f t="shared" si="12"/>
        <v>28.45661688363646</v>
      </c>
      <c r="C81" t="str">
        <f t="shared" si="7"/>
        <v>2.32771609429296-2.44833544728828i</v>
      </c>
      <c r="D81" s="129">
        <f t="shared" si="13"/>
        <v>10.573849261888121</v>
      </c>
      <c r="E81" s="39">
        <f t="shared" si="9"/>
        <v>-46.4466994426269</v>
      </c>
      <c r="F81" t="str">
        <f t="shared" si="8"/>
        <v>66.9085653418775+90.1913148842404i</v>
      </c>
      <c r="G81" s="129">
        <f t="shared" si="10"/>
        <v>41.0075742552302</v>
      </c>
      <c r="H81" s="39">
        <f t="shared" si="11"/>
        <v>53.43007140045918</v>
      </c>
    </row>
    <row r="82" spans="1:8" ht="15">
      <c r="A82">
        <f>IF(A81&gt;=$B$5,NA,A81+1)</f>
        <v>74</v>
      </c>
      <c r="B82" s="41">
        <f t="shared" si="12"/>
        <v>29.79226934380986</v>
      </c>
      <c r="C82" t="str">
        <f t="shared" si="7"/>
        <v>2.21592442740052-2.43982646089052i</v>
      </c>
      <c r="D82" s="129">
        <f t="shared" si="13"/>
        <v>10.359527470740389</v>
      </c>
      <c r="E82" s="39">
        <f t="shared" si="9"/>
        <v>-47.7533185427138</v>
      </c>
      <c r="F82" t="str">
        <f t="shared" si="8"/>
        <v>63.7041960350171+83.2450225096677i</v>
      </c>
      <c r="G82" s="129">
        <f t="shared" si="10"/>
        <v>40.40917005149662</v>
      </c>
      <c r="H82" s="39">
        <f t="shared" si="11"/>
        <v>52.57456742208048</v>
      </c>
    </row>
    <row r="83" spans="1:8" ht="15">
      <c r="A83">
        <f>IF(A82&gt;=$B$5,NA,A82+1)</f>
        <v>75</v>
      </c>
      <c r="B83" s="41">
        <f t="shared" si="12"/>
        <v>31.190612583483247</v>
      </c>
      <c r="C83" t="str">
        <f t="shared" si="7"/>
        <v>2.10513945455234-2.42628857734027i</v>
      </c>
      <c r="D83" s="129">
        <f t="shared" si="13"/>
        <v>10.136160795852064</v>
      </c>
      <c r="E83" s="39">
        <f t="shared" si="9"/>
        <v>-49.05385996827959</v>
      </c>
      <c r="F83" t="str">
        <f t="shared" si="8"/>
        <v>60.5286815766662+76.7652068202044i</v>
      </c>
      <c r="G83" s="129">
        <f t="shared" si="10"/>
        <v>39.8030423894725</v>
      </c>
      <c r="H83" s="39">
        <f t="shared" si="11"/>
        <v>51.74453557858079</v>
      </c>
    </row>
    <row r="84" spans="1:8" ht="15">
      <c r="A84">
        <f>IF(A83&gt;=$B$5,NA,A83+1)</f>
        <v>76</v>
      </c>
      <c r="B84" s="41">
        <f t="shared" si="12"/>
        <v>32.65458908503994</v>
      </c>
      <c r="C84" t="str">
        <f t="shared" si="7"/>
        <v>1.99580595010145-2.40786131968118i</v>
      </c>
      <c r="D84" s="129">
        <f t="shared" si="13"/>
        <v>9.903849250947147</v>
      </c>
      <c r="E84" s="39">
        <f t="shared" si="9"/>
        <v>-50.345655955736945</v>
      </c>
      <c r="F84" t="str">
        <f t="shared" si="8"/>
        <v>57.3947707725662+70.7334167848647i</v>
      </c>
      <c r="G84" s="129">
        <f t="shared" si="10"/>
        <v>39.18940768838454</v>
      </c>
      <c r="H84" s="39">
        <f t="shared" si="11"/>
        <v>50.943306248269685</v>
      </c>
    </row>
    <row r="85" spans="1:8" ht="15">
      <c r="A85">
        <f>IF(A84&gt;=$B$5,NA,A84+1)</f>
        <v>77</v>
      </c>
      <c r="B85" s="41">
        <f t="shared" si="12"/>
        <v>34.18727944052859</v>
      </c>
      <c r="C85" t="str">
        <f t="shared" si="7"/>
        <v>1.88834511948723-2.38473161634094i</v>
      </c>
      <c r="D85" s="129">
        <f t="shared" si="13"/>
        <v>9.66272807552621</v>
      </c>
      <c r="E85" s="39">
        <f t="shared" si="9"/>
        <v>-51.62612603958688</v>
      </c>
      <c r="F85" t="str">
        <f t="shared" si="8"/>
        <v>54.3145368497824+65.1304904165392i</v>
      </c>
      <c r="G85" s="129">
        <f t="shared" si="10"/>
        <v>38.568526795921684</v>
      </c>
      <c r="H85" s="39">
        <f t="shared" si="11"/>
        <v>50.174120673501356</v>
      </c>
    </row>
    <row r="86" spans="1:8" ht="15">
      <c r="A86">
        <f>IF(A85&gt;=$B$5,NA,A85+1)</f>
        <v>78</v>
      </c>
      <c r="B86" s="41">
        <f t="shared" si="12"/>
        <v>35.791908834040065</v>
      </c>
      <c r="C86" t="str">
        <f t="shared" si="7"/>
        <v>1.78314845286337-2.35712926424365i</v>
      </c>
      <c r="D86" s="129">
        <f t="shared" si="13"/>
        <v>9.412965564311806</v>
      </c>
      <c r="E86" s="39">
        <f t="shared" si="9"/>
        <v>-52.89280127005978</v>
      </c>
      <c r="F86" t="str">
        <f t="shared" si="8"/>
        <v>51.2992012783613+59.9366557689128i</v>
      </c>
      <c r="G86" s="129">
        <f t="shared" si="10"/>
        <v>37.94070334545606</v>
      </c>
      <c r="H86" s="39">
        <f t="shared" si="11"/>
        <v>49.440102650593595</v>
      </c>
    </row>
    <row r="87" spans="1:8" ht="15">
      <c r="A87">
        <f>IF(A86&gt;=$B$5,NA,A86+1)</f>
        <v>79</v>
      </c>
      <c r="B87" s="41">
        <f t="shared" si="12"/>
        <v>37.47185382834394</v>
      </c>
      <c r="C87" t="str">
        <f t="shared" si="7"/>
        <v>1.68057255616367-2.32532152188317i</v>
      </c>
      <c r="D87" s="129">
        <f t="shared" si="13"/>
        <v>9.154760436009772</v>
      </c>
      <c r="E87" s="39">
        <f t="shared" si="9"/>
        <v>-54.14334575556357</v>
      </c>
      <c r="F87" t="str">
        <f t="shared" si="8"/>
        <v>48.3589856099019+55.1316581740608i</v>
      </c>
      <c r="G87" s="129">
        <f t="shared" si="10"/>
        <v>37.306281643766</v>
      </c>
      <c r="H87" s="39">
        <f t="shared" si="11"/>
        <v>48.74423230542102</v>
      </c>
    </row>
    <row r="88" spans="1:8" ht="15">
      <c r="A88">
        <f>IF(A87&gt;=$B$5,NA,A87+1)</f>
        <v>80</v>
      </c>
      <c r="B88" s="41">
        <f t="shared" si="12"/>
        <v>39.230649470065714</v>
      </c>
      <c r="C88" t="str">
        <f t="shared" si="7"/>
        <v>1.58093508301826-2.28960706148863i</v>
      </c>
      <c r="D88" s="129">
        <f t="shared" si="13"/>
        <v>8.888338826196883</v>
      </c>
      <c r="E88" s="39">
        <f t="shared" si="9"/>
        <v>-55.37557512406358</v>
      </c>
      <c r="F88" t="str">
        <f t="shared" si="8"/>
        <v>45.502994870504+50.6949070945995i</v>
      </c>
      <c r="G88" s="129">
        <f t="shared" si="10"/>
        <v>36.66564416461935</v>
      </c>
      <c r="H88" s="39">
        <f t="shared" si="11"/>
        <v>48.0893223152278</v>
      </c>
    </row>
    <row r="89" spans="1:8" ht="15">
      <c r="A89">
        <f>IF(A88&gt;=$B$5,NA,A88+1)</f>
        <v>81</v>
      </c>
      <c r="B89" s="41">
        <f t="shared" si="12"/>
        <v>41.071996728355735</v>
      </c>
      <c r="C89" t="str">
        <f t="shared" si="7"/>
        <v>1.48451183378167-2.25030952294713i</v>
      </c>
      <c r="D89" s="129">
        <f t="shared" si="13"/>
        <v>8.613950996859836</v>
      </c>
      <c r="E89" s="39">
        <f t="shared" si="9"/>
        <v>-56.58747162462152</v>
      </c>
      <c r="F89" t="str">
        <f t="shared" si="8"/>
        <v>42.7391344073702+46.6056355789491i</v>
      </c>
      <c r="G89" s="129">
        <f t="shared" si="10"/>
        <v>36.01920872952058</v>
      </c>
      <c r="H89" s="39">
        <f t="shared" si="11"/>
        <v>47.47799681303783</v>
      </c>
    </row>
    <row r="90" spans="1:8" ht="15">
      <c r="A90">
        <f>IF(A89&gt;=$B$5,NA,A89+1)</f>
        <v>82</v>
      </c>
      <c r="B90" s="41">
        <f t="shared" si="12"/>
        <v>42.9997702827029</v>
      </c>
      <c r="C90" t="str">
        <f t="shared" si="7"/>
        <v>1.39153503160747-2.20777091090811i</v>
      </c>
      <c r="D90" s="129">
        <f t="shared" si="13"/>
        <v>8.331867858186554</v>
      </c>
      <c r="E90" s="39">
        <f t="shared" si="9"/>
        <v>-57.77719572068197</v>
      </c>
      <c r="F90" t="str">
        <f t="shared" si="8"/>
        <v>40.0740604738343+42.8430653463356i</v>
      </c>
      <c r="G90" s="129">
        <f t="shared" si="10"/>
        <v>35.367425458096896</v>
      </c>
      <c r="H90" s="39">
        <f t="shared" si="11"/>
        <v>46.912673085580415</v>
      </c>
    </row>
    <row r="91" spans="1:8" ht="15">
      <c r="A91">
        <f>IF(A90&gt;=$B$5,NA,A90+1)</f>
        <v>83</v>
      </c>
      <c r="B91" s="41">
        <f t="shared" si="12"/>
        <v>45.018026676280364</v>
      </c>
      <c r="C91" t="str">
        <f t="shared" si="7"/>
        <v>1.30219273383177-2.16234506196715i</v>
      </c>
      <c r="D91" s="129">
        <f t="shared" si="13"/>
        <v>8.042377396875509</v>
      </c>
      <c r="E91" s="39">
        <f t="shared" si="9"/>
        <v>-58.94309415273239</v>
      </c>
      <c r="F91" t="str">
        <f t="shared" si="8"/>
        <v>37.5131633564431+39.3865709469183i</v>
      </c>
      <c r="G91" s="129">
        <f t="shared" si="10"/>
        <v>34.710773567246676</v>
      </c>
      <c r="H91" s="39">
        <f t="shared" si="11"/>
        <v>46.39554605689413</v>
      </c>
    </row>
    <row r="92" spans="1:8" ht="15">
      <c r="A92">
        <f>IF(A91&gt;=$B$5,NA,A91+1)</f>
        <v>84</v>
      </c>
      <c r="B92" s="41">
        <f t="shared" si="12"/>
        <v>47.131012851980756</v>
      </c>
      <c r="C92" t="str">
        <f t="shared" si="7"/>
        <v>1.21662929292634-2.11439138344531i</v>
      </c>
      <c r="D92" s="129">
        <f t="shared" si="13"/>
        <v>7.745781099991413</v>
      </c>
      <c r="E92" s="39">
        <f t="shared" si="9"/>
        <v>-60.083704563189244</v>
      </c>
      <c r="F92" t="str">
        <f t="shared" si="8"/>
        <v>35.060580586487+36.2158371722633i</v>
      </c>
      <c r="G92" s="129">
        <f t="shared" si="10"/>
        <v>34.04975809086003</v>
      </c>
      <c r="H92" s="39">
        <f t="shared" si="11"/>
        <v>45.92857544461874</v>
      </c>
    </row>
    <row r="93" spans="1:8" ht="15">
      <c r="A93">
        <f>IF(A92&gt;=$B$5,NA,A92+1)</f>
        <v>85</v>
      </c>
      <c r="B93" s="41">
        <f t="shared" si="12"/>
        <v>49.34317508910217</v>
      </c>
      <c r="C93" t="str">
        <f t="shared" si="7"/>
        <v>1.13494674696361-2.06426903205504i</v>
      </c>
      <c r="D93" s="129">
        <f t="shared" si="13"/>
        <v>7.442390454964018</v>
      </c>
      <c r="E93" s="39">
        <f t="shared" si="9"/>
        <v>-61.19775687573149</v>
      </c>
      <c r="F93" t="str">
        <f t="shared" si="8"/>
        <v>32.7192367946652+33.3110048458972i</v>
      </c>
      <c r="G93" s="129">
        <f t="shared" si="10"/>
        <v>33.38490658141665</v>
      </c>
      <c r="H93" s="39">
        <f t="shared" si="11"/>
        <v>45.51347538990467</v>
      </c>
    </row>
    <row r="94" spans="1:8" ht="15">
      <c r="A94">
        <f>IF(A93&gt;=$B$5,NA,A93+1)</f>
        <v>86</v>
      </c>
      <c r="B94" s="41">
        <f t="shared" si="12"/>
        <v>51.65916835949071</v>
      </c>
      <c r="C94" t="str">
        <f t="shared" si="7"/>
        <v>1.05720699585793-2.01233166290072i</v>
      </c>
      <c r="D94" s="129">
        <f t="shared" si="13"/>
        <v>7.13252359553911</v>
      </c>
      <c r="E94" s="39">
        <f t="shared" si="9"/>
        <v>-62.28417170149595</v>
      </c>
      <c r="F94" t="str">
        <f t="shared" si="8"/>
        <v>30.490906088888+30.6528012104924i</v>
      </c>
      <c r="G94" s="129">
        <f t="shared" si="10"/>
        <v>32.7167658419949</v>
      </c>
      <c r="H94" s="39">
        <f t="shared" si="11"/>
        <v>45.15170629856258</v>
      </c>
    </row>
    <row r="95" spans="1:8" ht="15">
      <c r="A95">
        <f>IF(A94&gt;=$B$5,NA,A94+1)</f>
        <v>87</v>
      </c>
      <c r="B95" s="41">
        <f t="shared" si="12"/>
        <v>54.083866122826834</v>
      </c>
      <c r="C95" t="str">
        <f t="shared" si="7"/>
        <v>0.983434606587799-1.95892283989617i</v>
      </c>
      <c r="D95" s="129">
        <f t="shared" si="13"/>
        <v>6.8165021512105595</v>
      </c>
      <c r="E95" s="39">
        <f t="shared" si="9"/>
        <v>-63.342056103913585</v>
      </c>
      <c r="F95" t="str">
        <f t="shared" si="8"/>
        <v>28.3762924608745+28.2226522585744i</v>
      </c>
      <c r="G95" s="129">
        <f t="shared" si="10"/>
        <v>32.04589872316398</v>
      </c>
      <c r="H95" s="39">
        <f t="shared" si="11"/>
        <v>44.8444685925349</v>
      </c>
    </row>
    <row r="96" spans="1:8" ht="15">
      <c r="A96">
        <f>IF(A95&gt;=$B$5,NA,A95+1)</f>
        <v>88</v>
      </c>
      <c r="B96" s="41">
        <f t="shared" si="12"/>
        <v>56.6223705816679</v>
      </c>
      <c r="C96" t="str">
        <f t="shared" si="7"/>
        <v>0.913620087330094-1.90437216050244i</v>
      </c>
      <c r="D96" s="129">
        <f t="shared" si="13"/>
        <v>6.494648344729405</v>
      </c>
      <c r="E96" s="39">
        <f t="shared" si="9"/>
        <v>-64.37069709243625</v>
      </c>
      <c r="F96" t="str">
        <f t="shared" si="8"/>
        <v>26.3751236333619+26.002775449903i</v>
      </c>
      <c r="G96" s="129">
        <f t="shared" si="10"/>
        <v>31.372881004851685</v>
      </c>
      <c r="H96" s="39">
        <f t="shared" si="11"/>
        <v>44.59269805726013</v>
      </c>
    </row>
    <row r="97" spans="1:8" ht="15">
      <c r="A97">
        <f>IF(A96&gt;=$B$5,NA,A96+1)</f>
        <v>89</v>
      </c>
      <c r="B97" s="41">
        <f t="shared" si="12"/>
        <v>59.28002341782578</v>
      </c>
      <c r="C97" t="str">
        <f t="shared" si="7"/>
        <v>0.847723475527165-1.84899211284134i</v>
      </c>
      <c r="D97" s="129">
        <f t="shared" si="13"/>
        <v>6.167282369436489</v>
      </c>
      <c r="E97" s="39">
        <f t="shared" si="9"/>
        <v>-65.36955323423496</v>
      </c>
      <c r="F97" t="str">
        <f t="shared" si="8"/>
        <v>24.4862539056453+23.9762522593597i</v>
      </c>
      <c r="G97" s="129">
        <f t="shared" si="10"/>
        <v>30.698298369480174</v>
      </c>
      <c r="H97" s="39">
        <f t="shared" si="11"/>
        <v>44.397062480840404</v>
      </c>
    </row>
    <row r="98" spans="1:8" ht="15">
      <c r="A98">
        <f>IF(A97&gt;=$B$5,NA,A97+1)</f>
        <v>90</v>
      </c>
      <c r="B98" s="41">
        <f t="shared" si="12"/>
        <v>62.06241703267202</v>
      </c>
      <c r="C98" t="str">
        <f t="shared" si="7"/>
        <v>0.785678096591996-1.79307565322732i</v>
      </c>
      <c r="D98" s="129">
        <f t="shared" si="13"/>
        <v>5.834720066009532</v>
      </c>
      <c r="E98" s="39">
        <f t="shared" si="9"/>
        <v>-66.33824477434075</v>
      </c>
      <c r="F98" t="str">
        <f t="shared" si="8"/>
        <v>22.707771890074+22.1270808611791i</v>
      </c>
      <c r="G98" s="129">
        <f t="shared" si="10"/>
        <v>30.0227434602326</v>
      </c>
      <c r="H98" s="39">
        <f t="shared" si="11"/>
        <v>44.2579593127405</v>
      </c>
    </row>
    <row r="99" spans="1:8" ht="15">
      <c r="A99">
        <f>IF(A98&gt;=$B$5,NA,A98+1)</f>
        <v>91</v>
      </c>
      <c r="B99" s="41">
        <f t="shared" si="12"/>
        <v>64.97540631502288</v>
      </c>
      <c r="C99" t="str">
        <f t="shared" si="7"/>
        <v>0.72739436633964-1.73689446784798i</v>
      </c>
      <c r="D99" s="129">
        <f t="shared" si="13"/>
        <v>5.497270907214393</v>
      </c>
      <c r="E99" s="39">
        <f t="shared" si="9"/>
        <v>-67.27654264150219</v>
      </c>
      <c r="F99" t="str">
        <f t="shared" si="8"/>
        <v>21.0371095017293+20.4402099539086i</v>
      </c>
      <c r="G99" s="129">
        <f t="shared" si="10"/>
        <v>29.346813007916893</v>
      </c>
      <c r="H99" s="39">
        <f t="shared" si="11"/>
        <v>44.17551411971683</v>
      </c>
    </row>
    <row r="100" spans="1:8" ht="15">
      <c r="A100">
        <f>IF(A99&gt;=$B$5,NA,A99+1)</f>
        <v>92</v>
      </c>
      <c r="B100" s="41">
        <f t="shared" si="12"/>
        <v>68.02512096136691</v>
      </c>
      <c r="C100" t="str">
        <f t="shared" si="7"/>
        <v>0.672763529478156-1.68069786400261i</v>
      </c>
      <c r="D100" s="129">
        <f t="shared" si="13"/>
        <v>5.155236289707256</v>
      </c>
      <c r="E100" s="39">
        <f t="shared" si="9"/>
        <v>-68.1843566924231</v>
      </c>
      <c r="F100" t="str">
        <f t="shared" si="8"/>
        <v>19.4711491151427+18.9015552571992i</v>
      </c>
      <c r="G100" s="129">
        <f t="shared" si="10"/>
        <v>28.671105002033407</v>
      </c>
      <c r="H100" s="39">
        <f t="shared" si="11"/>
        <v>44.149579680835075</v>
      </c>
    </row>
    <row r="101" spans="1:8" ht="15">
      <c r="A101">
        <f>IF(A100&gt;=$B$5,NA,A100+1)</f>
        <v>93</v>
      </c>
      <c r="B101" s="41">
        <f t="shared" si="12"/>
        <v>71.21797837436075</v>
      </c>
      <c r="C101" t="str">
        <f t="shared" si="7"/>
        <v>0.621661246960308-1.62471222380119i</v>
      </c>
      <c r="D101" s="129">
        <f t="shared" si="13"/>
        <v>4.808908124014344</v>
      </c>
      <c r="E101" s="39">
        <f t="shared" si="9"/>
        <v>-69.06172351417732</v>
      </c>
      <c r="F101" t="str">
        <f t="shared" si="8"/>
        <v>18.006326388598+17.4980005715318i</v>
      </c>
      <c r="G101" s="129">
        <f t="shared" si="10"/>
        <v>27.996215876701896</v>
      </c>
      <c r="H101" s="39">
        <f t="shared" si="11"/>
        <v>44.1797356373831</v>
      </c>
    </row>
    <row r="102" spans="1:8" ht="15">
      <c r="A102">
        <f>IF(A101&gt;=$B$5,NA,A101+1)</f>
        <v>94</v>
      </c>
      <c r="B102" s="41">
        <f t="shared" si="12"/>
        <v>74.56069716673377</v>
      </c>
      <c r="C102" t="str">
        <f t="shared" si="7"/>
        <v>0.573950965328573-1.5691409460116i</v>
      </c>
      <c r="D102" s="129">
        <f t="shared" si="13"/>
        <v>4.458567707564505</v>
      </c>
      <c r="E102" s="39">
        <f t="shared" si="9"/>
        <v>-69.90879406647909</v>
      </c>
      <c r="F102" t="str">
        <f t="shared" si="8"/>
        <v>16.6387268393326+16.2173855002428i</v>
      </c>
      <c r="G102" s="129">
        <f t="shared" si="10"/>
        <v>27.322737680282195</v>
      </c>
      <c r="H102" s="39">
        <f t="shared" si="11"/>
        <v>44.26528869252973</v>
      </c>
    </row>
    <row r="103" spans="1:8" ht="15">
      <c r="A103">
        <f>IF(A102&gt;=$B$5,NA,A102+1)</f>
        <v>95</v>
      </c>
      <c r="B103" s="41">
        <f t="shared" si="12"/>
        <v>78.06031129901876</v>
      </c>
      <c r="C103" t="str">
        <f t="shared" si="7"/>
        <v>0.529487020338268-1.51416479907432i</v>
      </c>
      <c r="D103" s="129">
        <f t="shared" si="13"/>
        <v>4.104484861004048</v>
      </c>
      <c r="E103" s="39">
        <f t="shared" si="9"/>
        <v>-70.72582140476003</v>
      </c>
      <c r="F103" t="str">
        <f t="shared" si="8"/>
        <v>15.364174801923+15.0484820110599i</v>
      </c>
      <c r="G103" s="129">
        <f t="shared" si="10"/>
        <v>26.65125519890108</v>
      </c>
      <c r="H103" s="39">
        <f t="shared" si="11"/>
        <v>44.40527343495163</v>
      </c>
    </row>
    <row r="104" spans="1:8" ht="15">
      <c r="A104">
        <f>IF(A103&gt;=$B$5,NA,A103+1)</f>
        <v>96</v>
      </c>
      <c r="B104" s="41">
        <f t="shared" si="12"/>
        <v>81.7241848808566</v>
      </c>
      <c r="C104" t="str">
        <f t="shared" si="7"/>
        <v>0.488117444393446-1.45994260932807i</v>
      </c>
      <c r="D104" s="129">
        <f t="shared" si="13"/>
        <v>3.7469173048637687</v>
      </c>
      <c r="E104" s="39">
        <f t="shared" si="9"/>
        <v>-71.51314868386874</v>
      </c>
      <c r="F104" t="str">
        <f t="shared" si="8"/>
        <v>14.1783138965847+13.9809619863298i</v>
      </c>
      <c r="G104" s="129">
        <f t="shared" si="10"/>
        <v>25.982343008626437</v>
      </c>
      <c r="H104" s="39">
        <f t="shared" si="11"/>
        <v>44.59845393551567</v>
      </c>
    </row>
    <row r="105" spans="1:8" ht="15">
      <c r="A105">
        <f>IF(A104&gt;=$B$5,NA,A104+1)</f>
        <v>97</v>
      </c>
      <c r="B105" s="41">
        <f t="shared" si="12"/>
        <v>85.56002766702251</v>
      </c>
      <c r="C105" t="str">
        <f t="shared" si="7"/>
        <v>0.449686462241801-1.40661221233051i</v>
      </c>
      <c r="D105" s="129">
        <f t="shared" si="13"/>
        <v>3.38611025179632</v>
      </c>
      <c r="E105" s="39">
        <f t="shared" si="9"/>
        <v>-72.27119760242293</v>
      </c>
      <c r="F105" t="str">
        <f t="shared" si="8"/>
        <v>13.0766785615348+13.0053578022941i</v>
      </c>
      <c r="G105" s="129">
        <f t="shared" si="10"/>
        <v>25.316562438497897</v>
      </c>
      <c r="H105" s="39">
        <f t="shared" si="11"/>
        <v>44.843326331806246</v>
      </c>
    </row>
    <row r="106" spans="1:8" ht="15">
      <c r="A106">
        <f>IF(A105&gt;=$B$5,NA,A105+1)</f>
        <v>98</v>
      </c>
      <c r="B106" s="41">
        <f t="shared" si="12"/>
        <v>89.57591128077974</v>
      </c>
      <c r="C106" t="str">
        <f t="shared" si="7"/>
        <v>0.414036671758511-1.3542916009871i</v>
      </c>
      <c r="D106" s="129">
        <f t="shared" si="13"/>
        <v>3.022296188857459</v>
      </c>
      <c r="E106" s="39">
        <f t="shared" si="9"/>
        <v>-73.0004574106778</v>
      </c>
      <c r="F106" t="str">
        <f t="shared" si="8"/>
        <v>12.0547565585282+12.1130178118768i</v>
      </c>
      <c r="G106" s="129">
        <f t="shared" si="10"/>
        <v>24.654458436685243</v>
      </c>
      <c r="H106" s="39">
        <f t="shared" si="11"/>
        <v>45.138122667333974</v>
      </c>
    </row>
    <row r="107" spans="1:8" ht="15">
      <c r="A107">
        <f>IF(A106&gt;=$B$5,NA,A106+1)</f>
        <v>99</v>
      </c>
      <c r="B107" s="41">
        <f t="shared" si="12"/>
        <v>93.78028619870071</v>
      </c>
      <c r="C107" t="str">
        <f t="shared" si="7"/>
        <v>0.381010916507757-1.30308021128388i</v>
      </c>
      <c r="D107" s="129">
        <f t="shared" si="13"/>
        <v>2.655694824467696</v>
      </c>
      <c r="E107" s="39">
        <f t="shared" si="9"/>
        <v>-73.70147457110315</v>
      </c>
      <c r="F107" t="str">
        <f t="shared" si="8"/>
        <v>11.1080426432626+11.296058403599i</v>
      </c>
      <c r="G107" s="129">
        <f t="shared" si="10"/>
        <v>23.9965563442115</v>
      </c>
      <c r="H107" s="39">
        <f t="shared" si="11"/>
        <v>45.48081628666387</v>
      </c>
    </row>
    <row r="108" spans="1:8" ht="15">
      <c r="A108">
        <f>IF(A107&gt;=$B$5,NA,A107+1)</f>
        <v>100</v>
      </c>
      <c r="B108" s="41">
        <f t="shared" si="12"/>
        <v>98.18199953269475</v>
      </c>
      <c r="C108" t="str">
        <f t="shared" si="7"/>
        <v>0.35045386424776-1.25306029413517i</v>
      </c>
      <c r="D108" s="129">
        <f t="shared" si="13"/>
        <v>2.286513175551846</v>
      </c>
      <c r="E108" s="39">
        <f t="shared" si="9"/>
        <v>-74.37484313117747</v>
      </c>
      <c r="F108" t="str">
        <f t="shared" si="8"/>
        <v>10.2320838066701+10.5473140891709i</v>
      </c>
      <c r="G108" s="129">
        <f t="shared" si="10"/>
        <v>23.34335859430171</v>
      </c>
      <c r="H108" s="39">
        <f t="shared" si="11"/>
        <v>45.86912910100862</v>
      </c>
    </row>
    <row r="109" spans="1:8" ht="15">
      <c r="A109">
        <f>IF(A108&gt;=$B$5,NA,A108+1)</f>
        <v>101</v>
      </c>
      <c r="B109" s="41">
        <f t="shared" si="12"/>
        <v>102.79031364666083</v>
      </c>
      <c r="C109" t="str">
        <f t="shared" si="7"/>
        <v>0.322213310877004-1.20429832971213i</v>
      </c>
      <c r="D109" s="129">
        <f t="shared" si="13"/>
        <v>1.9149457717378455</v>
      </c>
      <c r="E109" s="39">
        <f t="shared" si="9"/>
        <v>-75.02119584241751</v>
      </c>
      <c r="F109" t="str">
        <f t="shared" si="8"/>
        <v>9.42251664594247+9.86028684822066i</v>
      </c>
      <c r="G109" s="129">
        <f t="shared" si="10"/>
        <v>22.695341369732706</v>
      </c>
      <c r="H109" s="39">
        <f t="shared" si="11"/>
        <v>46.30054102855952</v>
      </c>
    </row>
    <row r="110" spans="1:8" ht="15">
      <c r="A110">
        <f>IF(A109&gt;=$B$5,NA,A109+1)</f>
        <v>102</v>
      </c>
      <c r="B110" s="41">
        <f t="shared" si="12"/>
        <v>107.61492564694066</v>
      </c>
      <c r="C110" t="str">
        <f t="shared" si="7"/>
        <v>0.296141232793553-1.1568464482385i</v>
      </c>
      <c r="D110" s="129">
        <f t="shared" si="13"/>
        <v>1.5411749552322163</v>
      </c>
      <c r="E110" s="39">
        <f t="shared" si="9"/>
        <v>-75.64119603832941</v>
      </c>
      <c r="F110" t="str">
        <f t="shared" si="8"/>
        <v>8.67509752371426+9.22909574118429i</v>
      </c>
      <c r="G110" s="129">
        <f t="shared" si="10"/>
        <v>22.052951264664344</v>
      </c>
      <c r="H110" s="39">
        <f t="shared" si="11"/>
        <v>46.772301878632575</v>
      </c>
    </row>
    <row r="111" spans="1:8" ht="15">
      <c r="A111">
        <f>IF(A110&gt;=$B$5,NA,A110+1)</f>
        <v>103</v>
      </c>
      <c r="B111" s="41">
        <f t="shared" si="12"/>
        <v>112.6659877875836</v>
      </c>
      <c r="C111" t="str">
        <f t="shared" si="7"/>
        <v>0.272094612563602-1.11074382836392i</v>
      </c>
      <c r="D111" s="129">
        <f t="shared" si="13"/>
        <v>1.1653712569461359</v>
      </c>
      <c r="E111" s="39">
        <f t="shared" si="9"/>
        <v>-76.23553026659948</v>
      </c>
      <c r="F111" t="str">
        <f t="shared" si="8"/>
        <v>7.98572622898824+8.64842759814427i</v>
      </c>
      <c r="G111" s="129">
        <f t="shared" si="10"/>
        <v>21.416602010379453</v>
      </c>
      <c r="H111" s="39">
        <f t="shared" si="11"/>
        <v>47.28144588864263</v>
      </c>
    </row>
    <row r="112" spans="1:8" ht="15">
      <c r="A112">
        <f>IF(A111&gt;=$B$5,NA,A111+1)</f>
        <v>104</v>
      </c>
      <c r="B112" s="41">
        <f t="shared" si="12"/>
        <v>117.95412883336213</v>
      </c>
      <c r="C112" t="str">
        <f t="shared" si="7"/>
        <v>0.24993606347254-1.06601805068408i</v>
      </c>
      <c r="D112" s="129">
        <f t="shared" si="13"/>
        <v>0.7876938315042615</v>
      </c>
      <c r="E112" s="39">
        <f t="shared" si="9"/>
        <v>-76.80490165711738</v>
      </c>
      <c r="F112" t="str">
        <f t="shared" si="8"/>
        <v>7.35046387279079+8.11348940718458i</v>
      </c>
      <c r="G112" s="129">
        <f t="shared" si="10"/>
        <v>20.78667133515346</v>
      </c>
      <c r="H112" s="39">
        <f t="shared" si="11"/>
        <v>47.82480903978454</v>
      </c>
    </row>
    <row r="113" spans="1:8" ht="15">
      <c r="A113">
        <f>IF(A112&gt;=$B$5,NA,A112+1)</f>
        <v>105</v>
      </c>
      <c r="B113" s="41">
        <f t="shared" si="12"/>
        <v>123.49047642549226</v>
      </c>
      <c r="C113" t="str">
        <f t="shared" si="7"/>
        <v>0.229534278244109-1.0226863896799i</v>
      </c>
      <c r="D113" s="129">
        <f t="shared" si="13"/>
        <v>0.40829093584078324</v>
      </c>
      <c r="E113" s="39">
        <f t="shared" si="9"/>
        <v>-77.3500239969609</v>
      </c>
      <c r="F113" t="str">
        <f t="shared" si="8"/>
        <v>6.76554574329838+7.61996286323316i</v>
      </c>
      <c r="G113" s="129">
        <f t="shared" si="10"/>
        <v>20.16349803618933</v>
      </c>
      <c r="H113" s="39">
        <f t="shared" si="11"/>
        <v>48.39904917455759</v>
      </c>
    </row>
    <row r="114" spans="1:8" ht="15">
      <c r="A114">
        <f>IF(A113&gt;=$B$5,NA,A113+1)</f>
        <v>106</v>
      </c>
      <c r="B114" s="41">
        <f t="shared" si="12"/>
        <v>129.28668049712044</v>
      </c>
      <c r="C114" t="str">
        <f t="shared" si="7"/>
        <v>0.210764326212316-0.980757032264318i</v>
      </c>
      <c r="D114" s="129">
        <f t="shared" si="13"/>
        <v>0.027300438107026773</v>
      </c>
      <c r="E114" s="39">
        <f t="shared" si="9"/>
        <v>-77.87161647585465</v>
      </c>
      <c r="F114" t="str">
        <f t="shared" si="8"/>
        <v>6.22738981648459+7.16396139828481i</v>
      </c>
      <c r="G114" s="129">
        <f t="shared" si="10"/>
        <v>19.547379345391228</v>
      </c>
      <c r="H114" s="39">
        <f t="shared" si="11"/>
        <v>49.000668822196296</v>
      </c>
    </row>
    <row r="115" spans="1:8" ht="15">
      <c r="A115">
        <f>IF(A114&gt;=$B$5,NA,A114+1)</f>
        <v>107</v>
      </c>
      <c r="B115" s="41">
        <f t="shared" si="12"/>
        <v>135.35493778785025</v>
      </c>
      <c r="C115" t="str">
        <f t="shared" si="7"/>
        <v>0.193507821732523-0.940230215268153i</v>
      </c>
      <c r="D115" s="129">
        <f t="shared" si="13"/>
        <v>-0.35514965446842967</v>
      </c>
      <c r="E115" s="39">
        <f t="shared" si="9"/>
        <v>-78.37039906042509</v>
      </c>
      <c r="F115" t="str">
        <f t="shared" si="8"/>
        <v>5.73260157539089+6.74198989594793i</v>
      </c>
      <c r="G115" s="129">
        <f t="shared" si="10"/>
        <v>18.938568670120677</v>
      </c>
      <c r="H115" s="39">
        <f t="shared" si="11"/>
        <v>49.62604051341299</v>
      </c>
    </row>
    <row r="116" spans="1:8" ht="15">
      <c r="A116">
        <f>IF(A115&gt;=$B$5,NA,A115+1)</f>
        <v>108</v>
      </c>
      <c r="B116" s="41">
        <f t="shared" si="12"/>
        <v>141.70801750889476</v>
      </c>
      <c r="C116" t="str">
        <f t="shared" si="7"/>
        <v>0.177652984801943-0.901099277609928i</v>
      </c>
      <c r="D116" s="129">
        <f t="shared" si="13"/>
        <v>-0.7389406583463287</v>
      </c>
      <c r="E116" s="39">
        <f t="shared" si="9"/>
        <v>-78.84708845240363</v>
      </c>
      <c r="F116" t="str">
        <f t="shared" si="8"/>
        <v>5.27797573906459+6.35090719618016i</v>
      </c>
      <c r="G116" s="129">
        <f t="shared" si="10"/>
        <v>18.337273784685912</v>
      </c>
      <c r="H116" s="39">
        <f t="shared" si="11"/>
        <v>50.27143424149121</v>
      </c>
    </row>
    <row r="117" spans="1:8" ht="15">
      <c r="A117">
        <f>IF(A116&gt;=$B$5,NA,A116+1)</f>
        <v>109</v>
      </c>
      <c r="B117" s="41">
        <f t="shared" si="12"/>
        <v>148.35928821285847</v>
      </c>
      <c r="C117" t="str">
        <f t="shared" si="7"/>
        <v>0.163094612869749-0.863351625642247i</v>
      </c>
      <c r="D117" s="129">
        <f t="shared" si="13"/>
        <v>-1.1239626750232854</v>
      </c>
      <c r="E117" s="39">
        <f t="shared" si="9"/>
        <v>-79.30239458440934</v>
      </c>
      <c r="F117" t="str">
        <f t="shared" si="8"/>
        <v>4.86049544516551+5.98789141805432i</v>
      </c>
      <c r="G117" s="129">
        <f t="shared" si="10"/>
        <v>17.7436555382022</v>
      </c>
      <c r="H117" s="39">
        <f t="shared" si="11"/>
        <v>50.93304661110385</v>
      </c>
    </row>
    <row r="118" spans="1:8" ht="15">
      <c r="A118">
        <f>IF(A117&gt;=$B$5,NA,A117+1)</f>
        <v>110</v>
      </c>
      <c r="B118" s="41">
        <f t="shared" si="12"/>
        <v>155.32274592469298</v>
      </c>
      <c r="C118" t="str">
        <f t="shared" si="7"/>
        <v>0.149733980765093-0.826969612323035i</v>
      </c>
      <c r="D118" s="129">
        <f t="shared" si="13"/>
        <v>-1.5101140574509917</v>
      </c>
      <c r="E118" s="39">
        <f t="shared" si="9"/>
        <v>-79.73701760673327</v>
      </c>
      <c r="F118" t="str">
        <f t="shared" si="8"/>
        <v>4.47732937142801+5.65040806730688i</v>
      </c>
      <c r="G118" s="129">
        <f t="shared" si="10"/>
        <v>17.15782713003508</v>
      </c>
      <c r="H118" s="39">
        <f t="shared" si="11"/>
        <v>51.607031117499446</v>
      </c>
    </row>
    <row r="119" spans="1:8" ht="15">
      <c r="A119">
        <f>IF(A118&gt;=$B$5,NA,A118+1)</f>
        <v>111</v>
      </c>
      <c r="B119" s="41">
        <f t="shared" si="12"/>
        <v>162.61304359301855</v>
      </c>
      <c r="C119" t="str">
        <f t="shared" si="7"/>
        <v>0.13747868364151-0.791931332501625i</v>
      </c>
      <c r="D119" s="129">
        <f t="shared" si="13"/>
        <v>-1.8973008867253862</v>
      </c>
      <c r="E119" s="39">
        <f t="shared" si="9"/>
        <v>-80.15164531934798</v>
      </c>
      <c r="F119" t="str">
        <f t="shared" si="8"/>
        <v>4.12582722298394+5.33618084903936i</v>
      </c>
      <c r="G119" s="129">
        <f t="shared" si="10"/>
        <v>16.579853986062908</v>
      </c>
      <c r="H119" s="39">
        <f t="shared" si="11"/>
        <v>52.289528924204895</v>
      </c>
    </row>
    <row r="120" spans="1:8" ht="15">
      <c r="A120">
        <f>IF(A119&gt;=$B$5,NA,A119+1)</f>
        <v>112</v>
      </c>
      <c r="B120" s="41">
        <f t="shared" si="12"/>
        <v>170.24552192378576</v>
      </c>
      <c r="C120" t="str">
        <f t="shared" si="7"/>
        <v>0.126242435888341-0.758211337813749i</v>
      </c>
      <c r="D120" s="129">
        <f t="shared" si="13"/>
        <v>-2.2854364631120005</v>
      </c>
      <c r="E120" s="39">
        <f t="shared" si="9"/>
        <v>-80.54695100493059</v>
      </c>
      <c r="F120" t="str">
        <f t="shared" si="8"/>
        <v>3.80351395672181+5.0431650720676i</v>
      </c>
      <c r="G120" s="129">
        <f t="shared" si="10"/>
        <v>16.00975424852622</v>
      </c>
      <c r="H120" s="39">
        <f t="shared" si="11"/>
        <v>52.97669946283157</v>
      </c>
    </row>
    <row r="121" spans="1:8" ht="15">
      <c r="A121">
        <f>IF(A120&gt;=$B$5,NA,A120+1)</f>
        <v>113</v>
      </c>
      <c r="B121" s="41">
        <f t="shared" si="12"/>
        <v>178.2362416611615</v>
      </c>
      <c r="C121" t="str">
        <f t="shared" si="7"/>
        <v>0.115944837134645-0.725781275519177i</v>
      </c>
      <c r="D121" s="129">
        <f t="shared" si="13"/>
        <v>-2.674440814492079</v>
      </c>
      <c r="E121" s="39">
        <f t="shared" si="9"/>
        <v>-80.92359162079276</v>
      </c>
      <c r="F121" t="str">
        <f t="shared" si="8"/>
        <v>3.5080830615436+4.76952350796909i</v>
      </c>
      <c r="G121" s="129">
        <f t="shared" si="10"/>
        <v>15.44749987054992</v>
      </c>
      <c r="H121" s="39">
        <f t="shared" si="11"/>
        <v>53.664750167403625</v>
      </c>
    </row>
    <row r="122" spans="1:8" ht="15">
      <c r="A122">
        <f>IF(A121&gt;=$B$5,NA,A121+1)</f>
        <v>114</v>
      </c>
      <c r="B122" s="41">
        <f t="shared" si="12"/>
        <v>186.6020173835626</v>
      </c>
      <c r="C122" t="str">
        <f t="shared" si="7"/>
        <v>0.106511114793145-0.694610456156639i</v>
      </c>
      <c r="D122" s="129">
        <f t="shared" si="13"/>
        <v>-3.0642402244778393</v>
      </c>
      <c r="E122" s="39">
        <f t="shared" si="9"/>
        <v>-81.28220631008803</v>
      </c>
      <c r="F122" t="str">
        <f t="shared" si="8"/>
        <v>3.237389165292+4.51360455296158i</v>
      </c>
      <c r="G122" s="129">
        <f t="shared" si="10"/>
        <v>14.893018284898499</v>
      </c>
      <c r="H122" s="39">
        <f t="shared" si="11"/>
        <v>54.34996467878577</v>
      </c>
    </row>
    <row r="123" spans="1:8" ht="15">
      <c r="A123">
        <f>IF(A122&gt;=$B$5,NA,A122+1)</f>
        <v>115</v>
      </c>
      <c r="B123" s="41">
        <f t="shared" si="12"/>
        <v>195.36045288595693</v>
      </c>
      <c r="C123" t="str">
        <f t="shared" si="7"/>
        <v>0.0978718510740668-0.664666355192245i</v>
      </c>
      <c r="D123" s="129">
        <f t="shared" si="13"/>
        <v>-3.4547667817375154</v>
      </c>
      <c r="E123" s="39">
        <f t="shared" si="9"/>
        <v>-81.6234151953619</v>
      </c>
      <c r="F123" t="str">
        <f t="shared" si="8"/>
        <v>2.98944019562341+4.27392253266869i</v>
      </c>
      <c r="G123" s="129">
        <f t="shared" si="10"/>
        <v>14.346194596506859</v>
      </c>
      <c r="H123" s="39">
        <f t="shared" si="11"/>
        <v>55.02872891057814</v>
      </c>
    </row>
    <row r="124" spans="1:8" ht="15">
      <c r="A124">
        <f>IF(A123&gt;=$B$5,NA,A123+1)</f>
        <v>116</v>
      </c>
      <c r="B124" s="41">
        <f t="shared" si="12"/>
        <v>204.52997822288373</v>
      </c>
      <c r="C124" t="str">
        <f t="shared" si="7"/>
        <v>0.0899627010446961-0.635915053951221i</v>
      </c>
      <c r="D124" s="129">
        <f t="shared" si="13"/>
        <v>-3.8459579514786246</v>
      </c>
      <c r="E124" s="39">
        <f t="shared" si="9"/>
        <v>-81.94781842031905</v>
      </c>
      <c r="F124" t="str">
        <f t="shared" si="8"/>
        <v>2.76238928329886+4.04913998711784i</v>
      </c>
      <c r="G124" s="129">
        <f t="shared" si="10"/>
        <v>13.806874231019627</v>
      </c>
      <c r="H124" s="39">
        <f t="shared" si="11"/>
        <v>55.69755445215896</v>
      </c>
    </row>
    <row r="125" spans="1:8" ht="15">
      <c r="A125">
        <f>IF(A124&gt;=$B$5,NA,A124+1)</f>
        <v>117</v>
      </c>
      <c r="B125" s="41">
        <f t="shared" si="12"/>
        <v>214.12988849014025</v>
      </c>
      <c r="C125" t="str">
        <f t="shared" si="7"/>
        <v>0.0827241071172174-0.608321625092055i</v>
      </c>
      <c r="D125" s="129">
        <f t="shared" si="13"/>
        <v>-4.237756169550249</v>
      </c>
      <c r="E125" s="39">
        <f t="shared" si="9"/>
        <v>-82.25599540850864</v>
      </c>
      <c r="F125" t="str">
        <f t="shared" si="8"/>
        <v>2.55452656217547+3.83805177471593i</v>
      </c>
      <c r="G125" s="129">
        <f t="shared" si="10"/>
        <v>13.27486595792761</v>
      </c>
      <c r="H125" s="39">
        <f t="shared" si="11"/>
        <v>56.35309889127001</v>
      </c>
    </row>
    <row r="126" spans="1:8" ht="15">
      <c r="A126">
        <f>IF(A125&gt;=$B$5,NA,A125+1)</f>
        <v>118</v>
      </c>
      <c r="B126" s="41">
        <f t="shared" si="12"/>
        <v>224.18038442674518</v>
      </c>
      <c r="C126" t="str">
        <f t="shared" si="7"/>
        <v>0.0761010143073943-0.581850467744081i</v>
      </c>
      <c r="D126" s="129">
        <f t="shared" si="13"/>
        <v>-4.630108459227414</v>
      </c>
      <c r="E126" s="39">
        <f t="shared" si="9"/>
        <v>-82.54850431040997</v>
      </c>
      <c r="F126" t="str">
        <f t="shared" si="8"/>
        <v>2.36427099038299+3.63957083840558i</v>
      </c>
      <c r="G126" s="129">
        <f t="shared" si="10"/>
        <v>12.74994519753669</v>
      </c>
      <c r="H126" s="39">
        <f t="shared" si="11"/>
        <v>56.99218276031379</v>
      </c>
    </row>
    <row r="127" spans="1:8" ht="15">
      <c r="A127">
        <f>IF(A126&gt;=$B$5,NA,A126+1)</f>
        <v>119</v>
      </c>
      <c r="B127" s="41">
        <f t="shared" si="12"/>
        <v>234.7026149226123</v>
      </c>
      <c r="C127" t="str">
        <f t="shared" si="7"/>
        <v>0.0700425897094204-0.556465597214461i</v>
      </c>
      <c r="D127" s="129">
        <f t="shared" si="13"/>
        <v>-5.022966070419935</v>
      </c>
      <c r="E127" s="39">
        <f t="shared" si="9"/>
        <v>-82.82588161308561</v>
      </c>
      <c r="F127" t="str">
        <f t="shared" si="8"/>
        <v>2.19016229147217+3.45271548385211i</v>
      </c>
      <c r="G127" s="129">
        <f t="shared" si="10"/>
        <v>12.231857516230605</v>
      </c>
      <c r="H127" s="39">
        <f t="shared" si="11"/>
        <v>57.611802939329834</v>
      </c>
    </row>
    <row r="128" spans="1:8" ht="15">
      <c r="A128">
        <f>IF(A127&gt;=$B$5,NA,A127+1)</f>
        <v>120</v>
      </c>
      <c r="B128" s="41">
        <f t="shared" si="12"/>
        <v>245.718721521383</v>
      </c>
      <c r="C128" t="str">
        <f t="shared" si="7"/>
        <v>0.0645019488656786-0.532130893902839i</v>
      </c>
      <c r="D128" s="129">
        <f t="shared" si="13"/>
        <v>-5.416284140796657</v>
      </c>
      <c r="E128" s="39">
        <f t="shared" si="9"/>
        <v>-83.08864188912561</v>
      </c>
      <c r="F128" t="str">
        <f t="shared" si="8"/>
        <v>2.03085309237107+3.27659802764156i</v>
      </c>
      <c r="G128" s="129">
        <f t="shared" si="10"/>
        <v>11.720322214216486</v>
      </c>
      <c r="H128" s="39">
        <f t="shared" si="11"/>
        <v>58.20914247665173</v>
      </c>
    </row>
    <row r="129" spans="1:8" ht="15">
      <c r="A129">
        <f>IF(A128&gt;=$B$5,NA,A128+1)</f>
        <v>121</v>
      </c>
      <c r="B129" s="41">
        <f t="shared" si="12"/>
        <v>257.2518850120656</v>
      </c>
      <c r="C129" t="str">
        <f t="shared" si="7"/>
        <v>0.0594358910613245-0.508810315761537i</v>
      </c>
      <c r="D129" s="129">
        <f t="shared" si="13"/>
        <v>-5.810021378120005</v>
      </c>
      <c r="E129" s="39">
        <f t="shared" si="9"/>
        <v>-83.3372776640079</v>
      </c>
      <c r="F129" t="str">
        <f t="shared" si="8"/>
        <v>1.88510131641608+3.11041468252375i</v>
      </c>
      <c r="G129" s="129">
        <f t="shared" si="10"/>
        <v>11.21503591380192</v>
      </c>
      <c r="H129" s="39">
        <f t="shared" si="11"/>
        <v>58.78157690850015</v>
      </c>
    </row>
    <row r="130" spans="1:8" ht="15">
      <c r="A130">
        <f>IF(A129&gt;=$B$5,NA,A129+1)</f>
        <v>122</v>
      </c>
      <c r="B130" s="41">
        <f t="shared" si="12"/>
        <v>269.3263742075187</v>
      </c>
      <c r="C130" t="str">
        <f t="shared" si="7"/>
        <v>0.0548046450295533-0.486468078321273i</v>
      </c>
      <c r="D130" s="129">
        <f t="shared" si="13"/>
        <v>-6.204139762937694</v>
      </c>
      <c r="E130" s="39">
        <f t="shared" si="9"/>
        <v>-83.5722593832384</v>
      </c>
      <c r="F130" t="str">
        <f t="shared" si="8"/>
        <v>1.75176287416386+2.95343655626949i</v>
      </c>
      <c r="G130" s="129">
        <f t="shared" si="10"/>
        <v>10.715676063624382</v>
      </c>
      <c r="H130" s="39">
        <f t="shared" si="11"/>
        <v>59.32667726554041</v>
      </c>
    </row>
    <row r="131" spans="1:8" ht="15">
      <c r="A131">
        <f>IF(A130&gt;=$B$5,NA,A130+1)</f>
        <v>123</v>
      </c>
      <c r="B131" s="41">
        <f t="shared" si="12"/>
        <v>281.96759701242314</v>
      </c>
      <c r="C131" t="str">
        <f t="shared" si="7"/>
        <v>0.0505716261015535-0.46506880597879i</v>
      </c>
      <c r="D131" s="129">
        <f t="shared" si="13"/>
        <v>-6.598604270670997</v>
      </c>
      <c r="E131" s="39">
        <f t="shared" si="9"/>
        <v>-83.79403546269879</v>
      </c>
      <c r="F131" t="str">
        <f t="shared" si="8"/>
        <v>1.62978468178072+2.80500165039023i</v>
      </c>
      <c r="G131" s="129">
        <f t="shared" si="10"/>
        <v>10.221904284366595</v>
      </c>
      <c r="H131" s="39">
        <f t="shared" si="11"/>
        <v>59.84221004361417</v>
      </c>
    </row>
    <row r="132" spans="1:8" ht="15">
      <c r="A132">
        <f>IF(A131&gt;=$B$5,NA,A131+1)</f>
        <v>124</v>
      </c>
      <c r="B132" s="41">
        <f t="shared" si="12"/>
        <v>295.20215388820515</v>
      </c>
      <c r="C132" t="str">
        <f t="shared" si="7"/>
        <v>0.0467032054636316-0.444577657922397i</v>
      </c>
      <c r="D132" s="129">
        <f t="shared" si="13"/>
        <v>-6.993382612064197</v>
      </c>
      <c r="E132" s="39">
        <f t="shared" si="9"/>
        <v>-84.00303240752376</v>
      </c>
      <c r="F132" t="str">
        <f t="shared" si="8"/>
        <v>1.51819802620491+2.66450775453706i</v>
      </c>
      <c r="G132" s="129">
        <f t="shared" si="10"/>
        <v>9.733369493492077</v>
      </c>
      <c r="H132" s="39">
        <f t="shared" si="11"/>
        <v>60.326134485088815</v>
      </c>
    </row>
    <row r="133" spans="1:8" ht="15">
      <c r="A133">
        <f>IF(A132&gt;=$B$5,NA,A132+1)</f>
        <v>125</v>
      </c>
      <c r="B133" s="41">
        <f t="shared" si="12"/>
        <v>309.0578938274108</v>
      </c>
      <c r="C133" t="str">
        <f t="shared" si="7"/>
        <v>0.0431684918818395-0.424960431760701i</v>
      </c>
      <c r="D133" s="129">
        <f t="shared" si="13"/>
        <v>-7.388444990911093</v>
      </c>
      <c r="E133" s="39">
        <f t="shared" si="9"/>
        <v>-84.19965498655543</v>
      </c>
      <c r="F133" t="str">
        <f t="shared" si="8"/>
        <v>1.41611228767542+2.53140614167003i</v>
      </c>
      <c r="G133" s="129">
        <f t="shared" si="10"/>
        <v>9.249710759587307</v>
      </c>
      <c r="H133" s="39">
        <f t="shared" si="11"/>
        <v>60.77659756575986</v>
      </c>
    </row>
    <row r="134" spans="1:8" ht="15">
      <c r="A134">
        <f>IF(A133&gt;=$B$5,NA,A133+1)</f>
        <v>126</v>
      </c>
      <c r="B134" s="41">
        <f t="shared" si="12"/>
        <v>323.5639729553187</v>
      </c>
      <c r="C134" t="str">
        <f t="shared" si="7"/>
        <v>0.0399391260116949-0.406183647623216i</v>
      </c>
      <c r="D134" s="129">
        <f t="shared" si="13"/>
        <v>-7.783763877947019</v>
      </c>
      <c r="E134" s="39">
        <f t="shared" si="9"/>
        <v>-84.38428645098408</v>
      </c>
      <c r="F134" t="str">
        <f t="shared" si="8"/>
        <v>1.32270902333041+2.40519597793843i</v>
      </c>
      <c r="G134" s="129">
        <f t="shared" si="10"/>
        <v>8.770559850226094</v>
      </c>
      <c r="H134" s="39">
        <f t="shared" si="11"/>
        <v>61.19192711069473</v>
      </c>
    </row>
    <row r="135" spans="1:8" ht="15">
      <c r="A135">
        <f>IF(A134&gt;=$B$5,NA,A134+1)</f>
        <v>127</v>
      </c>
      <c r="B135" s="41">
        <f aca="true" t="shared" si="14" ref="B135:B198">10^(LOG10($B$1)+A135*$B$4/$B$5)</f>
        <v>338.75091588210677</v>
      </c>
      <c r="C135" t="str">
        <f t="shared" si="7"/>
        <v>0.0369890872182837-0.388214615221929i</v>
      </c>
      <c r="D135" s="129">
        <f aca="true" t="shared" si="15" ref="D135:D198">20*LOG10(IMABS(C135))</f>
        <v>-8.179313799786446</v>
      </c>
      <c r="E135" s="39">
        <f t="shared" si="9"/>
        <v>-84.557288787197</v>
      </c>
      <c r="F135" t="str">
        <f t="shared" si="8"/>
        <v>1.23723641014458+2.28541936954998i</v>
      </c>
      <c r="G135" s="129">
        <f t="shared" si="10"/>
        <v>8.295543450218407</v>
      </c>
      <c r="H135" s="39">
        <f t="shared" si="11"/>
        <v>61.57062347258521</v>
      </c>
    </row>
    <row r="136" spans="1:8" ht="15">
      <c r="A136">
        <f>IF(A135&gt;=$B$5,NA,A135+1)</f>
        <v>128</v>
      </c>
      <c r="B136" s="41">
        <f t="shared" si="14"/>
        <v>354.6506799346672</v>
      </c>
      <c r="C136" t="str">
        <f t="shared" si="7"/>
        <v>0.0342945126823133-0.371021486102339i</v>
      </c>
      <c r="D136" s="129">
        <f t="shared" si="15"/>
        <v>-8.575071141787504</v>
      </c>
      <c r="E136" s="39">
        <f t="shared" si="9"/>
        <v>-84.71900299512373</v>
      </c>
      <c r="F136" t="str">
        <f t="shared" si="8"/>
        <v>1.15900404127341+2.17165697668237i</v>
      </c>
      <c r="G136" s="129">
        <f t="shared" si="10"/>
        <v>7.824285039168792</v>
      </c>
      <c r="H136" s="39">
        <f t="shared" si="11"/>
        <v>61.91135020061923</v>
      </c>
    </row>
    <row r="137" spans="1:8" ht="15">
      <c r="A137">
        <f>IF(A136&gt;=$B$5,NA,A136+1)</f>
        <v>129</v>
      </c>
      <c r="B137" s="41">
        <f t="shared" si="14"/>
        <v>371.29672240323964</v>
      </c>
      <c r="C137" t="str">
        <f aca="true" t="shared" si="16" ref="C137:C200">IMDIV(IMPRODUCT(Go,COMPLEX(1,Rcout*Cout*2*PI()*B137),COMPLEX(1,-Lp*Vc*2*PI()*B137/(8*Rsense*Vinmin*SQRT(2)))),COMPLEX(1,Req*Cout*2*PI()*B137))</f>
        <v>0.0318335284535554-0.354573293071495i</v>
      </c>
      <c r="D137" s="129">
        <f t="shared" si="15"/>
        <v>-8.971013963738057</v>
      </c>
      <c r="E137" s="39">
        <f t="shared" si="9"/>
        <v>-84.86974938450008</v>
      </c>
      <c r="F137" t="str">
        <f aca="true" t="shared" si="17" ref="F137:F200">IMPRODUCT(IMDIV(IMPRODUCT(-Ho,COMPLEX(1,Rupper*Czero*2*PI()*B137)),IMPRODUCT(COMPLEX(1,Rpullup*(Copto+Cpole)*2*PI()*B137),COMPLEX(0,Rupper*Czero*2*PI()*B137))),C137)</f>
        <v>1.08737806670197+2.06352413167616i</v>
      </c>
      <c r="G137" s="129">
        <f t="shared" si="10"/>
        <v>7.356406428084288</v>
      </c>
      <c r="H137" s="39">
        <f t="shared" si="11"/>
        <v>62.2129241095976</v>
      </c>
    </row>
    <row r="138" spans="1:8" ht="15">
      <c r="A138">
        <f>IF(A137&gt;=$B$5,NA,A137+1)</f>
        <v>130</v>
      </c>
      <c r="B138" s="41">
        <f t="shared" si="14"/>
        <v>388.7240709443584</v>
      </c>
      <c r="C138" t="str">
        <f t="shared" si="16"/>
        <v>0.0295860920285307-0.338839978569419i</v>
      </c>
      <c r="D138" s="129">
        <f t="shared" si="15"/>
        <v>-9.367121827279036</v>
      </c>
      <c r="E138" s="39">
        <f aca="true" t="shared" si="18" ref="E138:E201">IMARGUMENT(C138)*180/PI()</f>
        <v>-85.00982788248893</v>
      </c>
      <c r="F138" t="str">
        <f t="shared" si="17"/>
        <v>1.02177666678539+1.96066740533621i</v>
      </c>
      <c r="G138" s="129">
        <f aca="true" t="shared" si="19" ref="G138:G201">20*LOG10(IMABS(F138))</f>
        <v>6.891528964129768</v>
      </c>
      <c r="H138" s="39">
        <f aca="true" t="shared" si="20" ref="H138:H201">IMARGUMENT(F138)*180/PI()</f>
        <v>62.47430513107662</v>
      </c>
    </row>
    <row r="139" spans="1:8" ht="15">
      <c r="A139">
        <f>IF(A138&gt;=$B$5,NA,A138+1)</f>
        <v>131</v>
      </c>
      <c r="B139" s="41">
        <f t="shared" si="14"/>
        <v>406.96939728826436</v>
      </c>
      <c r="C139" t="str">
        <f t="shared" si="16"/>
        <v>0.0275338459690859-0.323792413548785i</v>
      </c>
      <c r="D139" s="129">
        <f t="shared" si="15"/>
        <v>-9.763375634003722</v>
      </c>
      <c r="E139" s="39">
        <f t="shared" si="18"/>
        <v>-85.13951834699779</v>
      </c>
      <c r="F139" t="str">
        <f t="shared" si="17"/>
        <v>0.961665845667516+1.86276157116835i</v>
      </c>
      <c r="G139" s="129">
        <f t="shared" si="19"/>
        <v>6.429274420457583</v>
      </c>
      <c r="H139" s="39">
        <f t="shared" si="20"/>
        <v>62.69458629369299</v>
      </c>
    </row>
    <row r="140" spans="1:8" ht="15">
      <c r="A140">
        <f>IF(A139&gt;=$B$5,NA,A139+1)</f>
        <v>132</v>
      </c>
      <c r="B140" s="41">
        <f t="shared" si="14"/>
        <v>426.0710944058837</v>
      </c>
      <c r="C140" t="str">
        <f t="shared" si="16"/>
        <v>0.0256599820381681-0.309402408244853i</v>
      </c>
      <c r="D140" s="129">
        <f t="shared" si="15"/>
        <v>-10.15975747320109</v>
      </c>
      <c r="E140" s="39">
        <f t="shared" si="18"/>
        <v>-85.25908088083749</v>
      </c>
      <c r="F140" t="str">
        <f t="shared" si="17"/>
        <v>0.906555530543445+1.76950692280313i</v>
      </c>
      <c r="G140" s="129">
        <f t="shared" si="19"/>
        <v>5.969265594359974</v>
      </c>
      <c r="H140" s="39">
        <f t="shared" si="20"/>
        <v>62.8729841411735</v>
      </c>
    </row>
    <row r="141" spans="1:8" ht="15">
      <c r="A141">
        <f>IF(A140&gt;=$B$5,NA,A140+1)</f>
        <v>133</v>
      </c>
      <c r="B141" s="41">
        <f t="shared" si="14"/>
        <v>446.06935729774716</v>
      </c>
      <c r="C141" t="str">
        <f t="shared" si="16"/>
        <v>0.0239491153048639-0.295642716052742i</v>
      </c>
      <c r="D141" s="129">
        <f t="shared" si="15"/>
        <v>-10.556250478239125</v>
      </c>
      <c r="E141" s="39">
        <f t="shared" si="18"/>
        <v>-85.36875614258055</v>
      </c>
      <c r="F141" t="str">
        <f t="shared" si="17"/>
        <v>0.85599596218125+1.68062690473448i</v>
      </c>
      <c r="G141" s="129">
        <f t="shared" si="19"/>
        <v>5.511126641926738</v>
      </c>
      <c r="H141" s="39">
        <f t="shared" si="20"/>
        <v>63.008829856057204</v>
      </c>
    </row>
    <row r="142" spans="1:8" ht="15">
      <c r="A142">
        <f>IF(A141&gt;=$B$5,NA,A141+1)</f>
        <v>134</v>
      </c>
      <c r="B142" s="41">
        <f t="shared" si="14"/>
        <v>467.0062675748541</v>
      </c>
      <c r="C142" t="str">
        <f t="shared" si="16"/>
        <v>0.0223871676593953-0.282487031580837i</v>
      </c>
      <c r="D142" s="129">
        <f t="shared" si="15"/>
        <v>-10.952838690614747</v>
      </c>
      <c r="E142" s="39">
        <f t="shared" si="18"/>
        <v>-85.468765650614</v>
      </c>
      <c r="F142" t="str">
        <f t="shared" si="17"/>
        <v>0.809574361941528+1.59586602085247i</v>
      </c>
      <c r="G142" s="129">
        <f t="shared" si="19"/>
        <v>5.054483181092476</v>
      </c>
      <c r="H142" s="39">
        <f t="shared" si="20"/>
        <v>63.10156131658081</v>
      </c>
    </row>
    <row r="143" spans="1:8" ht="15">
      <c r="A143">
        <f>IF(A142&gt;=$B$5,NA,A142+1)</f>
        <v>135</v>
      </c>
      <c r="B143" s="41">
        <f t="shared" si="14"/>
        <v>488.92588200946506</v>
      </c>
      <c r="C143" t="str">
        <f t="shared" si="16"/>
        <v>0.0209612601775834-0.269909983816459i</v>
      </c>
      <c r="D143" s="129">
        <f t="shared" si="15"/>
        <v>-11.34950693072404</v>
      </c>
      <c r="E143" s="39">
        <f t="shared" si="18"/>
        <v>-85.55931207744554</v>
      </c>
      <c r="F143" t="str">
        <f t="shared" si="17"/>
        <v>0.76691186064952+1.51498798910766i</v>
      </c>
      <c r="G143" s="129">
        <f t="shared" si="19"/>
        <v>4.5989621976326305</v>
      </c>
      <c r="H143" s="39">
        <f t="shared" si="20"/>
        <v>63.15071627472036</v>
      </c>
    </row>
    <row r="144" spans="1:8" ht="15">
      <c r="A144">
        <f>IF(A143&gt;=$B$5,NA,A143+1)</f>
        <v>136</v>
      </c>
      <c r="B144" s="41">
        <f t="shared" si="14"/>
        <v>511.87432524215035</v>
      </c>
      <c r="C144" t="str">
        <f t="shared" si="16"/>
        <v>0.0196596137810295-0.257887125221483i</v>
      </c>
      <c r="D144" s="129">
        <f t="shared" si="15"/>
        <v>-11.746240674434441</v>
      </c>
      <c r="E144" s="39">
        <f t="shared" si="18"/>
        <v>-85.6405795318278</v>
      </c>
      <c r="F144" t="str">
        <f t="shared" si="17"/>
        <v>0.727660675011654+1.43777411403764i</v>
      </c>
      <c r="G144" s="129">
        <f t="shared" si="19"/>
        <v>4.1441917905103285</v>
      </c>
      <c r="H144" s="39">
        <f t="shared" si="20"/>
        <v>63.15592680576413</v>
      </c>
    </row>
    <row r="145" spans="1:8" ht="15">
      <c r="A145">
        <f>IF(A144&gt;=$B$5,NA,A144+1)</f>
        <v>137</v>
      </c>
      <c r="B145" s="41">
        <f t="shared" si="14"/>
        <v>535.8998868401778</v>
      </c>
      <c r="C145" t="str">
        <f t="shared" si="16"/>
        <v>0.0184714576520674-0.246394917470285i</v>
      </c>
      <c r="D145" s="129">
        <f t="shared" si="15"/>
        <v>-12.143025934564541</v>
      </c>
      <c r="E145" s="39">
        <f t="shared" si="18"/>
        <v>-85.71273382671615</v>
      </c>
      <c r="F145" t="str">
        <f t="shared" si="17"/>
        <v>0.691501517764684+1.36402185184523i</v>
      </c>
      <c r="G145" s="129">
        <f t="shared" si="19"/>
        <v>3.6898007941840776</v>
      </c>
      <c r="H145" s="39">
        <f t="shared" si="20"/>
        <v>63.11691514431303</v>
      </c>
    </row>
    <row r="146" spans="1:8" ht="15">
      <c r="A146">
        <f>IF(A145&gt;=$B$5,NA,A145+1)</f>
        <v>138</v>
      </c>
      <c r="B146" s="41">
        <f t="shared" si="14"/>
        <v>561.0531229114812</v>
      </c>
      <c r="C146" t="str">
        <f t="shared" si="16"/>
        <v>0.0173869448798634-0.235410714448993i</v>
      </c>
      <c r="D146" s="129">
        <f t="shared" si="15"/>
        <v>-12.53984914639819</v>
      </c>
      <c r="E146" s="39">
        <f t="shared" si="18"/>
        <v>-85.77592273148284</v>
      </c>
      <c r="F146" t="str">
        <f t="shared" si="17"/>
        <v>0.658141228345896+1.29354354527275i</v>
      </c>
      <c r="G146" s="129">
        <f t="shared" si="19"/>
        <v>3.235418316232011</v>
      </c>
      <c r="H146" s="39">
        <f t="shared" si="20"/>
        <v>63.033490988207305</v>
      </c>
    </row>
    <row r="147" spans="1:8" ht="15">
      <c r="A147">
        <f>IF(A146&gt;=$B$5,NA,A146+1)</f>
        <v>139</v>
      </c>
      <c r="B147" s="41">
        <f t="shared" si="14"/>
        <v>587.3869624880199</v>
      </c>
      <c r="C147" t="str">
        <f t="shared" si="16"/>
        <v>0.0163970748346267-0.224912743052349i</v>
      </c>
      <c r="D147" s="129">
        <f t="shared" si="15"/>
        <v>-12.936697056378533</v>
      </c>
      <c r="E147" s="39">
        <f t="shared" si="18"/>
        <v>-85.83027620717893</v>
      </c>
      <c r="F147" t="str">
        <f t="shared" si="17"/>
        <v>0.627310611526847+1.22616530769675i</v>
      </c>
      <c r="G147" s="129">
        <f t="shared" si="19"/>
        <v>2.7806732290635554</v>
      </c>
      <c r="H147" s="39">
        <f t="shared" si="20"/>
        <v>62.90555032020973</v>
      </c>
    </row>
    <row r="148" spans="1:8" ht="15">
      <c r="A148">
        <f>IF(A147&gt;=$B$5,NA,A147+1)</f>
        <v>140</v>
      </c>
      <c r="B148" s="41">
        <f t="shared" si="14"/>
        <v>614.9568189024008</v>
      </c>
      <c r="C148" t="str">
        <f t="shared" si="16"/>
        <v>0.0154936217897108-0.214880082241565i</v>
      </c>
      <c r="D148" s="129">
        <f t="shared" si="15"/>
        <v>-13.33355661314121</v>
      </c>
      <c r="E148" s="39">
        <f t="shared" si="18"/>
        <v>-85.87590662397498</v>
      </c>
      <c r="F148" t="str">
        <f t="shared" si="17"/>
        <v>0.598762472115826+1.16172603770432i</v>
      </c>
      <c r="G148" s="129">
        <f t="shared" si="19"/>
        <v>2.325193654677868</v>
      </c>
      <c r="H148" s="39">
        <f t="shared" si="20"/>
        <v>62.73307576677116</v>
      </c>
    </row>
    <row r="149" spans="1:8" ht="15">
      <c r="A149">
        <f>IF(A148&gt;=$B$5,NA,A148+1)</f>
        <v>141</v>
      </c>
      <c r="B149" s="41">
        <f t="shared" si="14"/>
        <v>643.8207063921232</v>
      </c>
      <c r="C149" t="str">
        <f t="shared" si="16"/>
        <v>0.0146690693356182-0.205292640762277i</v>
      </c>
      <c r="D149" s="129">
        <f t="shared" si="15"/>
        <v>-13.73041486005809</v>
      </c>
      <c r="E149" s="39">
        <f t="shared" si="18"/>
        <v>-85.91290896022493</v>
      </c>
      <c r="F149" t="str">
        <f t="shared" si="17"/>
        <v>0.572269834462485+1.10007654693654i</v>
      </c>
      <c r="G149" s="129">
        <f t="shared" si="19"/>
        <v>1.8686064814370453</v>
      </c>
      <c r="H149" s="39">
        <f t="shared" si="20"/>
        <v>62.51613848317497</v>
      </c>
    </row>
    <row r="150" spans="1:8" ht="15">
      <c r="A150">
        <f>IF(A149&gt;=$B$5,NA,A149+1)</f>
        <v>142</v>
      </c>
      <c r="B150" s="41">
        <f t="shared" si="14"/>
        <v>674.0393621768064</v>
      </c>
      <c r="C150" t="str">
        <f t="shared" si="16"/>
        <v>0.0139165501549064-0.196131133865323i</v>
      </c>
      <c r="D150" s="129">
        <f t="shared" si="15"/>
        <v>-14.1272588284664</v>
      </c>
      <c r="E150" s="39">
        <f t="shared" si="18"/>
        <v>-85.9413609828947</v>
      </c>
      <c r="F150" t="str">
        <f t="shared" si="17"/>
        <v>0.547624336052318+1.04107878523234i</v>
      </c>
      <c r="G150" s="129">
        <f t="shared" si="19"/>
        <v>1.410536951663722</v>
      </c>
      <c r="H150" s="39">
        <f t="shared" si="20"/>
        <v>62.254901524076594</v>
      </c>
    </row>
    <row r="151" spans="1:8" ht="15">
      <c r="A151">
        <f>IF(A150&gt;=$B$5,NA,A150+1)</f>
        <v>143</v>
      </c>
      <c r="B151" s="41">
        <f t="shared" si="14"/>
        <v>705.6763742652973</v>
      </c>
      <c r="C151" t="str">
        <f t="shared" si="16"/>
        <v>0.013229790752202-0.187377059323461i</v>
      </c>
      <c r="D151" s="129">
        <f t="shared" si="15"/>
        <v>-14.524075430764224</v>
      </c>
      <c r="E151" s="39">
        <f t="shared" si="18"/>
        <v>-85.96132340938242</v>
      </c>
      <c r="F151" t="str">
        <f t="shared" si="17"/>
        <v>0.524634784921175+0.984605148113226i</v>
      </c>
      <c r="G151" s="129">
        <f t="shared" si="19"/>
        <v>0.9506083584939128</v>
      </c>
      <c r="H151" s="39">
        <f t="shared" si="20"/>
        <v>61.94962462719054</v>
      </c>
    </row>
    <row r="152" spans="1:8" ht="15">
      <c r="A152">
        <f>IF(A151&gt;=$B$5,NA,A151+1)</f>
        <v>144</v>
      </c>
      <c r="B152" s="41">
        <f t="shared" si="14"/>
        <v>738.7983152615827</v>
      </c>
      <c r="C152" t="str">
        <f t="shared" si="16"/>
        <v>0.0126030607585783-0.17901267299391i</v>
      </c>
      <c r="D152" s="129">
        <f t="shared" si="15"/>
        <v>-14.920851352546915</v>
      </c>
      <c r="E152" s="39">
        <f t="shared" si="18"/>
        <v>-85.97284005103577</v>
      </c>
      <c r="F152" t="str">
        <f t="shared" si="17"/>
        <v>0.503125870917488+0.930537852462222i</v>
      </c>
      <c r="G152" s="129">
        <f t="shared" si="19"/>
        <v>0.48844188975062897</v>
      </c>
      <c r="H152" s="39">
        <f t="shared" si="20"/>
        <v>61.60067030506755</v>
      </c>
    </row>
    <row r="153" spans="1:8" ht="15">
      <c r="A153">
        <f>IF(A152&gt;=$B$5,NA,A152+1)</f>
        <v>145</v>
      </c>
      <c r="B153" s="41">
        <f t="shared" si="14"/>
        <v>773.4748824510764</v>
      </c>
      <c r="C153" t="str">
        <f t="shared" si="16"/>
        <v>0.0120311264541064-0.171020964138647i</v>
      </c>
      <c r="D153" s="129">
        <f t="shared" si="15"/>
        <v>-15.31757294295609</v>
      </c>
      <c r="E153" s="39">
        <f t="shared" si="18"/>
        <v>-85.97593793895028</v>
      </c>
      <c r="F153" t="str">
        <f t="shared" si="17"/>
        <v>0.482937020961953+0.878768366914556i</v>
      </c>
      <c r="G153" s="129">
        <f t="shared" si="19"/>
        <v>0.023656655498617868</v>
      </c>
      <c r="H153" s="39">
        <f t="shared" si="20"/>
        <v>61.20851110510223</v>
      </c>
    </row>
    <row r="154" spans="1:8" ht="15">
      <c r="A154">
        <f>IF(A153&gt;=$B$5,NA,A153+1)</f>
        <v>146</v>
      </c>
      <c r="B154" s="41">
        <f t="shared" si="14"/>
        <v>809.7790444620636</v>
      </c>
      <c r="C154" t="str">
        <f t="shared" si="16"/>
        <v>0.0115092081762344-0.163385630681443i</v>
      </c>
      <c r="D154" s="129">
        <f t="shared" si="15"/>
        <v>-15.714226102399033</v>
      </c>
      <c r="E154" s="39">
        <f t="shared" si="18"/>
        <v>-85.97062743291937</v>
      </c>
      <c r="F154" t="str">
        <f t="shared" si="17"/>
        <v>0.463921388379225+0.829196884052841i</v>
      </c>
      <c r="G154" s="129">
        <f t="shared" si="19"/>
        <v>-0.4441300657442919</v>
      </c>
      <c r="H154" s="39">
        <f t="shared" si="20"/>
        <v>60.77373786100573</v>
      </c>
    </row>
    <row r="155" spans="1:8" ht="15">
      <c r="A155">
        <f>IF(A154&gt;=$B$5,NA,A154+1)</f>
        <v>147</v>
      </c>
      <c r="B155" s="41">
        <f t="shared" si="14"/>
        <v>847.7871948109046</v>
      </c>
      <c r="C155" t="str">
        <f t="shared" si="16"/>
        <v>0.0110329413046121-0.156091054551858i</v>
      </c>
      <c r="D155" s="129">
        <f t="shared" si="15"/>
        <v>-16.110796166782123</v>
      </c>
      <c r="E155" s="39">
        <f t="shared" si="18"/>
        <v>-85.95690231470094</v>
      </c>
      <c r="F155" t="str">
        <f t="shared" si="17"/>
        <v>0.445944966089367+0.781731822047623i</v>
      </c>
      <c r="G155" s="129">
        <f t="shared" si="19"/>
        <v>-0.9153023296296501</v>
      </c>
      <c r="H155" s="39">
        <f t="shared" si="20"/>
        <v>60.29706872017228</v>
      </c>
    </row>
    <row r="156" spans="1:8" ht="15">
      <c r="A156">
        <f>IF(A155&gt;=$B$5,NA,A155+1)</f>
        <v>148</v>
      </c>
      <c r="B156" s="41">
        <f t="shared" si="14"/>
        <v>887.5793126541128</v>
      </c>
      <c r="C156" t="str">
        <f t="shared" si="16"/>
        <v>0.0105983405349327-0.14912227724145i</v>
      </c>
      <c r="D156" s="129">
        <f t="shared" si="15"/>
        <v>-16.507267787382396</v>
      </c>
      <c r="E156" s="39">
        <f t="shared" si="18"/>
        <v>-85.9347398670807</v>
      </c>
      <c r="F156" t="str">
        <f t="shared" si="17"/>
        <v>0.428885812947698+0.736289343975428i</v>
      </c>
      <c r="G156" s="129">
        <f t="shared" si="19"/>
        <v>-1.390244748374011</v>
      </c>
      <c r="H156" s="39">
        <f t="shared" si="20"/>
        <v>59.77935869126618</v>
      </c>
    </row>
    <row r="157" spans="1:8" ht="15">
      <c r="A157">
        <f>IF(A156&gt;=$B$5,NA,A156+1)</f>
        <v>149</v>
      </c>
      <c r="B157" s="41">
        <f t="shared" si="14"/>
        <v>929.2391310855584</v>
      </c>
      <c r="C157" t="str">
        <f t="shared" si="16"/>
        <v>0.0102017671752493-0.142464975675838i</v>
      </c>
      <c r="D157" s="129">
        <f t="shared" si="15"/>
        <v>-16.90362480545624</v>
      </c>
      <c r="E157" s="39">
        <f t="shared" si="18"/>
        <v>-85.90410094055001</v>
      </c>
      <c r="F157" t="str">
        <f t="shared" si="17"/>
        <v>0.412633381825313+0.692792883756956i</v>
      </c>
      <c r="G157" s="129">
        <f t="shared" si="19"/>
        <v>-1.8693414084873692</v>
      </c>
      <c r="H157" s="39">
        <f t="shared" si="20"/>
        <v>59.22160941608301</v>
      </c>
    </row>
    <row r="158" spans="1:8" ht="15">
      <c r="A158">
        <f>IF(A157&gt;=$B$5,NA,A157+1)</f>
        <v>150</v>
      </c>
      <c r="B158" s="41">
        <f t="shared" si="14"/>
        <v>972.8543133329434</v>
      </c>
      <c r="C158" t="str">
        <f t="shared" si="16"/>
        <v>0.00983989921798037-0.136105438487514i</v>
      </c>
      <c r="D158" s="129">
        <f t="shared" si="15"/>
        <v>-17.29985012065721</v>
      </c>
      <c r="E158" s="39">
        <f t="shared" si="18"/>
        <v>-85.86493000978382</v>
      </c>
      <c r="F158" t="str">
        <f t="shared" si="17"/>
        <v>0.397087937163358+0.651172668562518i</v>
      </c>
      <c r="G158" s="129">
        <f t="shared" si="19"/>
        <v>-2.352974465370622</v>
      </c>
      <c r="H158" s="39">
        <f t="shared" si="20"/>
        <v>58.62497883086974</v>
      </c>
    </row>
    <row r="159" spans="1:8" ht="15">
      <c r="A159">
        <f>IF(A158&gt;=$B$5,NA,A158+1)</f>
        <v>151</v>
      </c>
      <c r="B159" s="41">
        <f t="shared" si="14"/>
        <v>1018.5166372243209</v>
      </c>
      <c r="C159" t="str">
        <f t="shared" si="16"/>
        <v>0.00950970395944245-0.130030542758149i</v>
      </c>
      <c r="D159" s="129">
        <f t="shared" si="15"/>
        <v>-17.695925552302946</v>
      </c>
      <c r="E159" s="39">
        <f t="shared" si="18"/>
        <v>-85.81715522250946</v>
      </c>
      <c r="F159" t="str">
        <f t="shared" si="17"/>
        <v>0.382160048769553+0.611365228703216i</v>
      </c>
      <c r="G159" s="129">
        <f t="shared" si="19"/>
        <v>-2.8415224037684395</v>
      </c>
      <c r="H159" s="39">
        <f t="shared" si="20"/>
        <v>57.99079034693245</v>
      </c>
    </row>
    <row r="160" spans="1:8" ht="15">
      <c r="A160">
        <f>IF(A159&gt;=$B$5,NA,A159+1)</f>
        <v>152</v>
      </c>
      <c r="B160" s="41">
        <f t="shared" si="14"/>
        <v>1066.3221883128094</v>
      </c>
      <c r="C160" t="str">
        <f t="shared" si="16"/>
        <v>0.00920841295623524-0.124227731285217i</v>
      </c>
      <c r="D160" s="129">
        <f t="shared" si="15"/>
        <v>-18.091831692495756</v>
      </c>
      <c r="E160" s="39">
        <f t="shared" si="18"/>
        <v>-85.76068844380555</v>
      </c>
      <c r="F160" t="str">
        <f t="shared" si="17"/>
        <v>0.367770147636296+0.57331288752562i</v>
      </c>
      <c r="G160" s="129">
        <f t="shared" si="19"/>
        <v>-3.3353579620425715</v>
      </c>
      <c r="H160" s="39">
        <f t="shared" si="20"/>
        <v>57.320541151079176</v>
      </c>
    </row>
    <row r="161" spans="1:8" ht="15">
      <c r="A161">
        <f>IF(A160&gt;=$B$5,NA,A160+1)</f>
        <v>153</v>
      </c>
      <c r="B161" s="41">
        <f t="shared" si="14"/>
        <v>1116.3715620658952</v>
      </c>
      <c r="C161" t="str">
        <f t="shared" si="16"/>
        <v>0.0089334991241711-0.118684990415793i</v>
      </c>
      <c r="D161" s="129">
        <f t="shared" si="15"/>
        <v>-18.487547750064365</v>
      </c>
      <c r="E161" s="39">
        <f t="shared" si="18"/>
        <v>-85.69542529937206</v>
      </c>
      <c r="F161" t="str">
        <f t="shared" si="17"/>
        <v>0.353848128650777+0.53696322569728i</v>
      </c>
      <c r="G161" s="129">
        <f t="shared" si="19"/>
        <v>-3.834845728683214</v>
      </c>
      <c r="H161" s="39">
        <f t="shared" si="20"/>
        <v>56.61590920614253</v>
      </c>
    </row>
    <row r="162" spans="1:8" ht="15">
      <c r="A162">
        <f>IF(A161&gt;=$B$5,NA,A161+1)</f>
        <v>154</v>
      </c>
      <c r="B162" s="41">
        <f t="shared" si="14"/>
        <v>1168.7700755447888</v>
      </c>
      <c r="C162" t="str">
        <f t="shared" si="16"/>
        <v>0.00868265580072462-0.113390828480158i</v>
      </c>
      <c r="D162" s="129">
        <f t="shared" si="15"/>
        <v>-18.883051384252255</v>
      </c>
      <c r="E162" s="39">
        <f t="shared" si="18"/>
        <v>-85.62124522187183</v>
      </c>
      <c r="F162" t="str">
        <f t="shared" si="17"/>
        <v>0.340332984363283+0.502268516524134i</v>
      </c>
      <c r="G162" s="129">
        <f t="shared" si="19"/>
        <v>-4.340339431227893</v>
      </c>
      <c r="H162" s="39">
        <f t="shared" si="20"/>
        <v>55.8787585235841</v>
      </c>
    </row>
    <row r="163" spans="1:8" ht="15">
      <c r="A163">
        <f>IF(A162&gt;=$B$5,NA,A162+1)</f>
        <v>155</v>
      </c>
      <c r="B163" s="41">
        <f t="shared" si="14"/>
        <v>1223.627989019252</v>
      </c>
      <c r="C163" t="str">
        <f t="shared" si="16"/>
        <v>0.00845377760620803-0.108334254849051i</v>
      </c>
      <c r="D163" s="129">
        <f t="shared" si="15"/>
        <v>-19.278318527039225</v>
      </c>
      <c r="E163" s="39">
        <f t="shared" si="18"/>
        <v>-85.53801150507252</v>
      </c>
      <c r="F163" t="str">
        <f t="shared" si="17"/>
        <v>0.327172453617544+0.469185131556132i</v>
      </c>
      <c r="G163" s="129">
        <f t="shared" si="19"/>
        <v>-4.8521789504863</v>
      </c>
      <c r="H163" s="39">
        <f t="shared" si="20"/>
        <v>55.11114228704974</v>
      </c>
    </row>
    <row r="164" spans="1:8" ht="15">
      <c r="A164">
        <f>IF(A163&gt;=$B$5,NA,A163+1)</f>
        <v>156</v>
      </c>
      <c r="B164" s="41">
        <f t="shared" si="14"/>
        <v>1281.0607379842352</v>
      </c>
      <c r="C164" t="str">
        <f t="shared" si="16"/>
        <v>0.00824494295210632-0.103504759631009i</v>
      </c>
      <c r="D164" s="129">
        <f t="shared" si="15"/>
        <v>-19.67332319293678</v>
      </c>
      <c r="E164" s="39">
        <f t="shared" si="18"/>
        <v>-85.44557137122385</v>
      </c>
      <c r="F164" t="str">
        <f t="shared" si="17"/>
        <v>0.314322668966413+0.437672918647642i</v>
      </c>
      <c r="G164" s="129">
        <f t="shared" si="19"/>
        <v>-5.370687106192909</v>
      </c>
      <c r="H164" s="39">
        <f t="shared" si="20"/>
        <v>54.31530343039666</v>
      </c>
    </row>
    <row r="165" spans="1:8" ht="15">
      <c r="A165">
        <f>IF(A164&gt;=$B$5,NA,A164+1)</f>
        <v>157</v>
      </c>
      <c r="B165" s="41">
        <f t="shared" si="14"/>
        <v>1341.189176066562</v>
      </c>
      <c r="C165" t="str">
        <f t="shared" si="16"/>
        <v>0.00805439805727312-0.0988922940198817i</v>
      </c>
      <c r="D165" s="129">
        <f t="shared" si="15"/>
        <v>-20.068037275058774</v>
      </c>
      <c r="E165" s="39">
        <f t="shared" si="18"/>
        <v>-85.34375605789685</v>
      </c>
      <c r="F165" t="str">
        <f t="shared" si="17"/>
        <v>0.301747787524335+0.407694557729082i</v>
      </c>
      <c r="G165" s="129">
        <f t="shared" si="19"/>
        <v>-5.896166273311981</v>
      </c>
      <c r="H165" s="39">
        <f t="shared" si="20"/>
        <v>53.49367231814512</v>
      </c>
    </row>
    <row r="166" spans="1:8" ht="15">
      <c r="A166">
        <f>IF(A165&gt;=$B$5,NA,A165+1)</f>
        <v>158</v>
      </c>
      <c r="B166" s="41">
        <f t="shared" si="14"/>
        <v>1404.139829332774</v>
      </c>
      <c r="C166" t="str">
        <f t="shared" si="16"/>
        <v>0.00788054234405401-0.0944872512972802i</v>
      </c>
      <c r="D166" s="129">
        <f t="shared" si="15"/>
        <v>-20.462430326228713</v>
      </c>
      <c r="E166" s="39">
        <f t="shared" si="18"/>
        <v>-85.23238093139922</v>
      </c>
      <c r="F166" t="str">
        <f t="shared" si="17"/>
        <v>0.289419591343386+0.37921490265462i</v>
      </c>
      <c r="G166" s="129">
        <f t="shared" si="19"/>
        <v>-6.428894900443584</v>
      </c>
      <c r="H166" s="39">
        <f t="shared" si="20"/>
        <v>52.648861241501756</v>
      </c>
    </row>
    <row r="167" spans="1:8" ht="15">
      <c r="A167">
        <f>IF(A166&gt;=$B$5,NA,A166+1)</f>
        <v>159</v>
      </c>
      <c r="B167" s="41">
        <f t="shared" si="14"/>
        <v>1470.0451625333003</v>
      </c>
      <c r="C167" t="str">
        <f t="shared" si="16"/>
        <v>0.00772191509690895-0.0902804484902539i</v>
      </c>
      <c r="D167" s="129">
        <f t="shared" si="15"/>
        <v>-20.856469323848188</v>
      </c>
      <c r="E167" s="39">
        <f t="shared" si="18"/>
        <v>-85.11124563487657</v>
      </c>
      <c r="F167" t="str">
        <f t="shared" si="17"/>
        <v>0.277317045594214+0.352200320416029i</v>
      </c>
      <c r="G167" s="129">
        <f t="shared" si="19"/>
        <v>-6.96912401229005</v>
      </c>
      <c r="H167" s="39">
        <f t="shared" si="20"/>
        <v>51.78365552863784</v>
      </c>
    </row>
    <row r="168" spans="1:8" ht="15">
      <c r="A168">
        <f>IF(A167&gt;=$B$5,NA,A167+1)</f>
        <v>160</v>
      </c>
      <c r="B168" s="41">
        <f t="shared" si="14"/>
        <v>1539.0438578431672</v>
      </c>
      <c r="C168" t="str">
        <f t="shared" si="16"/>
        <v>0.00757718327581124-0.0862631086807341i</v>
      </c>
      <c r="D168" s="129">
        <f t="shared" si="15"/>
        <v>-21.250118417222378</v>
      </c>
      <c r="E168" s="39">
        <f t="shared" si="18"/>
        <v>-84.98013428031945</v>
      </c>
      <c r="F168" t="str">
        <f t="shared" si="17"/>
        <v>0.265425805776022+0.326618041527653i</v>
      </c>
      <c r="G168" s="129">
        <f t="shared" si="19"/>
        <v>-7.517073786087351</v>
      </c>
      <c r="H168" s="39">
        <f t="shared" si="20"/>
        <v>50.901001171826145</v>
      </c>
    </row>
    <row r="169" spans="1:8" ht="15">
      <c r="A169">
        <f>IF(A168&gt;=$B$5,NA,A168+1)</f>
        <v>161</v>
      </c>
      <c r="B169" s="41">
        <f t="shared" si="14"/>
        <v>1611.2811066858096</v>
      </c>
      <c r="C169" t="str">
        <f t="shared" si="16"/>
        <v>0.00744513038565185-0.082426843960187i</v>
      </c>
      <c r="D169" s="129">
        <f t="shared" si="15"/>
        <v>-21.643338656017136</v>
      </c>
      <c r="E169" s="39">
        <f t="shared" si="18"/>
        <v>-84.8388156949334</v>
      </c>
      <c r="F169" t="str">
        <f t="shared" si="17"/>
        <v>0.253737668787237+0.30243553726002i</v>
      </c>
      <c r="G169" s="129">
        <f t="shared" si="19"/>
        <v>-8.072930296473167</v>
      </c>
      <c r="H169" s="39">
        <f t="shared" si="20"/>
        <v>50.003988992621736</v>
      </c>
    </row>
    <row r="170" spans="1:8" ht="15">
      <c r="A170">
        <f>IF(A169&gt;=$B$5,NA,A169+1)</f>
        <v>162</v>
      </c>
      <c r="B170" s="41">
        <f t="shared" si="14"/>
        <v>1686.9089152540644</v>
      </c>
      <c r="C170" t="str">
        <f t="shared" si="16"/>
        <v>0.00732464631112539-0.0787636390203674i</v>
      </c>
      <c r="D170" s="129">
        <f t="shared" si="15"/>
        <v>-22.03608769851348</v>
      </c>
      <c r="E170" s="39">
        <f t="shared" si="18"/>
        <v>-84.68704373370338</v>
      </c>
      <c r="F170" t="str">
        <f t="shared" si="17"/>
        <v>0.242249966799035+0.279619940417925i</v>
      </c>
      <c r="G170" s="129">
        <f t="shared" si="19"/>
        <v>-8.636842523790063</v>
      </c>
      <c r="H170" s="39">
        <f t="shared" si="20"/>
        <v>49.095835494168796</v>
      </c>
    </row>
    <row r="171" spans="1:8" ht="15">
      <c r="A171">
        <f>IF(A170&gt;=$B$5,NA,A170+1)</f>
        <v>163</v>
      </c>
      <c r="B171" s="41">
        <f t="shared" si="14"/>
        <v>1766.0864243712215</v>
      </c>
      <c r="C171" t="str">
        <f t="shared" si="16"/>
        <v>0.00721471803416988-0.075265835368996i</v>
      </c>
      <c r="D171" s="129">
        <f t="shared" si="15"/>
        <v>-22.428319498331376</v>
      </c>
      <c r="E171" s="39">
        <f t="shared" si="18"/>
        <v>-84.52455767150076</v>
      </c>
      <c r="F171" t="str">
        <f t="shared" si="17"/>
        <v>0.230964907254476+0.258137526359138i</v>
      </c>
      <c r="G171" s="129">
        <f t="shared" si="19"/>
        <v>-9.208919716857785</v>
      </c>
      <c r="H171" s="39">
        <f t="shared" si="20"/>
        <v>48.17986068017527</v>
      </c>
    </row>
    <row r="172" spans="1:8" ht="15">
      <c r="A172">
        <f>IF(A171&gt;=$B$5,NA,A171+1)</f>
        <v>164</v>
      </c>
      <c r="B172" s="41">
        <f t="shared" si="14"/>
        <v>1848.9802443652193</v>
      </c>
      <c r="C172" t="str">
        <f t="shared" si="16"/>
        <v>0.00711442115801616-0.0719261161575123i</v>
      </c>
      <c r="D172" s="129">
        <f t="shared" si="15"/>
        <v>-22.81998396832225</v>
      </c>
      <c r="E172" s="39">
        <f t="shared" si="18"/>
        <v>-84.35108268975195</v>
      </c>
      <c r="F172" t="str">
        <f t="shared" si="17"/>
        <v>0.2198888666781+0.237953269841619i</v>
      </c>
      <c r="G172" s="129">
        <f t="shared" si="19"/>
        <v>-9.789229192641734</v>
      </c>
      <c r="H172" s="39">
        <f t="shared" si="20"/>
        <v>47.25946324538166</v>
      </c>
    </row>
    <row r="173" spans="1:8" ht="15">
      <c r="A173">
        <f>IF(A172&gt;=$B$5,NA,A172+1)</f>
        <v>165</v>
      </c>
      <c r="B173" s="41">
        <f t="shared" si="14"/>
        <v>1935.7648056606474</v>
      </c>
      <c r="C173" t="str">
        <f t="shared" si="16"/>
        <v>0.00702291216832256-0.0687374916067454i</v>
      </c>
      <c r="D173" s="129">
        <f t="shared" si="15"/>
        <v>-23.211026620381546</v>
      </c>
      <c r="E173" s="39">
        <f t="shared" si="18"/>
        <v>-84.16633047451347</v>
      </c>
      <c r="F173" t="str">
        <f t="shared" si="17"/>
        <v>0.209031650006153+0.219030491072959i</v>
      </c>
      <c r="G173" s="129">
        <f t="shared" si="19"/>
        <v>-10.377794642179142</v>
      </c>
      <c r="H173" s="39">
        <f t="shared" si="20"/>
        <v>46.3380936544306</v>
      </c>
    </row>
    <row r="174" spans="1:8" ht="15">
      <c r="A174">
        <f>IF(A173&gt;=$B$5,NA,A173+1)</f>
        <v>166</v>
      </c>
      <c r="B174" s="41">
        <f t="shared" si="14"/>
        <v>2026.6227258262904</v>
      </c>
      <c r="C174" t="str">
        <f t="shared" si="16"/>
        <v>0.0069394213677689-0.0656932850153363i</v>
      </c>
      <c r="D174" s="129">
        <f t="shared" si="15"/>
        <v>-23.601388180016116</v>
      </c>
      <c r="E174" s="39">
        <f t="shared" si="18"/>
        <v>-83.96999994478301</v>
      </c>
      <c r="F174" t="str">
        <f t="shared" si="17"/>
        <v>0.19840573052134+0.201330601120335i</v>
      </c>
      <c r="G174" s="129">
        <f t="shared" si="19"/>
        <v>-10.97459499514343</v>
      </c>
      <c r="H174" s="39">
        <f t="shared" si="20"/>
        <v>45.41922571722096</v>
      </c>
    </row>
    <row r="175" spans="1:8" ht="15">
      <c r="A175">
        <f>IF(A174&gt;=$B$5,NA,A174+1)</f>
        <v>167</v>
      </c>
      <c r="B175" s="41">
        <f t="shared" si="14"/>
        <v>2121.7451938505815</v>
      </c>
      <c r="C175" t="str">
        <f t="shared" si="16"/>
        <v>0.00686324642589626-0.062787119334983i</v>
      </c>
      <c r="D175" s="129">
        <f t="shared" si="15"/>
        <v>-23.991004174624067</v>
      </c>
      <c r="E175" s="39">
        <f t="shared" si="18"/>
        <v>-83.76177813201473</v>
      </c>
      <c r="F175" t="str">
        <f t="shared" si="17"/>
        <v>0.188025487922084+0.184812952826403i</v>
      </c>
      <c r="G175" s="129">
        <f t="shared" si="19"/>
        <v>-11.579563875406595</v>
      </c>
      <c r="H175" s="39">
        <f t="shared" si="20"/>
        <v>44.50632733257498</v>
      </c>
    </row>
    <row r="176" spans="1:8" ht="15">
      <c r="A176">
        <f>IF(A175&gt;=$B$5,NA,A175+1)</f>
        <v>168</v>
      </c>
      <c r="B176" s="41">
        <f t="shared" si="14"/>
        <v>2221.3323724535753</v>
      </c>
      <c r="C176" t="str">
        <f t="shared" si="16"/>
        <v>0.00679374649094322-0.060012904296052i</v>
      </c>
      <c r="D176" s="129">
        <f t="shared" si="15"/>
        <v>-24.379804494612756</v>
      </c>
      <c r="E176" s="39">
        <f t="shared" si="18"/>
        <v>-83.54134123409627</v>
      </c>
      <c r="F176" t="str">
        <f t="shared" si="17"/>
        <v>0.177906463371205+0.169434798852454i</v>
      </c>
      <c r="G176" s="129">
        <f t="shared" si="19"/>
        <v>-12.192589658042408</v>
      </c>
      <c r="H176" s="39">
        <f t="shared" si="20"/>
        <v>43.60283110360118</v>
      </c>
    </row>
    <row r="177" spans="1:8" ht="15">
      <c r="A177">
        <f>IF(A176&gt;=$B$5,NA,A176+1)</f>
        <v>169</v>
      </c>
      <c r="B177" s="41">
        <f t="shared" si="14"/>
        <v>2325.5938192820113</v>
      </c>
      <c r="C177" t="str">
        <f t="shared" si="16"/>
        <v>0.00673033681498581-0.0573648240667424i</v>
      </c>
      <c r="D177" s="129">
        <f t="shared" si="15"/>
        <v>-24.76771292670562</v>
      </c>
      <c r="E177" s="39">
        <f t="shared" si="18"/>
        <v>-83.30835586945767</v>
      </c>
      <c r="F177" t="str">
        <f t="shared" si="17"/>
        <v>0.168064650446835+0.15515135377508i</v>
      </c>
      <c r="G177" s="129">
        <f t="shared" si="19"/>
        <v>-12.813516115720901</v>
      </c>
      <c r="H177" s="39">
        <f t="shared" si="20"/>
        <v>42.71210552508908</v>
      </c>
    </row>
    <row r="178" spans="1:8" ht="15">
      <c r="A178">
        <f>IF(A177&gt;=$B$5,NA,A177+1)</f>
        <v>170</v>
      </c>
      <c r="B178" s="41">
        <f t="shared" si="14"/>
        <v>2434.748927873793</v>
      </c>
      <c r="C178" t="str">
        <f t="shared" si="16"/>
        <v>0.00667248384785898-0.0548373254288006i</v>
      </c>
      <c r="D178" s="129">
        <f t="shared" si="15"/>
        <v>-25.154646659078367</v>
      </c>
      <c r="E178" s="39">
        <f t="shared" si="18"/>
        <v>-83.06248055950567</v>
      </c>
      <c r="F178" t="str">
        <f t="shared" si="17"/>
        <v>0.158515839765084+0.141915952654347i</v>
      </c>
      <c r="G178" s="129">
        <f t="shared" si="19"/>
        <v>-13.442143620757676</v>
      </c>
      <c r="H178" s="39">
        <f t="shared" si="20"/>
        <v>41.83742740573574</v>
      </c>
    </row>
    <row r="179" spans="1:8" ht="15">
      <c r="A179">
        <f>IF(A178&gt;=$B$5,NA,A178+1)</f>
        <v>171</v>
      </c>
      <c r="B179" s="41">
        <f t="shared" si="14"/>
        <v>2549.027389319758</v>
      </c>
      <c r="C179" t="str">
        <f t="shared" si="16"/>
        <v>0.00661970075916275-0.0524251064527204i</v>
      </c>
      <c r="D179" s="129">
        <f t="shared" si="15"/>
        <v>-25.54051575833246</v>
      </c>
      <c r="E179" s="39">
        <f t="shared" si="18"/>
        <v>-82.80336747016024</v>
      </c>
      <c r="F179" t="str">
        <f t="shared" si="17"/>
        <v>0.149275032776042+0.129680294507031i</v>
      </c>
      <c r="G179" s="129">
        <f t="shared" si="19"/>
        <v>-14.078230849506141</v>
      </c>
      <c r="H179" s="39">
        <f t="shared" si="20"/>
        <v>40.98195611874498</v>
      </c>
    </row>
    <row r="180" spans="1:8" ht="15">
      <c r="A180">
        <f>IF(A179&gt;=$B$5,NA,A179+1)</f>
        <v>172</v>
      </c>
      <c r="B180" s="41">
        <f t="shared" si="14"/>
        <v>2668.6696755942057</v>
      </c>
      <c r="C180" t="str">
        <f t="shared" si="16"/>
        <v>0.00657154335115627-0.0501231056554122i</v>
      </c>
      <c r="D180" s="129">
        <f t="shared" si="15"/>
        <v>-25.92522261877035</v>
      </c>
      <c r="E180" s="39">
        <f t="shared" si="18"/>
        <v>-82.53066444586764</v>
      </c>
      <c r="F180" t="str">
        <f t="shared" si="17"/>
        <v>0.140355937064975+0.11839475593718i</v>
      </c>
      <c r="G180" s="129">
        <f t="shared" si="19"/>
        <v>-14.72149691945142</v>
      </c>
      <c r="H180" s="39">
        <f t="shared" si="20"/>
        <v>40.14871017829853</v>
      </c>
    </row>
    <row r="181" spans="1:8" ht="15">
      <c r="A181">
        <f>IF(A180&gt;=$B$5,NA,A180+1)</f>
        <v>173</v>
      </c>
      <c r="B181" s="41">
        <f t="shared" si="14"/>
        <v>2793.927545571266</v>
      </c>
      <c r="C181" t="str">
        <f t="shared" si="16"/>
        <v>0.00652760632855007-0.0479264916234704i</v>
      </c>
      <c r="D181" s="129">
        <f t="shared" si="15"/>
        <v>-26.308661384994938</v>
      </c>
      <c r="E181" s="39">
        <f t="shared" si="18"/>
        <v>-82.24401737199702</v>
      </c>
      <c r="F181" t="str">
        <f t="shared" si="17"/>
        <v>0.131770551701404+0.108008757993511i</v>
      </c>
      <c r="G181" s="129">
        <f t="shared" si="19"/>
        <v>-15.37162387712913</v>
      </c>
      <c r="H181" s="39">
        <f t="shared" si="20"/>
        <v>39.340546523403205</v>
      </c>
    </row>
    <row r="182" spans="1:8" ht="15">
      <c r="A182">
        <f>IF(A181&gt;=$B$5,NA,A181+1)</f>
        <v>174</v>
      </c>
      <c r="B182" s="41">
        <f t="shared" si="14"/>
        <v>2925.0645747918556</v>
      </c>
      <c r="C182" t="str">
        <f t="shared" si="16"/>
        <v>0.00648751989413906-0.0458306530853832i</v>
      </c>
      <c r="D182" s="129">
        <f t="shared" si="15"/>
        <v>-26.690717349530363</v>
      </c>
      <c r="E182" s="39">
        <f t="shared" si="18"/>
        <v>-81.943072903907</v>
      </c>
      <c r="F182" t="str">
        <f t="shared" si="17"/>
        <v>0.12352884708877+0.0984711682337013i</v>
      </c>
      <c r="G182" s="129">
        <f t="shared" si="19"/>
        <v>-16.02825944736966</v>
      </c>
      <c r="H182" s="39">
        <f t="shared" si="20"/>
        <v>38.56014276244957</v>
      </c>
    </row>
    <row r="183" spans="1:8" ht="15">
      <c r="A183">
        <f>IF(A182&gt;=$B$5,NA,A182+1)</f>
        <v>175</v>
      </c>
      <c r="B183" s="41">
        <f t="shared" si="14"/>
        <v>3062.3567100960136</v>
      </c>
      <c r="C183" t="str">
        <f t="shared" si="16"/>
        <v>0.00645094664190428-0.043831189416307i</v>
      </c>
      <c r="D183" s="129">
        <f t="shared" si="15"/>
        <v>-27.071266327964317</v>
      </c>
      <c r="E183" s="39">
        <f t="shared" si="18"/>
        <v>-81.62748160306518</v>
      </c>
      <c r="F183" t="str">
        <f t="shared" si="17"/>
        <v>0.115638539695209+0.0897307199724269i</v>
      </c>
      <c r="G183" s="129">
        <f t="shared" si="19"/>
        <v>-16.691019951520673</v>
      </c>
      <c r="H183" s="39">
        <f t="shared" si="20"/>
        <v>37.80998249972691</v>
      </c>
    </row>
    <row r="184" spans="1:8" ht="15">
      <c r="A184">
        <f>IF(A183&gt;=$B$5,NA,A183+1)</f>
        <v>176</v>
      </c>
      <c r="B184" s="41">
        <f t="shared" si="14"/>
        <v>3206.0928502877305</v>
      </c>
      <c r="C184" t="str">
        <f t="shared" si="16"/>
        <v>0.00641757872166652-0.0419239015593703i</v>
      </c>
      <c r="D184" s="129">
        <f t="shared" si="15"/>
        <v>-27.450174015055065</v>
      </c>
      <c r="E184" s="39">
        <f t="shared" si="18"/>
        <v>-81.29690152227474</v>
      </c>
      <c r="F184" t="str">
        <f t="shared" si="17"/>
        <v>0.108104958278463+0.0817364316738027i</v>
      </c>
      <c r="G184" s="129">
        <f t="shared" si="19"/>
        <v>-17.35949330404393</v>
      </c>
      <c r="H184" s="39">
        <f t="shared" si="20"/>
        <v>37.092343736888694</v>
      </c>
    </row>
    <row r="185" spans="1:8" ht="15">
      <c r="A185">
        <f>IF(A184&gt;=$B$5,NA,A184+1)</f>
        <v>177</v>
      </c>
      <c r="B185" s="41">
        <f t="shared" si="14"/>
        <v>3356.5754540540797</v>
      </c>
      <c r="C185" t="str">
        <f t="shared" si="16"/>
        <v>0.00638713525161917-0.0401047833478251i</v>
      </c>
      <c r="D185" s="129">
        <f t="shared" si="15"/>
        <v>-27.827295326347162</v>
      </c>
      <c r="E185" s="39">
        <f t="shared" si="18"/>
        <v>-80.95100228311281</v>
      </c>
      <c r="F185" t="str">
        <f t="shared" si="17"/>
        <v>0.100930994984261+0.074438011248657i</v>
      </c>
      <c r="G185" s="129">
        <f t="shared" si="19"/>
        <v>-18.03324200276442</v>
      </c>
      <c r="H185" s="39">
        <f t="shared" si="20"/>
        <v>36.409290224827906</v>
      </c>
    </row>
    <row r="186" spans="1:8" ht="15">
      <c r="A186">
        <f>IF(A185&gt;=$B$5,NA,A185+1)</f>
        <v>178</v>
      </c>
      <c r="B186" s="41">
        <f t="shared" si="14"/>
        <v>3514.121176417973</v>
      </c>
      <c r="C186" t="str">
        <f t="shared" si="16"/>
        <v>0.0063593599571227-0.0383700132127848i</v>
      </c>
      <c r="D186" s="129">
        <f t="shared" si="15"/>
        <v>-28.202473731096532</v>
      </c>
      <c r="E186" s="39">
        <f t="shared" si="18"/>
        <v>-80.58946968889657</v>
      </c>
      <c r="F186" t="str">
        <f t="shared" si="17"/>
        <v>0.0941171321547421+0.0677862324161412i</v>
      </c>
      <c r="G186" s="129">
        <f t="shared" si="19"/>
        <v>-18.711806037367285</v>
      </c>
      <c r="H186" s="39">
        <f t="shared" si="20"/>
        <v>35.762665540053</v>
      </c>
    </row>
    <row r="187" spans="1:8" ht="15">
      <c r="A187">
        <f>IF(A186&gt;=$B$5,NA,A186+1)</f>
        <v>179</v>
      </c>
      <c r="B187" s="41">
        <f t="shared" si="14"/>
        <v>3679.0615350636704</v>
      </c>
      <c r="C187" t="str">
        <f t="shared" si="16"/>
        <v>0.00633401901601782-0.0367159462617041i</v>
      </c>
      <c r="D187" s="129">
        <f t="shared" si="15"/>
        <v>-28.575540583733737</v>
      </c>
      <c r="E187" s="39">
        <f t="shared" si="18"/>
        <v>-80.2120109155981</v>
      </c>
      <c r="F187" t="str">
        <f t="shared" si="17"/>
        <v>0.0876615339109523+0.0617332730517934i</v>
      </c>
      <c r="G187" s="129">
        <f t="shared" si="19"/>
        <v>-19.394705652689236</v>
      </c>
      <c r="H187" s="39">
        <f t="shared" si="20"/>
        <v>35.15408957820786</v>
      </c>
    </row>
    <row r="188" spans="1:8" ht="15">
      <c r="A188">
        <f>IF(A187&gt;=$B$5,NA,A187+1)</f>
        <v>180</v>
      </c>
      <c r="B188" s="41">
        <f t="shared" si="14"/>
        <v>3851.7436079372983</v>
      </c>
      <c r="C188" t="str">
        <f t="shared" si="16"/>
        <v>0.00631089909243122-0.0351391067132045i</v>
      </c>
      <c r="D188" s="129">
        <f t="shared" si="15"/>
        <v>-28.94631446268601</v>
      </c>
      <c r="E188" s="39">
        <f t="shared" si="18"/>
        <v>-79.8183603208177</v>
      </c>
      <c r="F188" t="str">
        <f t="shared" si="17"/>
        <v>0.0815601905776704+0.0562330083417234i</v>
      </c>
      <c r="G188" s="129">
        <f t="shared" si="19"/>
        <v>-20.08144391706078</v>
      </c>
      <c r="H188" s="39">
        <f t="shared" si="20"/>
        <v>34.58495709808203</v>
      </c>
    </row>
    <row r="189" spans="1:8" ht="15">
      <c r="A189">
        <f>IF(A188&gt;=$B$5,NA,A188+1)</f>
        <v>181</v>
      </c>
      <c r="B189" s="41">
        <f t="shared" si="14"/>
        <v>4032.5307635902614</v>
      </c>
      <c r="C189" t="str">
        <f t="shared" si="16"/>
        <v>0.00628980554261436-0.0336361806743115i</v>
      </c>
      <c r="D189" s="129">
        <f t="shared" si="15"/>
        <v>-29.314600527126608</v>
      </c>
      <c r="E189" s="39">
        <f t="shared" si="18"/>
        <v>-79.40828590685332</v>
      </c>
      <c r="F189" t="str">
        <f t="shared" si="17"/>
        <v>0.0758071037454876+0.0512412543927082i</v>
      </c>
      <c r="G189" s="129">
        <f t="shared" si="19"/>
        <v>-20.771509060565712</v>
      </c>
      <c r="H189" s="39">
        <f t="shared" si="20"/>
        <v>34.056437912814246</v>
      </c>
    </row>
    <row r="190" spans="1:8" ht="15">
      <c r="A190">
        <f>IF(A189&gt;=$B$5,NA,A189+1)</f>
        <v>182</v>
      </c>
      <c r="B190" s="41">
        <f t="shared" si="14"/>
        <v>4221.803425802315</v>
      </c>
      <c r="C190" t="str">
        <f t="shared" si="16"/>
        <v>0.00627056077778839-0.0322040092466265i</v>
      </c>
      <c r="D190" s="129">
        <f t="shared" si="15"/>
        <v>-29.680189904108715</v>
      </c>
      <c r="E190" s="39">
        <f t="shared" si="18"/>
        <v>-78.98159646767748</v>
      </c>
      <c r="F190" t="str">
        <f t="shared" si="17"/>
        <v>0.0703945001142406+0.0467159605484505i</v>
      </c>
      <c r="G190" s="129">
        <f t="shared" si="19"/>
        <v>-21.464376562838158</v>
      </c>
      <c r="H190" s="39">
        <f t="shared" si="20"/>
        <v>33.56947831034471</v>
      </c>
    </row>
    <row r="191" spans="1:8" ht="15">
      <c r="A191">
        <f>IF(A190&gt;=$B$5,NA,A190+1)</f>
        <v>183</v>
      </c>
      <c r="B191" s="41">
        <f t="shared" si="14"/>
        <v>4419.959874093399</v>
      </c>
      <c r="C191" t="str">
        <f t="shared" si="16"/>
        <v>0.00625300277027579-0.0308395819484366i</v>
      </c>
      <c r="D191" s="129">
        <f t="shared" si="15"/>
        <v>-30.042859120531688</v>
      </c>
      <c r="E191" s="39">
        <f t="shared" si="18"/>
        <v>-78.53814944084786</v>
      </c>
      <c r="F191" t="str">
        <f t="shared" si="17"/>
        <v>0.0653130631065488+0.0426173509176079i</v>
      </c>
      <c r="G191" s="129">
        <f t="shared" si="19"/>
        <v>-22.159510984240214</v>
      </c>
      <c r="H191" s="39">
        <f t="shared" si="20"/>
        <v>33.12480329079529</v>
      </c>
    </row>
    <row r="192" spans="1:8" ht="15">
      <c r="A192">
        <f>IF(A191&gt;=$B$5,NA,A191+1)</f>
        <v>184</v>
      </c>
      <c r="B192" s="41">
        <f t="shared" si="14"/>
        <v>4627.417081808599</v>
      </c>
      <c r="C192" t="str">
        <f t="shared" si="16"/>
        <v>0.00623698369039686-0.0295400304402325i</v>
      </c>
      <c r="D192" s="129">
        <f t="shared" si="15"/>
        <v>-30.402369596438533</v>
      </c>
      <c r="E192" s="39">
        <f t="shared" si="18"/>
        <v>-78.07785947358664</v>
      </c>
      <c r="F192" t="str">
        <f t="shared" si="17"/>
        <v>0.0605521724418973+0.0389080174608543i</v>
      </c>
      <c r="G192" s="129">
        <f t="shared" si="19"/>
        <v>-22.8563675474423</v>
      </c>
      <c r="H192" s="39">
        <f t="shared" si="20"/>
        <v>32.72291923199254</v>
      </c>
    </row>
    <row r="193" spans="1:8" ht="15">
      <c r="A193">
        <f>IF(A192&gt;=$B$5,NA,A192+1)</f>
        <v>185</v>
      </c>
      <c r="B193" s="41">
        <f t="shared" si="14"/>
        <v>4844.611593539903</v>
      </c>
      <c r="C193" t="str">
        <f t="shared" si="16"/>
        <v>0.00622236866269723-0.0283026225415707i</v>
      </c>
      <c r="D193" s="129">
        <f t="shared" si="15"/>
        <v>-30.758467218186247</v>
      </c>
      <c r="E193" s="39">
        <f t="shared" si="18"/>
        <v>-77.60070769706125</v>
      </c>
      <c r="F193" t="str">
        <f t="shared" si="17"/>
        <v>0.0561001432851741+0.0355529683865088i</v>
      </c>
      <c r="G193" s="129">
        <f t="shared" si="19"/>
        <v>-23.554393488169598</v>
      </c>
      <c r="H193" s="39">
        <f t="shared" si="20"/>
        <v>32.36411663309426</v>
      </c>
    </row>
    <row r="194" spans="1:8" ht="15">
      <c r="A194">
        <f>IF(A193&gt;=$B$5,NA,A193+1)</f>
        <v>186</v>
      </c>
      <c r="B194" s="41">
        <f t="shared" si="14"/>
        <v>5072.000443730916</v>
      </c>
      <c r="C194" t="str">
        <f t="shared" si="16"/>
        <v>0.00620903463107332-0.0271247565276926i</v>
      </c>
      <c r="D194" s="129">
        <f t="shared" si="15"/>
        <v>-31.11088201197252</v>
      </c>
      <c r="E194" s="39">
        <f t="shared" si="18"/>
        <v>-77.10675168387608</v>
      </c>
      <c r="F194" t="str">
        <f t="shared" si="17"/>
        <v>0.0519444581069103+0.0325196365767306i</v>
      </c>
      <c r="G194" s="129">
        <f t="shared" si="19"/>
        <v>-24.253029203907257</v>
      </c>
      <c r="H194" s="39">
        <f t="shared" si="20"/>
        <v>32.04847263742447</v>
      </c>
    </row>
    <row r="195" spans="1:8" ht="15">
      <c r="A195">
        <f>IF(A194&gt;=$B$5,NA,A194+1)</f>
        <v>187</v>
      </c>
      <c r="B195" s="41">
        <f t="shared" si="14"/>
        <v>5310.062118397703</v>
      </c>
      <c r="C195" t="str">
        <f t="shared" si="16"/>
        <v>0.00619686932326992-0.026003955694763i</v>
      </c>
      <c r="D195" s="129">
        <f t="shared" si="15"/>
        <v>-31.45932793994144</v>
      </c>
      <c r="E195" s="39">
        <f t="shared" si="18"/>
        <v>-76.59613604063611</v>
      </c>
      <c r="F195" t="str">
        <f t="shared" si="17"/>
        <v>0.0480719859136075+0.0297778533448115i</v>
      </c>
      <c r="G195" s="129">
        <f t="shared" si="19"/>
        <v>-24.951709237523268</v>
      </c>
      <c r="H195" s="39">
        <f t="shared" si="20"/>
        <v>31.77585309647897</v>
      </c>
    </row>
    <row r="196" spans="1:8" ht="15">
      <c r="A196">
        <f>IF(A195&gt;=$B$5,NA,A195+1)</f>
        <v>188</v>
      </c>
      <c r="B196" s="41">
        <f t="shared" si="14"/>
        <v>5559.297561989382</v>
      </c>
      <c r="C196" t="str">
        <f t="shared" si="16"/>
        <v>0.0061857703060585-0.0249378631830516i</v>
      </c>
      <c r="D196" s="129">
        <f t="shared" si="15"/>
        <v>-31.803502842480817</v>
      </c>
      <c r="E196" s="39">
        <f t="shared" si="18"/>
        <v>-76.06910355995726</v>
      </c>
      <c r="F196" t="str">
        <f t="shared" si="17"/>
        <v>0.0444691849467799+0.0272997930619661i</v>
      </c>
      <c r="G196" s="129">
        <f t="shared" si="19"/>
        <v>-25.649863138960104</v>
      </c>
      <c r="H196" s="39">
        <f t="shared" si="20"/>
        <v>31.545914005136797</v>
      </c>
    </row>
    <row r="197" spans="1:8" ht="15">
      <c r="A197">
        <f>IF(A196&gt;=$B$5,NA,A196+1)</f>
        <v>189</v>
      </c>
      <c r="B197" s="41">
        <f t="shared" si="14"/>
        <v>5820.231231507105</v>
      </c>
      <c r="C197" t="str">
        <f t="shared" si="16"/>
        <v>0.00617564412316035-0.0239242370478222i</v>
      </c>
      <c r="D197" s="129">
        <f t="shared" si="15"/>
        <v>-32.14308855121435</v>
      </c>
      <c r="E197" s="39">
        <f t="shared" si="18"/>
        <v>-75.52600682446706</v>
      </c>
      <c r="F197" t="str">
        <f t="shared" si="17"/>
        <v>0.0411222862530388+0.0250598941512961i</v>
      </c>
      <c r="G197" s="129">
        <f t="shared" si="19"/>
        <v>-26.346916252345295</v>
      </c>
      <c r="H197" s="39">
        <f t="shared" si="20"/>
        <v>31.35810221116636</v>
      </c>
    </row>
    <row r="198" spans="1:8" ht="15">
      <c r="A198">
        <f>IF(A197&gt;=$B$5,NA,A197+1)</f>
        <v>190</v>
      </c>
      <c r="B198" s="41">
        <f t="shared" si="14"/>
        <v>6093.412200099717</v>
      </c>
      <c r="C198" t="str">
        <f t="shared" si="16"/>
        <v>0.00616640550867496-0.0229609455681342i</v>
      </c>
      <c r="D198" s="129">
        <f t="shared" si="15"/>
        <v>-32.47775119739649</v>
      </c>
      <c r="E198" s="39">
        <f t="shared" si="18"/>
        <v>-74.96732011935686</v>
      </c>
      <c r="F198" t="str">
        <f t="shared" si="17"/>
        <v>0.038017456660814+0.0230347616916647i</v>
      </c>
      <c r="G198" s="129">
        <f t="shared" si="19"/>
        <v>-27.042290478052983</v>
      </c>
      <c r="H198" s="39">
        <f t="shared" si="20"/>
        <v>31.211655378134843</v>
      </c>
    </row>
    <row r="199" spans="1:8" ht="15">
      <c r="A199">
        <f>IF(A198&gt;=$B$5,NA,A198+1)</f>
        <v>191</v>
      </c>
      <c r="B199" s="41">
        <f aca="true" t="shared" si="21" ref="B199:B259">10^(LOG10($B$1)+A199*$B$4/$B$5)</f>
        <v>6379.415312458234</v>
      </c>
      <c r="C199" t="str">
        <f t="shared" si="16"/>
        <v>0.00615797666940541-0.0220459627841847i</v>
      </c>
      <c r="D199" s="129">
        <f aca="true" t="shared" si="22" ref="D199:D259">20*LOG10(IMABS(C199))</f>
        <v>-32.80714173974824</v>
      </c>
      <c r="E199" s="39">
        <f t="shared" si="18"/>
        <v>-74.39365147045288</v>
      </c>
      <c r="F199" t="str">
        <f t="shared" si="17"/>
        <v>0.0351409406464249+0.0212030564663453i</v>
      </c>
      <c r="G199" s="129">
        <f t="shared" si="19"/>
        <v>-27.73540505942378</v>
      </c>
      <c r="H199" s="39">
        <f t="shared" si="20"/>
        <v>31.105601257971145</v>
      </c>
    </row>
    <row r="200" spans="1:8" ht="15">
      <c r="A200">
        <f>IF(A199&gt;=$B$5,NA,A199+1)</f>
        <v>192</v>
      </c>
      <c r="B200" s="41">
        <f t="shared" si="21"/>
        <v>6678.842394440429</v>
      </c>
      <c r="C200" t="str">
        <f t="shared" si="16"/>
        <v>0.0061502866300485-0.0211773642542384i</v>
      </c>
      <c r="D200" s="129">
        <f t="shared" si="22"/>
        <v>-33.13089673402548</v>
      </c>
      <c r="E200" s="39">
        <f t="shared" si="18"/>
        <v>-73.80575458246142</v>
      </c>
      <c r="F200" t="str">
        <f t="shared" si="17"/>
        <v>0.032479181332149+0.019545374785364i</v>
      </c>
      <c r="G200" s="129">
        <f t="shared" si="19"/>
        <v>-28.425677442024654</v>
      </c>
      <c r="H200" s="39">
        <f t="shared" si="20"/>
        <v>31.038756405859484</v>
      </c>
    </row>
    <row r="201" spans="1:8" ht="15">
      <c r="A201">
        <f>IF(A200&gt;=$B$5,NA,A200+1)</f>
        <v>193</v>
      </c>
      <c r="B201" s="41">
        <f t="shared" si="21"/>
        <v>6992.323519470952</v>
      </c>
      <c r="C201" t="str">
        <f aca="true" t="shared" si="23" ref="C201:C259">IMDIV(IMPRODUCT(Go,COMPLEX(1,Rcout*Cout*2*PI()*B201),COMPLEX(1,-Lp*Vc*2*PI()*B201/(8*Rsense*Vinmin*SQRT(2)))),COMPLEX(1,Req*Cout*2*PI()*B201))</f>
        <v>0.00614327063574847-0.0203533230225959i</v>
      </c>
      <c r="D201" s="129">
        <f t="shared" si="22"/>
        <v>-33.448639363601565</v>
      </c>
      <c r="E201" s="39">
        <f t="shared" si="18"/>
        <v>-73.20454040831937</v>
      </c>
      <c r="F201" t="str">
        <f aca="true" t="shared" si="24" ref="F201:F259">IMPRODUCT(IMDIV(IMPRODUCT(-Ho,COMPLEX(1,Rupper*Czero*2*PI()*B201)),IMPRODUCT(COMPLEX(1,Rpullup*(Copto+Cpole)*2*PI()*B201),COMPLEX(0,Rupper*Czero*2*PI()*B201))),C201)</f>
        <v>0.0300189214413006+0.0180441228529359i</v>
      </c>
      <c r="G201" s="129">
        <f t="shared" si="19"/>
        <v>-29.1125242495161</v>
      </c>
      <c r="H201" s="39">
        <f t="shared" si="20"/>
        <v>31.009724544039617</v>
      </c>
    </row>
    <row r="202" spans="1:8" ht="15">
      <c r="A202">
        <f>IF(A201&gt;=$B$5,NA,A201+1)</f>
        <v>194</v>
      </c>
      <c r="B202" s="41">
        <f t="shared" si="21"/>
        <v>7320.518334381657</v>
      </c>
      <c r="C202" t="str">
        <f t="shared" si="23"/>
        <v>0.00613686960698994-0.0195721057904505i</v>
      </c>
      <c r="D202" s="129">
        <f t="shared" si="22"/>
        <v>-33.75998074590824</v>
      </c>
      <c r="E202" s="39">
        <f aca="true" t="shared" si="25" ref="E202:E259">IMARGUMENT(C202)*180/PI()</f>
        <v>-72.59108803728182</v>
      </c>
      <c r="F202" t="str">
        <f t="shared" si="24"/>
        <v>0.027747285456965+0.0166833888795961i</v>
      </c>
      <c r="G202" s="129">
        <f aca="true" t="shared" si="26" ref="G202:G259">20*LOG10(IMABS(F202))</f>
        <v>-29.79536241441356</v>
      </c>
      <c r="H202" s="39">
        <f aca="true" t="shared" si="27" ref="H202:H259">IMARGUMENT(F202)*180/PI()</f>
        <v>31.016894850375248</v>
      </c>
    </row>
    <row r="203" spans="1:8" ht="15">
      <c r="A203">
        <f>IF(A202&gt;=$B$5,NA,A202+1)</f>
        <v>195</v>
      </c>
      <c r="B203" s="41">
        <f t="shared" si="21"/>
        <v>7664.11744748226</v>
      </c>
      <c r="C203" t="str">
        <f t="shared" si="23"/>
        <v>0.00613102964224814-0.0188320692818612i</v>
      </c>
      <c r="D203" s="129">
        <f t="shared" si="22"/>
        <v>-34.064521523606</v>
      </c>
      <c r="E203" s="39">
        <f t="shared" si="25"/>
        <v>-71.9666545487258</v>
      </c>
      <c r="F203" t="str">
        <f t="shared" si="24"/>
        <v>0.0256518445127878+0.0154488155809221i</v>
      </c>
      <c r="G203" s="129">
        <f t="shared" si="26"/>
        <v>-30.47361049434368</v>
      </c>
      <c r="H203" s="39">
        <f t="shared" si="27"/>
        <v>31.05844051000156</v>
      </c>
    </row>
    <row r="204" spans="1:8" ht="15">
      <c r="A204">
        <f>IF(A203&gt;=$B$5,NA,A203+1)</f>
        <v>196</v>
      </c>
      <c r="B204" s="41">
        <f t="shared" si="21"/>
        <v>8023.843881782122</v>
      </c>
      <c r="C204" t="str">
        <f t="shared" si="23"/>
        <v>0.00612570156421429-0.0181316567974514i</v>
      </c>
      <c r="D204" s="129">
        <f t="shared" si="22"/>
        <v>-34.36185374180069</v>
      </c>
      <c r="E204" s="39">
        <f t="shared" si="25"/>
        <v>-71.3326834434118</v>
      </c>
      <c r="F204" t="str">
        <f t="shared" si="24"/>
        <v>0.0237206657087111+0.0143274751813136i</v>
      </c>
      <c r="G204" s="129">
        <f t="shared" si="26"/>
        <v>-31.146690194895548</v>
      </c>
      <c r="H204" s="39">
        <f t="shared" si="27"/>
        <v>31.13231792142828</v>
      </c>
    </row>
    <row r="205" spans="1:8" ht="15">
      <c r="A205">
        <f>IF(A204&gt;=$B$5,NA,A204+1)</f>
        <v>197</v>
      </c>
      <c r="B205" s="41">
        <f t="shared" si="21"/>
        <v>8400.454596420954</v>
      </c>
      <c r="C205" t="str">
        <f t="shared" si="23"/>
        <v>0.00612084050577937-0.0174693949487961i</v>
      </c>
      <c r="D205" s="129">
        <f t="shared" si="22"/>
        <v>-34.65156300356078</v>
      </c>
      <c r="E205" s="39">
        <f t="shared" si="25"/>
        <v>-70.69081123715326</v>
      </c>
      <c r="F205" t="str">
        <f t="shared" si="24"/>
        <v>0.0219423476141371+0.0133077485651912i</v>
      </c>
      <c r="G205" s="129">
        <f t="shared" si="26"/>
        <v>-31.814028109043925</v>
      </c>
      <c r="H205" s="39">
        <f t="shared" si="27"/>
        <v>31.236266989374577</v>
      </c>
    </row>
    <row r="206" spans="1:8" ht="15">
      <c r="A206">
        <f>IF(A205&gt;=$B$5,NA,A205+1)</f>
        <v>198</v>
      </c>
      <c r="B206" s="41">
        <f t="shared" si="21"/>
        <v>8794.742079510213</v>
      </c>
      <c r="C206" t="str">
        <f t="shared" si="23"/>
        <v>0.00611640553229481-0.0168438905668221i</v>
      </c>
      <c r="D206" s="129">
        <f t="shared" si="22"/>
        <v>-34.93323088559198</v>
      </c>
      <c r="E206" s="39">
        <f t="shared" si="25"/>
        <v>-70.04287178680454</v>
      </c>
      <c r="F206" t="str">
        <f t="shared" si="24"/>
        <v>0.0203060437167037+0.0123792097965138i</v>
      </c>
      <c r="G206" s="129">
        <f t="shared" si="26"/>
        <v>-32.47505767064312</v>
      </c>
      <c r="H206" s="39">
        <f t="shared" si="27"/>
        <v>31.367812962478155</v>
      </c>
    </row>
    <row r="207" spans="1:8" ht="15">
      <c r="A207">
        <f>IF(A206&gt;=$B$5,NA,A206+1)</f>
        <v>199</v>
      </c>
      <c r="B207" s="41">
        <f t="shared" si="21"/>
        <v>9207.536015736812</v>
      </c>
      <c r="C207" t="str">
        <f t="shared" si="23"/>
        <v>0.00611235929693195-0.0162538277778784i</v>
      </c>
      <c r="D207" s="129">
        <f t="shared" si="22"/>
        <v>-35.20643758453648</v>
      </c>
      <c r="E207" s="39">
        <f t="shared" si="25"/>
        <v>-69.39089791842369</v>
      </c>
      <c r="F207" t="str">
        <f t="shared" si="24"/>
        <v>0.0188014755154553+0.0115325168634022i</v>
      </c>
      <c r="G207" s="129">
        <f t="shared" si="26"/>
        <v>-33.12922130606264</v>
      </c>
      <c r="H207" s="39">
        <f t="shared" si="27"/>
        <v>31.524270281984638</v>
      </c>
    </row>
    <row r="208" spans="1:8" ht="15">
      <c r="A208">
        <f>IF(A207&gt;=$B$5,NA,A207+1)</f>
        <v>200</v>
      </c>
      <c r="B208" s="41">
        <f t="shared" si="21"/>
        <v>9639.705032238073</v>
      </c>
      <c r="C208" t="str">
        <f t="shared" si="23"/>
        <v>0.0061086677262413-0.0156979652414724i</v>
      </c>
      <c r="D208" s="129">
        <f t="shared" si="22"/>
        <v>-35.470764752451515</v>
      </c>
      <c r="E208" s="39">
        <f t="shared" si="25"/>
        <v>-68.73711994537769</v>
      </c>
      <c r="F208" t="str">
        <f t="shared" si="24"/>
        <v>0.0174189368588957+0.0107593091972636i</v>
      </c>
      <c r="G208" s="129">
        <f t="shared" si="26"/>
        <v>-33.77597275419042</v>
      </c>
      <c r="H208" s="39">
        <f t="shared" si="27"/>
        <v>31.702748895056647</v>
      </c>
    </row>
    <row r="209" spans="1:8" ht="15">
      <c r="A209">
        <f>IF(A208&gt;=$B$5,NA,A208+1)</f>
        <v>201</v>
      </c>
      <c r="B209" s="41">
        <f t="shared" si="21"/>
        <v>10092.158526421992</v>
      </c>
      <c r="C209" t="str">
        <f t="shared" si="23"/>
        <v>0.00610529973326581-0.0151751335439836i</v>
      </c>
      <c r="D209" s="129">
        <f t="shared" si="22"/>
        <v>-35.72579846822687</v>
      </c>
      <c r="E209" s="39">
        <f t="shared" si="25"/>
        <v>-68.08396070235653</v>
      </c>
      <c r="F209" t="str">
        <f t="shared" si="24"/>
        <v>0.0161492910047358+0.0100521122621452i</v>
      </c>
      <c r="G209" s="129">
        <f t="shared" si="26"/>
        <v>-34.414779511428655</v>
      </c>
      <c r="H209" s="39">
        <f t="shared" si="27"/>
        <v>31.90016345151598</v>
      </c>
    </row>
    <row r="210" spans="1:8" ht="15">
      <c r="A210">
        <f>IF(A209&gt;=$B$5,NA,A209+1)</f>
        <v>202</v>
      </c>
      <c r="B210" s="41">
        <f t="shared" si="21"/>
        <v>10565.84857957891</v>
      </c>
      <c r="C210" t="str">
        <f t="shared" si="23"/>
        <v>0.00610222695579466-0.0146842327429832i</v>
      </c>
      <c r="D210" s="129">
        <f t="shared" si="22"/>
        <v>-35.97113228077085</v>
      </c>
      <c r="E210" s="39">
        <f t="shared" si="25"/>
        <v>-67.43402678113708</v>
      </c>
      <c r="F210" t="str">
        <f t="shared" si="24"/>
        <v>0.0149839617400033+0.00940424930559253i</v>
      </c>
      <c r="G210" s="129">
        <f t="shared" si="26"/>
        <v>-35.04512534573091</v>
      </c>
      <c r="H210" s="39">
        <f t="shared" si="27"/>
        <v>32.11324574463906</v>
      </c>
    </row>
    <row r="211" spans="1:8" ht="15">
      <c r="A211">
        <f>IF(A210&gt;=$B$5,NA,A210+1)</f>
        <v>203</v>
      </c>
      <c r="B211" s="41">
        <f t="shared" si="21"/>
        <v>11061.771960311125</v>
      </c>
      <c r="C211" t="str">
        <f t="shared" si="23"/>
        <v>0.00609942351755449-0.0142242300570863i</v>
      </c>
      <c r="D211" s="129">
        <f t="shared" si="22"/>
        <v>-36.2063702505809</v>
      </c>
      <c r="E211" s="39">
        <f t="shared" si="25"/>
        <v>-66.79009573556283</v>
      </c>
      <c r="F211" t="str">
        <f t="shared" si="24"/>
        <v>0.0139149197560819+0.00880976020171012i</v>
      </c>
      <c r="G211" s="129">
        <f t="shared" si="26"/>
        <v>-35.666512813029655</v>
      </c>
      <c r="H211" s="39">
        <f t="shared" si="27"/>
        <v>32.338560675333206</v>
      </c>
    </row>
    <row r="212" spans="1:8" ht="15">
      <c r="A212">
        <f>IF(A211&gt;=$B$5,NA,A211+1)</f>
        <v>204</v>
      </c>
      <c r="B212" s="41">
        <f t="shared" si="21"/>
        <v>11580.972221996566</v>
      </c>
      <c r="C212" t="str">
        <f t="shared" si="23"/>
        <v>0.00609686581032881-0.0137941576965607i</v>
      </c>
      <c r="D212" s="129">
        <f t="shared" si="22"/>
        <v>-36.43112990967853</v>
      </c>
      <c r="E212" s="39">
        <f t="shared" si="25"/>
        <v>-66.15509912514128</v>
      </c>
      <c r="F212" t="str">
        <f t="shared" si="24"/>
        <v>0.0129346653296143+0.00826332719474171i</v>
      </c>
      <c r="G212" s="129">
        <f t="shared" si="26"/>
        <v>-36.27846570145275</v>
      </c>
      <c r="H212" s="39">
        <f t="shared" si="27"/>
        <v>32.572525916375994</v>
      </c>
    </row>
    <row r="213" spans="1:8" ht="15">
      <c r="A213">
        <f>IF(A212&gt;=$B$5,NA,A212+1)</f>
        <v>205</v>
      </c>
      <c r="B213" s="41">
        <f t="shared" si="21"/>
        <v>12124.541898699934</v>
      </c>
      <c r="C213" t="str">
        <f t="shared" si="23"/>
        <v>0.00609453229517172-0.0133931108301998i</v>
      </c>
      <c r="D213" s="129">
        <f t="shared" si="22"/>
        <v>-36.645045056654254</v>
      </c>
      <c r="E213" s="39">
        <f t="shared" si="25"/>
        <v>-65.53210138578105</v>
      </c>
      <c r="F213" t="str">
        <f t="shared" si="24"/>
        <v>0.0120362082216724+0.00776020726166752i</v>
      </c>
      <c r="G213" s="129">
        <f t="shared" si="26"/>
        <v>-36.880531324337355</v>
      </c>
      <c r="H213" s="39">
        <f t="shared" si="27"/>
        <v>32.81143533277603</v>
      </c>
    </row>
    <row r="214" spans="1:8" ht="15">
      <c r="A214">
        <f>IF(A213&gt;=$B$5,NA,A213+1)</f>
        <v>206</v>
      </c>
      <c r="B214" s="41">
        <f t="shared" si="21"/>
        <v>12693.624804151936</v>
      </c>
      <c r="C214" t="str">
        <f t="shared" si="23"/>
        <v>0.006092403321043-0.0130202456842458i</v>
      </c>
      <c r="D214" s="129">
        <f t="shared" si="22"/>
        <v>-36.84776830441479</v>
      </c>
      <c r="E214" s="39">
        <f t="shared" si="25"/>
        <v>-64.92427464773645</v>
      </c>
      <c r="F214" t="str">
        <f t="shared" si="24"/>
        <v>0.0112130455773207+0.00729617074970483i</v>
      </c>
      <c r="G214" s="129">
        <f t="shared" si="26"/>
        <v>-37.47228258289887</v>
      </c>
      <c r="H214" s="39">
        <f t="shared" si="27"/>
        <v>33.051486080701835</v>
      </c>
    </row>
    <row r="215" spans="1:8" ht="15">
      <c r="A215">
        <f>IF(A214&gt;=$B$5,NA,A214+1)</f>
        <v>207</v>
      </c>
      <c r="B215" s="41">
        <f t="shared" si="21"/>
        <v>13289.418438634628</v>
      </c>
      <c r="C215" t="str">
        <f t="shared" si="23"/>
        <v>0.00609046095933802-0.0126747777694169i</v>
      </c>
      <c r="D215" s="129">
        <f t="shared" si="22"/>
        <v>-37.038973303614256</v>
      </c>
      <c r="E215" s="39">
        <f t="shared" si="25"/>
        <v>-64.33486975860842</v>
      </c>
      <c r="F215" t="str">
        <f t="shared" si="24"/>
        <v>0.0104591384876573+0.00686744590428772i</v>
      </c>
      <c r="G215" s="129">
        <f t="shared" si="26"/>
        <v>-38.05331972394645</v>
      </c>
      <c r="H215" s="39">
        <f t="shared" si="27"/>
        <v>33.28880916718794</v>
      </c>
    </row>
    <row r="216" spans="1:8" ht="15">
      <c r="A216">
        <f>IF(A215&gt;=$B$5,NA,A215+1)</f>
        <v>208</v>
      </c>
      <c r="B216" s="41">
        <f t="shared" si="21"/>
        <v>13913.17650883739</v>
      </c>
      <c r="C216" t="str">
        <f t="shared" si="23"/>
        <v>0.00608868885291945-0.0123559802323572i</v>
      </c>
      <c r="D216" s="129">
        <f t="shared" si="22"/>
        <v>-37.21835657483835</v>
      </c>
      <c r="E216" s="39">
        <f t="shared" si="25"/>
        <v>-63.76718390607471</v>
      </c>
      <c r="F216" t="str">
        <f t="shared" si="24"/>
        <v>0.0097688877676661+0.00647066888071105i</v>
      </c>
      <c r="G216" s="129">
        <f t="shared" si="26"/>
        <v>-38.623271727403036</v>
      </c>
      <c r="H216" s="39">
        <f t="shared" si="27"/>
        <v>33.519503113317</v>
      </c>
    </row>
    <row r="217" spans="1:8" ht="15">
      <c r="A217">
        <f>IF(A216&gt;=$B$5,NA,A216+1)</f>
        <v>209</v>
      </c>
      <c r="B217" s="41">
        <f t="shared" si="21"/>
        <v>14566.211565985795</v>
      </c>
      <c r="C217" t="str">
        <f t="shared" si="23"/>
        <v>0.00608707207838045-0.0120631823280825i</v>
      </c>
      <c r="D217" s="129">
        <f t="shared" si="22"/>
        <v>-37.3856388972042</v>
      </c>
      <c r="E217" s="39">
        <f t="shared" si="25"/>
        <v>-63.22452536323799</v>
      </c>
      <c r="F217" t="str">
        <f t="shared" si="24"/>
        <v>0.00913710940612702+0.00610283882433169i</v>
      </c>
      <c r="G217" s="129">
        <f t="shared" si="26"/>
        <v>-39.181797272374254</v>
      </c>
      <c r="H217" s="39">
        <f t="shared" si="27"/>
        <v>33.73967023253677</v>
      </c>
    </row>
    <row r="218" spans="1:8" ht="15">
      <c r="A218">
        <f>IF(A217&gt;=$B$5,NA,A217+1)</f>
        <v>210</v>
      </c>
      <c r="B218" s="41">
        <f t="shared" si="21"/>
        <v>15249.897767795059</v>
      </c>
      <c r="C218" t="str">
        <f t="shared" si="23"/>
        <v>0.00608559702037928-0.0117957680102434i</v>
      </c>
      <c r="D218" s="129">
        <f t="shared" si="22"/>
        <v>-37.5405662195641</v>
      </c>
      <c r="E218" s="39">
        <f t="shared" si="25"/>
        <v>-62.71017599170896</v>
      </c>
      <c r="F218" t="str">
        <f t="shared" si="24"/>
        <v>0.00855901005824891+0.00576127760675293i</v>
      </c>
      <c r="G218" s="129">
        <f t="shared" si="26"/>
        <v>-39.728585248539865</v>
      </c>
      <c r="H218" s="39">
        <f t="shared" si="27"/>
        <v>33.94545492071067</v>
      </c>
    </row>
    <row r="219" spans="1:8" ht="15">
      <c r="A219">
        <f>IF(A218&gt;=$B$5,NA,A218+1)</f>
        <v>211</v>
      </c>
      <c r="B219" s="41">
        <f t="shared" si="21"/>
        <v>15965.673770059804</v>
      </c>
      <c r="C219" t="str">
        <f t="shared" si="23"/>
        <v>0.0060842512569879-0.0115531746362721i</v>
      </c>
      <c r="D219" s="129">
        <f t="shared" si="22"/>
        <v>-37.68291008202195</v>
      </c>
      <c r="E219" s="39">
        <f t="shared" si="25"/>
        <v>-62.22735222734534</v>
      </c>
      <c r="F219" t="str">
        <f t="shared" si="24"/>
        <v>0.00803016287714439+0.00544359381603418i</v>
      </c>
      <c r="G219" s="129">
        <f t="shared" si="26"/>
        <v>-40.26335480075369</v>
      </c>
      <c r="H219" s="39">
        <f t="shared" si="27"/>
        <v>34.13308326188572</v>
      </c>
    </row>
    <row r="220" spans="1:8" ht="15">
      <c r="A220">
        <f>IF(A219&gt;=$B$5,NA,A219+1)</f>
        <v>212</v>
      </c>
      <c r="B220" s="41">
        <f t="shared" si="21"/>
        <v>16715.045753964507</v>
      </c>
      <c r="C220" t="str">
        <f t="shared" si="23"/>
        <v>0.00608302345508954-0.0113348917847157i</v>
      </c>
      <c r="D220" s="129">
        <f t="shared" si="22"/>
        <v>-37.81246755875133</v>
      </c>
      <c r="E220" s="39">
        <f t="shared" si="25"/>
        <v>-61.77916533612036</v>
      </c>
      <c r="F220" t="str">
        <f t="shared" si="24"/>
        <v>0.00754648391601577+0.0051476506153942i</v>
      </c>
      <c r="G220" s="129">
        <f t="shared" si="26"/>
        <v>-40.78585491769175</v>
      </c>
      <c r="H220" s="39">
        <f t="shared" si="27"/>
        <v>34.29890318850117</v>
      </c>
    </row>
    <row r="221" spans="1:8" ht="15">
      <c r="A221">
        <f>IF(A220&gt;=$B$5,NA,A220+1)</f>
        <v>213</v>
      </c>
      <c r="B221" s="41">
        <f t="shared" si="21"/>
        <v>17499.590595485395</v>
      </c>
      <c r="C221" t="str">
        <f t="shared" si="23"/>
        <v>0.00608190327494346-0.0111404601822921i</v>
      </c>
      <c r="D221" s="129">
        <f t="shared" si="22"/>
        <v>-37.92906075668759</v>
      </c>
      <c r="E221" s="39">
        <f t="shared" si="25"/>
        <v>-61.36858176015944</v>
      </c>
      <c r="F221" t="str">
        <f t="shared" si="24"/>
        <v>0.00710420927812009+0.00487153710526832i</v>
      </c>
      <c r="G221" s="129">
        <f t="shared" si="26"/>
        <v>-41.295863598714874</v>
      </c>
      <c r="H221" s="39">
        <f t="shared" si="27"/>
        <v>34.43942439960877</v>
      </c>
    </row>
    <row r="222" spans="1:8" ht="15">
      <c r="A222">
        <f>IF(A221&gt;=$B$5,NA,A221+1)</f>
        <v>214</v>
      </c>
      <c r="B222" s="41">
        <f t="shared" si="21"/>
        <v>18320.95918355281</v>
      </c>
      <c r="C222" t="str">
        <f t="shared" si="23"/>
        <v>0.00608088128311497-0.0109694707384305i</v>
      </c>
      <c r="D222" s="129">
        <f t="shared" si="22"/>
        <v>-38.03253592700535</v>
      </c>
      <c r="E222" s="39">
        <f t="shared" si="25"/>
        <v>-60.99838437611236</v>
      </c>
      <c r="F222" t="str">
        <f t="shared" si="24"/>
        <v>0.0066998731453038+0.00461354284647039i</v>
      </c>
      <c r="G222" s="129">
        <f t="shared" si="26"/>
        <v>-41.79318665525197</v>
      </c>
      <c r="H222" s="39">
        <f t="shared" si="27"/>
        <v>34.55135723611588</v>
      </c>
    </row>
    <row r="223" spans="1:8" ht="15">
      <c r="A223">
        <f>IF(A222&gt;=$B$5,NA,A222+1)</f>
        <v>215</v>
      </c>
      <c r="B223" s="41">
        <f t="shared" si="21"/>
        <v>19180.87989395604</v>
      </c>
      <c r="C223" t="str">
        <f t="shared" si="23"/>
        <v>0.00607994887303698-0.0108215636852862i</v>
      </c>
      <c r="D223" s="129">
        <f t="shared" si="22"/>
        <v>-38.12276226587067</v>
      </c>
      <c r="E223" s="39">
        <f t="shared" si="25"/>
        <v>-60.671135461629525</v>
      </c>
      <c r="F223" t="str">
        <f t="shared" si="24"/>
        <v>0.00633028677721725+0.00437213522643574i</v>
      </c>
      <c r="G223" s="129">
        <f t="shared" si="26"/>
        <v>-42.27765622243816</v>
      </c>
      <c r="H223" s="39">
        <f t="shared" si="27"/>
        <v>34.63164973618956</v>
      </c>
    </row>
    <row r="224" spans="1:8" ht="15">
      <c r="A224">
        <f>IF(A223&gt;=$B$5,NA,A223+1)</f>
        <v>216</v>
      </c>
      <c r="B224" s="41">
        <f t="shared" si="21"/>
        <v>20081.162226301218</v>
      </c>
      <c r="C224" t="str">
        <f t="shared" si="23"/>
        <v>0.0060790981925335-0.0106964278214324i</v>
      </c>
      <c r="D224" s="129">
        <f t="shared" si="22"/>
        <v>-38.199630496429485</v>
      </c>
      <c r="E224" s="39">
        <f t="shared" si="25"/>
        <v>-60.38914211455453</v>
      </c>
      <c r="F224" t="str">
        <f t="shared" si="24"/>
        <v>0.00599251854131183+0.00414593937519612i</v>
      </c>
      <c r="G224" s="129">
        <f t="shared" si="26"/>
        <v>-42.749129072107564</v>
      </c>
      <c r="H224" s="39">
        <f t="shared" si="27"/>
        <v>34.67752214302363</v>
      </c>
    </row>
    <row r="225" spans="1:8" ht="15">
      <c r="A225">
        <f>IF(A224&gt;=$B$5,NA,A224+1)</f>
        <v>217</v>
      </c>
      <c r="B225" s="41">
        <f t="shared" si="21"/>
        <v>21023.70061167489</v>
      </c>
      <c r="C225" t="str">
        <f t="shared" si="23"/>
        <v>0.00607832207769627-0.0105937998576551i</v>
      </c>
      <c r="D225" s="129">
        <f t="shared" si="22"/>
        <v>-38.2630513342649</v>
      </c>
      <c r="E225" s="39">
        <f t="shared" si="25"/>
        <v>-60.1544247988109</v>
      </c>
      <c r="F225" t="str">
        <f t="shared" si="24"/>
        <v>0.00568387500754942+0.00393372036219748i</v>
      </c>
      <c r="G225" s="129">
        <f t="shared" si="26"/>
        <v>-43.20748482843713</v>
      </c>
      <c r="H225" s="39">
        <f t="shared" si="27"/>
        <v>34.686498205879055</v>
      </c>
    </row>
    <row r="226" spans="1:8" ht="15">
      <c r="A226">
        <f>IF(A225&gt;=$B$5,NA,A225+1)</f>
        <v>218</v>
      </c>
      <c r="B226" s="41">
        <f t="shared" si="21"/>
        <v>22010.478399026004</v>
      </c>
      <c r="C226" t="str">
        <f t="shared" si="23"/>
        <v>0.00607761399255664-0.0105134638634841i</v>
      </c>
      <c r="D226" s="129">
        <f t="shared" si="22"/>
        <v>-38.312953942917595</v>
      </c>
      <c r="E226" s="39">
        <f t="shared" si="25"/>
        <v>-59.968689606762375</v>
      </c>
      <c r="F226" t="str">
        <f t="shared" si="24"/>
        <v>0.00540188312059405+0.00373436742881985i</v>
      </c>
      <c r="G226" s="129">
        <f t="shared" si="26"/>
        <v>-43.652624191854706</v>
      </c>
      <c r="H226" s="39">
        <f t="shared" si="27"/>
        <v>34.65643269775529</v>
      </c>
    </row>
    <row r="227" spans="1:8" ht="15">
      <c r="A227">
        <f>IF(A226&gt;=$B$5,NA,A226+1)</f>
        <v>219</v>
      </c>
      <c r="B227" s="41">
        <f t="shared" si="21"/>
        <v>23043.572028654136</v>
      </c>
      <c r="C227" t="str">
        <f t="shared" si="23"/>
        <v>0.00607696797404549-0.0104552508133081i</v>
      </c>
      <c r="D227" s="129">
        <f t="shared" si="22"/>
        <v>-38.349284484171065</v>
      </c>
      <c r="E227" s="39">
        <f t="shared" si="25"/>
        <v>-59.83330473596435</v>
      </c>
      <c r="F227" t="str">
        <f t="shared" si="24"/>
        <v>0.00514427344540336+0.00354688003416435i</v>
      </c>
      <c r="G227" s="129">
        <f t="shared" si="26"/>
        <v>-44.084467274908135</v>
      </c>
      <c r="H227" s="39">
        <f t="shared" si="27"/>
        <v>34.58553466332355</v>
      </c>
    </row>
    <row r="228" spans="1:8" ht="15">
      <c r="A228">
        <f>IF(A227&gt;=$B$5,NA,A227+1)</f>
        <v>220</v>
      </c>
      <c r="B228" s="41">
        <f t="shared" si="21"/>
        <v>24125.155401586733</v>
      </c>
      <c r="C228" t="str">
        <f t="shared" si="23"/>
        <v>0.00607637858177707-0.0104190382311257i</v>
      </c>
      <c r="D228" s="129">
        <f t="shared" si="22"/>
        <v>-38.37200485975639</v>
      </c>
      <c r="E228" s="39">
        <f t="shared" si="25"/>
        <v>-59.74928158382457</v>
      </c>
      <c r="F228" t="str">
        <f t="shared" si="24"/>
        <v>0.00490896446892431+0.00337035551309942i</v>
      </c>
      <c r="G228" s="129">
        <f t="shared" si="26"/>
        <v>-44.502952145742654</v>
      </c>
      <c r="H228" s="39">
        <f t="shared" si="27"/>
        <v>34.47238600371816</v>
      </c>
    </row>
    <row r="229" spans="1:8" ht="15">
      <c r="A229">
        <f>IF(A228&gt;=$B$5,NA,A228+1)</f>
        <v>221</v>
      </c>
      <c r="B229" s="41">
        <f t="shared" si="21"/>
        <v>25257.504454039445</v>
      </c>
      <c r="C229" t="str">
        <f t="shared" si="23"/>
        <v>0.0060758408522347-0.0104047499331957i</v>
      </c>
      <c r="D229" s="129">
        <f t="shared" si="22"/>
        <v>-38.38109172739284</v>
      </c>
      <c r="E229" s="39">
        <f t="shared" si="25"/>
        <v>-59.71726077062492</v>
      </c>
      <c r="F229" t="str">
        <f t="shared" si="24"/>
        <v>0.00469404793046113+0.00320397816557946i</v>
      </c>
      <c r="G229" s="129">
        <f t="shared" si="26"/>
        <v>-44.90803366110364</v>
      </c>
      <c r="H229" s="39">
        <f t="shared" si="27"/>
        <v>34.31595509656291</v>
      </c>
    </row>
    <row r="230" spans="1:8" ht="15">
      <c r="A230">
        <f>IF(A229&gt;=$B$5,NA,A229+1)</f>
        <v>222</v>
      </c>
      <c r="B230" s="41">
        <f t="shared" si="21"/>
        <v>26443.001946584947</v>
      </c>
      <c r="C230" t="str">
        <f t="shared" si="23"/>
        <v>0.0060753502569717-0.0104123558680499i</v>
      </c>
      <c r="D230" s="129">
        <f t="shared" si="22"/>
        <v>-38.37653585548642</v>
      </c>
      <c r="E230" s="39">
        <f t="shared" si="25"/>
        <v>-59.737503311851746</v>
      </c>
      <c r="F230" t="str">
        <f t="shared" si="24"/>
        <v>0.00449777514570249+0.00304700961479062i</v>
      </c>
      <c r="G230" s="129">
        <f t="shared" si="26"/>
        <v>-45.29968265220912</v>
      </c>
      <c r="H230" s="39">
        <f t="shared" si="27"/>
        <v>34.11560523796211</v>
      </c>
    </row>
    <row r="231" spans="1:8" ht="15">
      <c r="A231">
        <f>IF(A230&gt;=$B$5,NA,A230+1)</f>
        <v>223</v>
      </c>
      <c r="B231" s="41">
        <f t="shared" si="21"/>
        <v>27684.14247810874</v>
      </c>
      <c r="C231" t="str">
        <f t="shared" si="23"/>
        <v>0.0060749026644764-0.0104418720535391i</v>
      </c>
      <c r="D231" s="129">
        <f t="shared" si="22"/>
        <v>-38.35834185845015</v>
      </c>
      <c r="E231" s="39">
        <f t="shared" si="25"/>
        <v>-59.80988707546404</v>
      </c>
      <c r="F231" t="str">
        <f t="shared" si="24"/>
        <v>0.00431854428393875+0.00289878028873114i</v>
      </c>
      <c r="G231" s="129">
        <f t="shared" si="26"/>
        <v>-45.67788550450786</v>
      </c>
      <c r="H231" s="39">
        <f t="shared" si="27"/>
        <v>33.87109777747987</v>
      </c>
    </row>
    <row r="232" spans="1:8" ht="15">
      <c r="A232">
        <f>IF(A231&gt;=$B$5,NA,A231+1)</f>
        <v>224</v>
      </c>
      <c r="B232" s="41">
        <f t="shared" si="21"/>
        <v>28983.537735102214</v>
      </c>
      <c r="C232" t="str">
        <f t="shared" si="23"/>
        <v>0.0060744943053797-0.0104933606107842i</v>
      </c>
      <c r="D232" s="129">
        <f t="shared" si="22"/>
        <v>-38.32652832981169</v>
      </c>
      <c r="E232" s="39">
        <f t="shared" si="25"/>
        <v>-59.933908577754664</v>
      </c>
      <c r="F232" t="str">
        <f t="shared" si="24"/>
        <v>0.00415488855428294+0.00275868189541856i</v>
      </c>
      <c r="G232" s="129">
        <f t="shared" si="26"/>
        <v>-46.042644147575096</v>
      </c>
      <c r="H232" s="39">
        <f t="shared" si="27"/>
        <v>33.582589898192914</v>
      </c>
    </row>
    <row r="233" spans="1:8" ht="15">
      <c r="A233">
        <f>IF(A232&gt;=$B$5,NA,A232+1)</f>
        <v>225</v>
      </c>
      <c r="B233" s="41">
        <f t="shared" si="21"/>
        <v>30343.921987338443</v>
      </c>
      <c r="C233" t="str">
        <f t="shared" si="23"/>
        <v>0.00607412174071185-0.0105669298951104i</v>
      </c>
      <c r="D233" s="129">
        <f t="shared" si="22"/>
        <v>-38.281128364474654</v>
      </c>
      <c r="E233" s="39">
        <f t="shared" si="25"/>
        <v>-60.10869009099726</v>
      </c>
      <c r="F233" t="str">
        <f t="shared" si="24"/>
        <v>0.00400546525440738+0.00262616077608578i</v>
      </c>
      <c r="G233" s="129">
        <f t="shared" si="26"/>
        <v>-46.393976445640355</v>
      </c>
      <c r="H233" s="39">
        <f t="shared" si="27"/>
        <v>33.250627073559066</v>
      </c>
    </row>
    <row r="234" spans="1:8" ht="15">
      <c r="A234">
        <f>IF(A233&gt;=$B$5,NA,A233+1)</f>
        <v>226</v>
      </c>
      <c r="B234" s="41">
        <f t="shared" si="21"/>
        <v>31768.15784149596</v>
      </c>
      <c r="C234" t="str">
        <f t="shared" si="23"/>
        <v>0.00607378183294218-0.0106627347242411i</v>
      </c>
      <c r="D234" s="129">
        <f t="shared" si="22"/>
        <v>-38.222190436207065</v>
      </c>
      <c r="E234" s="39">
        <f t="shared" si="25"/>
        <v>-60.332991954817814</v>
      </c>
      <c r="F234" t="str">
        <f t="shared" si="24"/>
        <v>0.00386904563414193+0.00250071203355369i</v>
      </c>
      <c r="G234" s="129">
        <f t="shared" si="26"/>
        <v>-46.73191695399041</v>
      </c>
      <c r="H234" s="39">
        <f t="shared" si="27"/>
        <v>32.876130313385154</v>
      </c>
    </row>
    <row r="235" spans="1:8" ht="15">
      <c r="A235">
        <f>IF(A234&gt;=$B$5,NA,A234+1)</f>
        <v>227</v>
      </c>
      <c r="B235" s="41">
        <f t="shared" si="21"/>
        <v>33259.242264836925</v>
      </c>
      <c r="C235" t="str">
        <f t="shared" si="23"/>
        <v>0.00607347171955678-0.0107809767042387i</v>
      </c>
      <c r="D235" s="129">
        <f t="shared" si="22"/>
        <v>-38.14977957310489</v>
      </c>
      <c r="E235" s="39">
        <f t="shared" si="25"/>
        <v>-60.60522989919946</v>
      </c>
      <c r="F235" t="str">
        <f t="shared" si="24"/>
        <v>0.0037445055260229+0.00238187434452921i</v>
      </c>
      <c r="G235" s="129">
        <f t="shared" si="26"/>
        <v>-47.05651798320909</v>
      </c>
      <c r="H235" s="39">
        <f t="shared" si="27"/>
        <v>32.46037839458311</v>
      </c>
    </row>
    <row r="236" spans="1:8" ht="15">
      <c r="A236">
        <f>IF(A235&gt;=$B$5,NA,A235+1)</f>
        <v>228</v>
      </c>
      <c r="B236" s="41">
        <f t="shared" si="21"/>
        <v>34820.3128916154</v>
      </c>
      <c r="C236" t="str">
        <f t="shared" si="23"/>
        <v>0.00607318878895256-0.0109219046538779i</v>
      </c>
      <c r="D236" s="129">
        <f t="shared" si="22"/>
        <v>-38.06397875380202</v>
      </c>
      <c r="E236" s="39">
        <f t="shared" si="25"/>
        <v>-60.923497098904406</v>
      </c>
      <c r="F236" t="str">
        <f t="shared" si="24"/>
        <v>0.00363081669532705+0.00226922537496479i</v>
      </c>
      <c r="G236" s="129">
        <f t="shared" si="26"/>
        <v>-47.3678508932838</v>
      </c>
      <c r="H236" s="39">
        <f t="shared" si="27"/>
        <v>32.00498535997404</v>
      </c>
    </row>
    <row r="237" spans="1:8" ht="15">
      <c r="A237">
        <f>IF(A236&gt;=$B$5,NA,A236+1)</f>
        <v>229</v>
      </c>
      <c r="B237" s="41">
        <f t="shared" si="21"/>
        <v>36454.65462548603</v>
      </c>
      <c r="C237" t="str">
        <f t="shared" si="23"/>
        <v>0.0060729306584437-0.0110858151283498i</v>
      </c>
      <c r="D237" s="129">
        <f t="shared" si="22"/>
        <v>-37.96489043173783</v>
      </c>
      <c r="E237" s="39">
        <f t="shared" si="25"/>
        <v>-61.28559058706679</v>
      </c>
      <c r="F237" t="str">
        <f t="shared" si="24"/>
        <v>0.00352703886311939+0.00216237772691733i</v>
      </c>
      <c r="G237" s="129">
        <f t="shared" si="26"/>
        <v>-47.66600752419593</v>
      </c>
      <c r="H237" s="39">
        <f t="shared" si="27"/>
        <v>31.511873659951085</v>
      </c>
    </row>
    <row r="238" spans="1:8" ht="15">
      <c r="A238">
        <f>IF(A237&gt;=$B$5,NA,A237+1)</f>
        <v>230</v>
      </c>
      <c r="B238" s="41">
        <f t="shared" si="21"/>
        <v>38165.70655180619</v>
      </c>
      <c r="C238" t="str">
        <f t="shared" si="23"/>
        <v>0.0060726951541965-0.0112730530433996i</v>
      </c>
      <c r="D238" s="129">
        <f t="shared" si="22"/>
        <v>-37.85263808478596</v>
      </c>
      <c r="E238" s="39">
        <f t="shared" si="25"/>
        <v>-61.689041561383604</v>
      </c>
      <c r="F238" t="str">
        <f t="shared" si="24"/>
        <v>0.00343231235724652+0.00206097535365637i</v>
      </c>
      <c r="G238" s="129">
        <f t="shared" si="26"/>
        <v>-47.95110165964428</v>
      </c>
      <c r="H238" s="39">
        <f t="shared" si="27"/>
        <v>30.983243405716873</v>
      </c>
    </row>
    <row r="239" spans="1:8" ht="15">
      <c r="A239">
        <f>IF(A238&gt;=$B$5,NA,A238+1)</f>
        <v>231</v>
      </c>
      <c r="B239" s="41">
        <f t="shared" si="21"/>
        <v>39957.06917437747</v>
      </c>
      <c r="C239" t="str">
        <f t="shared" si="23"/>
        <v>0.00607248029292264-0.0114840124012145i</v>
      </c>
      <c r="D239" s="129">
        <f t="shared" si="22"/>
        <v>-37.72736768358131</v>
      </c>
      <c r="E239" s="39">
        <f t="shared" si="25"/>
        <v>-62.13114902312607</v>
      </c>
      <c r="F239" t="str">
        <f t="shared" si="24"/>
        <v>0.00334585134790779+0.00196469038717478i</v>
      </c>
      <c r="G239" s="129">
        <f t="shared" si="26"/>
        <v>-48.223270416631266</v>
      </c>
      <c r="H239" s="39">
        <f t="shared" si="27"/>
        <v>30.421538295648592</v>
      </c>
    </row>
    <row r="240" spans="1:8" ht="15">
      <c r="A240">
        <f>IF(A239&gt;=$B$5,NA,A239+1)</f>
        <v>232</v>
      </c>
      <c r="B240" s="41">
        <f t="shared" si="21"/>
        <v>41832.51199185329</v>
      </c>
      <c r="C240" t="str">
        <f t="shared" si="23"/>
        <v>0.00607228426517712-0.0117191371195887i</v>
      </c>
      <c r="D240" s="129">
        <f t="shared" si="22"/>
        <v>-37.58924897418229</v>
      </c>
      <c r="E240" s="39">
        <f t="shared" si="25"/>
        <v>-62.60901610180876</v>
      </c>
      <c r="F240" t="str">
        <f t="shared" si="24"/>
        <v>0.00326693762634551+0.00187322032884156i</v>
      </c>
      <c r="G240" s="129">
        <f t="shared" si="26"/>
        <v>-48.482675455980356</v>
      </c>
      <c r="H240" s="39">
        <f t="shared" si="27"/>
        <v>29.829408863409018</v>
      </c>
    </row>
    <row r="241" spans="1:8" ht="15">
      <c r="A241">
        <f>IF(A240&gt;=$B$5,NA,A240+1)</f>
        <v>233</v>
      </c>
      <c r="B241" s="41">
        <f t="shared" si="21"/>
        <v>43795.98142975686</v>
      </c>
      <c r="C241" t="str">
        <f t="shared" si="23"/>
        <v>0.00607210542012032-0.0119789219661156i</v>
      </c>
      <c r="D241" s="129">
        <f t="shared" si="22"/>
        <v>-37.43847647907251</v>
      </c>
      <c r="E241" s="39">
        <f t="shared" si="25"/>
        <v>-63.11958834255311</v>
      </c>
      <c r="F241" t="str">
        <f t="shared" si="24"/>
        <v>0.00319491488723992+0.00178628555978106i</v>
      </c>
      <c r="G241" s="129">
        <f t="shared" si="26"/>
        <v>-48.729503917262946</v>
      </c>
      <c r="H241" s="39">
        <f t="shared" si="27"/>
        <v>29.209673771949127</v>
      </c>
    </row>
    <row r="242" spans="1:8" ht="15">
      <c r="A242">
        <f>IF(A241&gt;=$B$5,NA,A241+1)</f>
        <v>234</v>
      </c>
      <c r="B242" s="41">
        <f t="shared" si="21"/>
        <v>45851.60914479989</v>
      </c>
      <c r="C242" t="str">
        <f t="shared" si="23"/>
        <v>0.00607194225161557-0.0122639135993709i</v>
      </c>
      <c r="D242" s="129">
        <f t="shared" si="22"/>
        <v>-37.27527013435847</v>
      </c>
      <c r="E242" s="39">
        <f t="shared" si="25"/>
        <v>-63.65969317491786</v>
      </c>
      <c r="F242" t="str">
        <f t="shared" si="24"/>
        <v>0.00312918347751323+0.00170362713274277i</v>
      </c>
      <c r="G242" s="129">
        <f t="shared" si="26"/>
        <v>-48.96396899549888</v>
      </c>
      <c r="H242" s="39">
        <f t="shared" si="27"/>
        <v>28.56527993556861</v>
      </c>
    </row>
    <row r="243" spans="1:8" ht="15">
      <c r="A243">
        <f>IF(A242&gt;=$B$5,NA,A242+1)</f>
        <v>235</v>
      </c>
      <c r="B243" s="41">
        <f t="shared" si="21"/>
        <v>48003.720718975754</v>
      </c>
      <c r="C243" t="str">
        <f t="shared" si="23"/>
        <v>0.00607179338554534-0.0125747117192797i</v>
      </c>
      <c r="D243" s="129">
        <f t="shared" si="22"/>
        <v>-37.09987549936865</v>
      </c>
      <c r="E243" s="39">
        <f t="shared" si="25"/>
        <v>-64.2260797468404</v>
      </c>
      <c r="F243" t="str">
        <f t="shared" si="24"/>
        <v>0.0030691955763952+0.00162500481180831i</v>
      </c>
      <c r="G243" s="129">
        <f t="shared" si="26"/>
        <v>-49.186310095385046</v>
      </c>
      <c r="H243" s="39">
        <f t="shared" si="27"/>
        <v>27.899262287127733</v>
      </c>
    </row>
    <row r="244" spans="1:8" ht="15">
      <c r="A244">
        <f>IF(A243&gt;=$B$5,NA,A243+1)</f>
        <v>236</v>
      </c>
      <c r="B244" s="41">
        <f t="shared" si="21"/>
        <v>50256.844761723245</v>
      </c>
      <c r="C244" t="str">
        <f t="shared" si="23"/>
        <v>0.00607165756823932-0.0129119703290915i</v>
      </c>
      <c r="D244" s="129">
        <f t="shared" si="22"/>
        <v>-36.91256349644418</v>
      </c>
      <c r="E244" s="39">
        <f t="shared" si="25"/>
        <v>-64.8154582996789</v>
      </c>
      <c r="F244" t="str">
        <f t="shared" si="24"/>
        <v>0.00301445077374558+0.0015501953303325i</v>
      </c>
      <c r="G244" s="129">
        <f t="shared" si="26"/>
        <v>-49.39679252042029</v>
      </c>
      <c r="H244" s="39">
        <f t="shared" si="27"/>
        <v>27.21470401497677</v>
      </c>
    </row>
    <row r="245" spans="1:8" ht="15">
      <c r="A245">
        <f>IF(A244&gt;=$B$5,NA,A244+1)</f>
        <v>237</v>
      </c>
      <c r="B245" s="41">
        <f t="shared" si="21"/>
        <v>52615.72243931356</v>
      </c>
      <c r="C245" t="str">
        <f t="shared" si="23"/>
        <v>0.00607153365591679-0.0132763991116148i</v>
      </c>
      <c r="D245" s="129">
        <f t="shared" si="22"/>
        <v>-36.713629662057514</v>
      </c>
      <c r="E245" s="39">
        <f t="shared" si="25"/>
        <v>-65.42453828272029</v>
      </c>
      <c r="F245" t="str">
        <f t="shared" si="24"/>
        <v>0.00296449201573177+0.00147899084108919i</v>
      </c>
      <c r="G245" s="129">
        <f t="shared" si="26"/>
        <v>-49.59570667767661</v>
      </c>
      <c r="H245" s="39">
        <f t="shared" si="27"/>
        <v>26.514698071645274</v>
      </c>
    </row>
    <row r="246" spans="1:8" ht="15">
      <c r="A246">
        <f>IF(A245&gt;=$B$5,NA,A245+1)</f>
        <v>238</v>
      </c>
      <c r="B246" s="41">
        <f t="shared" si="21"/>
        <v>55085.317451512026</v>
      </c>
      <c r="C246" t="str">
        <f t="shared" si="23"/>
        <v>0.00607142060505406-0.0136687649226135i</v>
      </c>
      <c r="D246" s="129">
        <f t="shared" si="22"/>
        <v>-36.50339291393878</v>
      </c>
      <c r="E246" s="39">
        <f t="shared" si="25"/>
        <v>-66.05006445832036</v>
      </c>
      <c r="F246" t="str">
        <f t="shared" si="24"/>
        <v>0.00291890188901252+0.00141119753574446i</v>
      </c>
      <c r="G246" s="129">
        <f t="shared" si="26"/>
        <v>-49.7833668025376</v>
      </c>
      <c r="H246" s="39">
        <f t="shared" si="27"/>
        <v>25.802310703402004</v>
      </c>
    </row>
    <row r="247" spans="1:8" ht="15">
      <c r="A247">
        <f>IF(A246&gt;=$B$5,NA,A246+1)</f>
        <v>239</v>
      </c>
      <c r="B247" s="41">
        <f t="shared" si="21"/>
        <v>57670.826476509705</v>
      </c>
      <c r="C247" t="str">
        <f t="shared" si="23"/>
        <v>0.00607131746359696-0.014089893404504i</v>
      </c>
      <c r="D247" s="129">
        <f t="shared" si="22"/>
        <v>-36.28219386115054</v>
      </c>
      <c r="E247" s="39">
        <f t="shared" si="25"/>
        <v>-66.68885033001433</v>
      </c>
      <c r="F247" t="str">
        <f t="shared" si="24"/>
        <v>0.00287729921655301+0.00134663441355589i</v>
      </c>
      <c r="G247" s="129">
        <f t="shared" si="26"/>
        <v>-49.96010923001448</v>
      </c>
      <c r="H247" s="39">
        <f t="shared" si="27"/>
        <v>25.08054766851346</v>
      </c>
    </row>
    <row r="248" spans="1:8" ht="15">
      <c r="A248">
        <f>IF(A247&gt;=$B$5,NA,A247+1)</f>
        <v>240</v>
      </c>
      <c r="B248" s="41">
        <f t="shared" si="21"/>
        <v>60377.690106102964</v>
      </c>
      <c r="C248" t="str">
        <f t="shared" si="23"/>
        <v>0.00607122336294284-0.0145406707237518i</v>
      </c>
      <c r="D248" s="129">
        <f t="shared" si="22"/>
        <v>-36.050392703688935</v>
      </c>
      <c r="E248" s="39">
        <f t="shared" si="25"/>
        <v>-67.33780833138303</v>
      </c>
      <c r="F248" t="str">
        <f t="shared" si="24"/>
        <v>0.00283933594009163+0.00128513218163911i</v>
      </c>
      <c r="G248" s="129">
        <f t="shared" si="26"/>
        <v>-50.12629025891555</v>
      </c>
      <c r="H248" s="39">
        <f t="shared" si="27"/>
        <v>24.352323706488985</v>
      </c>
    </row>
    <row r="249" spans="1:8" ht="15">
      <c r="A249">
        <f>IF(A248&gt;=$B$5,NA,A248+1)</f>
        <v>241</v>
      </c>
      <c r="B249" s="41">
        <f t="shared" si="21"/>
        <v>63211.60429413064</v>
      </c>
      <c r="C249" t="str">
        <f t="shared" si="23"/>
        <v>0.00607113751062569-0.0150220454356227i</v>
      </c>
      <c r="D249" s="129">
        <f t="shared" si="22"/>
        <v>-35.8083667841722</v>
      </c>
      <c r="E249" s="39">
        <f t="shared" si="25"/>
        <v>-67.9939763371394</v>
      </c>
      <c r="F249" t="str">
        <f t="shared" si="24"/>
        <v>0.0028046942660827+0.00122653227129317i</v>
      </c>
      <c r="G249" s="129">
        <f t="shared" si="26"/>
        <v>-50.28228367114809</v>
      </c>
      <c r="H249" s="39">
        <f t="shared" si="27"/>
        <v>23.620435696845895</v>
      </c>
    </row>
    <row r="250" spans="1:8" ht="15">
      <c r="A250">
        <f>IF(A249&gt;=$B$5,NA,A249+1)</f>
        <v>242</v>
      </c>
      <c r="B250" s="41">
        <f t="shared" si="21"/>
        <v>66178.53234226101</v>
      </c>
      <c r="C250" t="str">
        <f t="shared" si="23"/>
        <v>0.0060710591836428-0.0155350304802132i</v>
      </c>
      <c r="D250" s="129">
        <f t="shared" si="22"/>
        <v>-35.556507865801755</v>
      </c>
      <c r="E250" s="39">
        <f t="shared" si="25"/>
        <v>-68.65454019272076</v>
      </c>
      <c r="F250" t="str">
        <f t="shared" si="24"/>
        <v>0.00277308405364723+0.00117068595676373i</v>
      </c>
      <c r="G250" s="129">
        <f t="shared" si="26"/>
        <v>-50.428477980083144</v>
      </c>
      <c r="H250" s="39">
        <f t="shared" si="27"/>
        <v>22.887539811034596</v>
      </c>
    </row>
    <row r="251" spans="1:8" ht="15">
      <c r="A251">
        <f>IF(A250&gt;=$B$5,NA,A250+1)</f>
        <v>243</v>
      </c>
      <c r="B251" s="41">
        <f t="shared" si="21"/>
        <v>69284.71744834914</v>
      </c>
      <c r="C251" t="str">
        <f t="shared" si="23"/>
        <v>0.00607098772236559-0.0160807053139614i</v>
      </c>
      <c r="D251" s="129">
        <f t="shared" si="22"/>
        <v>-35.29521921773003</v>
      </c>
      <c r="E251" s="39">
        <f t="shared" si="25"/>
        <v>-69.31685209697625</v>
      </c>
      <c r="F251" t="str">
        <f t="shared" si="24"/>
        <v>0.00274424042467738+0.00111745356448327i</v>
      </c>
      <c r="G251" s="129">
        <f t="shared" si="26"/>
        <v>-50.56527348887866</v>
      </c>
      <c r="H251" s="39">
        <f t="shared" si="27"/>
        <v>22.156132822814897</v>
      </c>
    </row>
    <row r="252" spans="1:8" ht="15">
      <c r="A252">
        <f>IF(A251&gt;=$B$5,NA,A251+1)</f>
        <v>244</v>
      </c>
      <c r="B252" s="41">
        <f t="shared" si="21"/>
        <v>72536.6958437684</v>
      </c>
      <c r="C252" t="str">
        <f t="shared" si="23"/>
        <v>0.00607092252498487-0.0166602181811233i</v>
      </c>
      <c r="D252" s="129">
        <f t="shared" si="22"/>
        <v>-35.02491259128738</v>
      </c>
      <c r="E252" s="39">
        <f t="shared" si="25"/>
        <v>-69.97844480689352</v>
      </c>
      <c r="F252" t="str">
        <f t="shared" si="24"/>
        <v>0.00271792157775383+0.00106670376228367i</v>
      </c>
      <c r="G252" s="129">
        <f t="shared" si="26"/>
        <v>-50.6930792419991</v>
      </c>
      <c r="H252" s="39">
        <f t="shared" si="27"/>
        <v>21.428537607965023</v>
      </c>
    </row>
    <row r="253" spans="1:8" ht="15">
      <c r="A253">
        <f>IF(A252&gt;=$B$5,NA,A252+1)</f>
        <v>245</v>
      </c>
      <c r="B253" s="41">
        <f t="shared" si="21"/>
        <v>75941.31054736263</v>
      </c>
      <c r="C253" t="str">
        <f t="shared" si="23"/>
        <v>0.00607086304244257-0.0172747885299947i</v>
      </c>
      <c r="D253" s="129">
        <f t="shared" si="22"/>
        <v>-34.74600516857517</v>
      </c>
      <c r="E253" s="39">
        <f t="shared" si="25"/>
        <v>-70.63704175717484</v>
      </c>
      <c r="F253" t="str">
        <f t="shared" si="24"/>
        <v>0.00269390678895622+0.00101831291935564i</v>
      </c>
      <c r="G253" s="129">
        <f t="shared" si="26"/>
        <v>-50.81230995123751</v>
      </c>
      <c r="H253" s="39">
        <f t="shared" si="27"/>
        <v>20.706892740311524</v>
      </c>
    </row>
    <row r="254" spans="1:8" ht="15">
      <c r="A254">
        <f>IF(A253&gt;=$B$5,NA,A253+1)</f>
        <v>246</v>
      </c>
      <c r="B254" s="41">
        <f t="shared" si="21"/>
        <v>79505.72576496025</v>
      </c>
      <c r="C254" t="str">
        <f t="shared" si="23"/>
        <v>0.00607080877380798-0.0179257095789635i</v>
      </c>
      <c r="D254" s="129">
        <f t="shared" si="22"/>
        <v>-34.45891655934026</v>
      </c>
      <c r="E254" s="39">
        <f t="shared" si="25"/>
        <v>-71.29056329554194</v>
      </c>
      <c r="F254" t="str">
        <f t="shared" si="24"/>
        <v>0.00267199458397237+0.000972164528851015i</v>
      </c>
      <c r="G254" s="129">
        <f t="shared" si="26"/>
        <v>-50.92338297197379</v>
      </c>
      <c r="H254" s="39">
        <f t="shared" si="27"/>
        <v>19.99314598296389</v>
      </c>
    </row>
    <row r="255" spans="1:8" ht="15">
      <c r="A255">
        <f>IF(A254&gt;=$B$5,NA,A254+1)</f>
        <v>247</v>
      </c>
      <c r="B255" s="41">
        <f t="shared" si="21"/>
        <v>83237.44196474882</v>
      </c>
      <c r="C255" t="str">
        <f t="shared" si="23"/>
        <v>0.00607075926205915-0.0186143510377919i</v>
      </c>
      <c r="D255" s="129">
        <f t="shared" si="22"/>
        <v>-34.16406591359296</v>
      </c>
      <c r="E255" s="39">
        <f t="shared" si="25"/>
        <v>-71.93712932327027</v>
      </c>
      <c r="F255" t="str">
        <f t="shared" si="24"/>
        <v>0.00265200106714799+0.000928148686007664i</v>
      </c>
      <c r="G255" s="129">
        <f t="shared" si="26"/>
        <v>-51.026715396963375</v>
      </c>
      <c r="H255" s="39">
        <f t="shared" si="27"/>
        <v>19.28905138499289</v>
      </c>
    </row>
    <row r="256" spans="1:8" ht="15">
      <c r="A256">
        <f>IF(A255&gt;=$B$5,NA,A255+1)</f>
        <v>248</v>
      </c>
      <c r="B256" s="41">
        <f t="shared" si="21"/>
        <v>87144.31166023554</v>
      </c>
      <c r="C256" t="str">
        <f t="shared" si="23"/>
        <v>0.00607071409023408-0.0193421619898556i</v>
      </c>
      <c r="D256" s="129">
        <f t="shared" si="22"/>
        <v>-33.861869206973914</v>
      </c>
      <c r="E256" s="39">
        <f t="shared" si="25"/>
        <v>-72.57505869761582</v>
      </c>
      <c r="F256" t="str">
        <f t="shared" si="24"/>
        <v>0.00263375839426796+0.00088616161553996i</v>
      </c>
      <c r="G256" s="129">
        <f t="shared" si="26"/>
        <v>-51.122721324509016</v>
      </c>
      <c r="H256" s="39">
        <f t="shared" si="27"/>
        <v>18.596169626617762</v>
      </c>
    </row>
    <row r="257" spans="1:8" ht="15">
      <c r="A257">
        <f>IF(A256&gt;=$B$5,NA,A256+1)</f>
        <v>249</v>
      </c>
      <c r="B257" s="41">
        <f t="shared" si="21"/>
        <v>91234.55593400389</v>
      </c>
      <c r="C257" t="str">
        <f t="shared" si="23"/>
        <v>0.00607067287791938-0.0201106739414046i</v>
      </c>
      <c r="D257" s="129">
        <f t="shared" si="22"/>
        <v>-33.55273674427878</v>
      </c>
      <c r="E257" s="39">
        <f t="shared" si="25"/>
        <v>-73.20286579810607</v>
      </c>
      <c r="F257" t="str">
        <f t="shared" si="24"/>
        <v>0.00261711337692678+0.000846105242793687i</v>
      </c>
      <c r="G257" s="129">
        <f t="shared" si="26"/>
        <v>-51.21180934628387</v>
      </c>
      <c r="H257" s="39">
        <f t="shared" si="27"/>
        <v>17.915871210637228</v>
      </c>
    </row>
    <row r="258" spans="1:8" ht="15">
      <c r="A258">
        <f>IF(A257&gt;=$B$5,NA,A257+1)</f>
        <v>250</v>
      </c>
      <c r="B258" s="41">
        <f t="shared" si="21"/>
        <v>95516.78173703513</v>
      </c>
      <c r="C258" t="str">
        <f t="shared" si="23"/>
        <v>0.00607063527804644-0.0209215040442624i</v>
      </c>
      <c r="D258" s="129">
        <f t="shared" si="22"/>
        <v>-33.23707091459923</v>
      </c>
      <c r="E258" s="39">
        <f t="shared" si="25"/>
        <v>-73.81925468310243</v>
      </c>
      <c r="F258" t="str">
        <f t="shared" si="24"/>
        <v>0.00260192620733445+0.000807886803827604i</v>
      </c>
      <c r="G258" s="129">
        <f t="shared" si="26"/>
        <v>-51.29438028813526</v>
      </c>
      <c r="H258" s="39">
        <f t="shared" si="27"/>
        <v>17.249342073399305</v>
      </c>
    </row>
    <row r="259" spans="1:8" ht="15">
      <c r="A259">
        <f>IF(A258&gt;=$B$5,NA,A258+1)</f>
        <v>251</v>
      </c>
      <c r="B259" s="41">
        <f t="shared" si="21"/>
        <v>100000</v>
      </c>
      <c r="C259" t="str">
        <f t="shared" si="23"/>
        <v>0.00607060097396884-0.0217763584987456i</v>
      </c>
      <c r="D259" s="129">
        <f t="shared" si="22"/>
        <v>-32.91526421991313</v>
      </c>
      <c r="E259" s="39">
        <f t="shared" si="25"/>
        <v>-74.42311126865302</v>
      </c>
      <c r="F259" t="str">
        <f t="shared" si="24"/>
        <v>0.0025880692933179+0.000771418490165029i</v>
      </c>
      <c r="G259" s="129">
        <f t="shared" si="26"/>
        <v>-51.37082522558493</v>
      </c>
      <c r="H259" s="39">
        <f t="shared" si="27"/>
        <v>16.5975911829862</v>
      </c>
    </row>
    <row r="260" spans="2:4" ht="15">
      <c r="B260" s="41"/>
      <c r="D260" s="129"/>
    </row>
    <row r="261" spans="2:4" ht="15">
      <c r="B261" s="41"/>
      <c r="D261" s="129"/>
    </row>
    <row r="262" spans="2:4" ht="15">
      <c r="B262" s="41"/>
      <c r="D262" s="129"/>
    </row>
    <row r="263" spans="2:4" ht="15">
      <c r="B263" s="41"/>
      <c r="D263" s="129"/>
    </row>
    <row r="264" spans="2:4" ht="15">
      <c r="B264" s="41"/>
      <c r="D264" s="129"/>
    </row>
    <row r="265" spans="2:4" ht="15">
      <c r="B265" s="41"/>
      <c r="D265" s="129"/>
    </row>
    <row r="266" spans="2:4" ht="15">
      <c r="B266" s="41"/>
      <c r="D266" s="129"/>
    </row>
    <row r="267" spans="2:4" ht="15">
      <c r="B267" s="41"/>
      <c r="D267" s="129"/>
    </row>
    <row r="268" spans="2:4" ht="15">
      <c r="B268" s="41"/>
      <c r="D268" s="129"/>
    </row>
    <row r="269" spans="2:4" ht="15">
      <c r="B269" s="41"/>
      <c r="D269" s="129"/>
    </row>
    <row r="270" spans="2:4" ht="15">
      <c r="B270" s="41"/>
      <c r="D270" s="129"/>
    </row>
    <row r="271" spans="2:4" ht="15">
      <c r="B271" s="41"/>
      <c r="D271" s="129"/>
    </row>
    <row r="272" spans="2:4" ht="15">
      <c r="B272" s="41"/>
      <c r="D272" s="129"/>
    </row>
    <row r="273" spans="2:4" ht="15">
      <c r="B273" s="41"/>
      <c r="D273" s="129"/>
    </row>
    <row r="274" spans="2:4" ht="15">
      <c r="B274" s="41"/>
      <c r="D274" s="129"/>
    </row>
    <row r="275" spans="2:4" ht="15">
      <c r="B275" s="41"/>
      <c r="D275" s="129"/>
    </row>
    <row r="276" spans="2:4" ht="15">
      <c r="B276" s="41"/>
      <c r="D276" s="129"/>
    </row>
    <row r="277" spans="2:4" ht="15">
      <c r="B277" s="41"/>
      <c r="D277" s="129"/>
    </row>
    <row r="278" spans="2:4" ht="15">
      <c r="B278" s="41"/>
      <c r="D278" s="129"/>
    </row>
    <row r="279" spans="2:4" ht="15">
      <c r="B279" s="41"/>
      <c r="D279" s="129"/>
    </row>
    <row r="280" spans="2:4" ht="15">
      <c r="B280" s="41"/>
      <c r="D280" s="129"/>
    </row>
    <row r="281" spans="2:4" ht="15">
      <c r="B281" s="41"/>
      <c r="D281" s="129"/>
    </row>
    <row r="282" spans="2:4" ht="15">
      <c r="B282" s="41"/>
      <c r="D282" s="129"/>
    </row>
    <row r="283" spans="2:4" ht="15">
      <c r="B283" s="41"/>
      <c r="D283" s="129"/>
    </row>
    <row r="284" spans="2:4" ht="15">
      <c r="B284" s="41"/>
      <c r="D284" s="129"/>
    </row>
    <row r="285" spans="2:4" ht="15">
      <c r="B285" s="41"/>
      <c r="D285" s="129"/>
    </row>
    <row r="286" spans="2:4" ht="15">
      <c r="B286" s="41"/>
      <c r="D286" s="129"/>
    </row>
    <row r="287" spans="2:4" ht="15">
      <c r="B287" s="41"/>
      <c r="D287" s="129"/>
    </row>
    <row r="288" spans="2:4" ht="15">
      <c r="B288" s="41"/>
      <c r="D288" s="129"/>
    </row>
    <row r="289" spans="2:4" ht="15">
      <c r="B289" s="41"/>
      <c r="D289" s="129"/>
    </row>
    <row r="290" spans="2:4" ht="15">
      <c r="B290" s="41"/>
      <c r="D290" s="129"/>
    </row>
    <row r="291" spans="2:4" ht="15">
      <c r="B291" s="41"/>
      <c r="D291" s="129"/>
    </row>
    <row r="292" spans="2:4" ht="15">
      <c r="B292" s="41"/>
      <c r="D292" s="129"/>
    </row>
    <row r="293" spans="2:4" ht="15">
      <c r="B293" s="41"/>
      <c r="D293" s="129"/>
    </row>
    <row r="294" spans="2:4" ht="15">
      <c r="B294" s="41"/>
      <c r="D294" s="129"/>
    </row>
    <row r="295" spans="2:4" ht="15">
      <c r="B295" s="41"/>
      <c r="D295" s="129"/>
    </row>
    <row r="296" spans="2:4" ht="15">
      <c r="B296" s="41"/>
      <c r="D296" s="129"/>
    </row>
    <row r="297" spans="2:4" ht="15">
      <c r="B297" s="41"/>
      <c r="D297" s="129"/>
    </row>
    <row r="298" spans="2:4" ht="15">
      <c r="B298" s="41"/>
      <c r="D298" s="129"/>
    </row>
    <row r="299" spans="2:4" ht="15">
      <c r="B299" s="41"/>
      <c r="D299" s="129"/>
    </row>
    <row r="300" spans="2:4" ht="15">
      <c r="B300" s="41"/>
      <c r="D300" s="129"/>
    </row>
    <row r="301" spans="2:4" ht="15">
      <c r="B301" s="41"/>
      <c r="D301" s="129"/>
    </row>
    <row r="302" spans="2:4" ht="15">
      <c r="B302" s="41"/>
      <c r="D302" s="129"/>
    </row>
    <row r="303" spans="2:4" ht="15">
      <c r="B303" s="41"/>
      <c r="D303" s="129"/>
    </row>
    <row r="304" spans="2:4" ht="15">
      <c r="B304" s="41"/>
      <c r="D304" s="129"/>
    </row>
    <row r="305" spans="2:4" ht="15">
      <c r="B305" s="41"/>
      <c r="D305" s="129"/>
    </row>
    <row r="306" spans="2:4" ht="15">
      <c r="B306" s="41"/>
      <c r="D306" s="129"/>
    </row>
    <row r="307" spans="2:4" ht="15">
      <c r="B307" s="41"/>
      <c r="D307" s="129"/>
    </row>
    <row r="308" spans="2:4" ht="15">
      <c r="B308" s="41"/>
      <c r="D308" s="129"/>
    </row>
    <row r="309" spans="2:4" ht="15">
      <c r="B309" s="41"/>
      <c r="D309" s="129"/>
    </row>
    <row r="310" spans="2:4" ht="15">
      <c r="B310" s="41"/>
      <c r="D310" s="129"/>
    </row>
    <row r="311" spans="2:4" ht="15">
      <c r="B311" s="41"/>
      <c r="D311" s="129"/>
    </row>
    <row r="312" spans="2:4" ht="15">
      <c r="B312" s="41"/>
      <c r="D312" s="129"/>
    </row>
    <row r="313" spans="2:4" ht="15">
      <c r="B313" s="41"/>
      <c r="D313" s="129"/>
    </row>
    <row r="314" spans="2:4" ht="15">
      <c r="B314" s="41"/>
      <c r="D314" s="129"/>
    </row>
    <row r="315" spans="2:4" ht="15">
      <c r="B315" s="41"/>
      <c r="D315" s="129"/>
    </row>
    <row r="316" spans="2:4" ht="15">
      <c r="B316" s="41"/>
      <c r="D316" s="129"/>
    </row>
    <row r="317" spans="2:4" ht="15">
      <c r="B317" s="41"/>
      <c r="D317" s="129"/>
    </row>
    <row r="318" spans="2:4" ht="15">
      <c r="B318" s="41"/>
      <c r="D318" s="129"/>
    </row>
    <row r="319" spans="2:4" ht="15">
      <c r="B319" s="41"/>
      <c r="D319" s="129"/>
    </row>
    <row r="320" spans="2:4" ht="15">
      <c r="B320" s="41"/>
      <c r="D320" s="129"/>
    </row>
    <row r="321" spans="2:4" ht="15">
      <c r="B321" s="41"/>
      <c r="D321" s="129"/>
    </row>
    <row r="322" spans="2:4" ht="15">
      <c r="B322" s="41"/>
      <c r="D322" s="129"/>
    </row>
    <row r="323" spans="2:4" ht="15">
      <c r="B323" s="41"/>
      <c r="D323" s="129"/>
    </row>
    <row r="324" spans="2:4" ht="15">
      <c r="B324" s="41"/>
      <c r="D324" s="129"/>
    </row>
    <row r="325" spans="2:4" ht="15">
      <c r="B325" s="41"/>
      <c r="D325" s="129"/>
    </row>
    <row r="326" spans="2:4" ht="15">
      <c r="B326" s="41"/>
      <c r="D326" s="129"/>
    </row>
    <row r="327" spans="2:4" ht="15">
      <c r="B327" s="41"/>
      <c r="D327" s="129"/>
    </row>
    <row r="328" spans="2:4" ht="15">
      <c r="B328" s="41"/>
      <c r="D328" s="129"/>
    </row>
    <row r="329" spans="2:4" ht="15">
      <c r="B329" s="41"/>
      <c r="D329" s="129"/>
    </row>
    <row r="330" spans="2:4" ht="15">
      <c r="B330" s="41"/>
      <c r="D330" s="129"/>
    </row>
    <row r="331" spans="2:4" ht="15">
      <c r="B331" s="41"/>
      <c r="D331" s="129"/>
    </row>
    <row r="332" spans="2:4" ht="15">
      <c r="B332" s="41"/>
      <c r="D332" s="129"/>
    </row>
    <row r="333" spans="2:4" ht="15">
      <c r="B333" s="41"/>
      <c r="D333" s="129"/>
    </row>
    <row r="334" spans="2:4" ht="15">
      <c r="B334" s="41"/>
      <c r="D334" s="129"/>
    </row>
    <row r="335" spans="2:4" ht="15">
      <c r="B335" s="41"/>
      <c r="D335" s="129"/>
    </row>
    <row r="336" spans="2:4" ht="15">
      <c r="B336" s="41"/>
      <c r="D336" s="129"/>
    </row>
    <row r="337" spans="2:4" ht="15">
      <c r="B337" s="41"/>
      <c r="D337" s="129"/>
    </row>
    <row r="338" spans="2:4" ht="15">
      <c r="B338" s="41"/>
      <c r="D338" s="129"/>
    </row>
    <row r="339" spans="2:4" ht="15">
      <c r="B339" s="41"/>
      <c r="D339" s="129"/>
    </row>
    <row r="340" spans="2:4" ht="15">
      <c r="B340" s="41"/>
      <c r="D340" s="129"/>
    </row>
    <row r="341" spans="2:4" ht="15">
      <c r="B341" s="41"/>
      <c r="D341" s="129"/>
    </row>
    <row r="342" spans="2:4" ht="15">
      <c r="B342" s="41"/>
      <c r="D342" s="129"/>
    </row>
    <row r="343" spans="2:4" ht="15">
      <c r="B343" s="41"/>
      <c r="D343" s="129"/>
    </row>
    <row r="344" spans="2:4" ht="15">
      <c r="B344" s="41"/>
      <c r="D344" s="129"/>
    </row>
    <row r="345" spans="2:4" ht="15">
      <c r="B345" s="41"/>
      <c r="D345" s="129"/>
    </row>
    <row r="346" spans="2:4" ht="15">
      <c r="B346" s="41"/>
      <c r="D346" s="129"/>
    </row>
    <row r="347" spans="2:4" ht="15">
      <c r="B347" s="41"/>
      <c r="D347" s="129"/>
    </row>
    <row r="348" spans="2:4" ht="15">
      <c r="B348" s="41"/>
      <c r="D348" s="129"/>
    </row>
    <row r="349" spans="2:4" ht="15">
      <c r="B349" s="41"/>
      <c r="D349" s="129"/>
    </row>
    <row r="350" spans="2:4" ht="15">
      <c r="B350" s="41"/>
      <c r="D350" s="129"/>
    </row>
    <row r="351" spans="2:4" ht="15">
      <c r="B351" s="41"/>
      <c r="D351" s="129"/>
    </row>
    <row r="352" spans="2:4" ht="15">
      <c r="B352" s="41"/>
      <c r="D352" s="129"/>
    </row>
    <row r="353" spans="2:4" ht="15">
      <c r="B353" s="41"/>
      <c r="D353" s="129"/>
    </row>
    <row r="354" spans="2:4" ht="15">
      <c r="B354" s="41"/>
      <c r="D354" s="129"/>
    </row>
    <row r="355" spans="2:4" ht="15">
      <c r="B355" s="41"/>
      <c r="D355" s="129"/>
    </row>
    <row r="356" spans="2:4" ht="15">
      <c r="B356" s="41"/>
      <c r="D356" s="129"/>
    </row>
    <row r="357" spans="2:4" ht="15">
      <c r="B357" s="41"/>
      <c r="D357" s="129"/>
    </row>
    <row r="358" spans="2:4" ht="15">
      <c r="B358" s="41"/>
      <c r="D358" s="129"/>
    </row>
    <row r="359" spans="2:4" ht="15">
      <c r="B359" s="41"/>
      <c r="D359" s="129"/>
    </row>
    <row r="360" spans="2:4" ht="15">
      <c r="B360" s="41"/>
      <c r="D360" s="129"/>
    </row>
    <row r="361" spans="2:4" ht="15">
      <c r="B361" s="41"/>
      <c r="D361" s="129"/>
    </row>
    <row r="362" spans="2:4" ht="15">
      <c r="B362" s="41"/>
      <c r="D362" s="129"/>
    </row>
    <row r="363" spans="2:4" ht="15">
      <c r="B363" s="41"/>
      <c r="D363" s="129"/>
    </row>
    <row r="364" spans="2:4" ht="15">
      <c r="B364" s="41"/>
      <c r="D364" s="129"/>
    </row>
    <row r="365" spans="2:4" ht="15">
      <c r="B365" s="41"/>
      <c r="D365" s="129"/>
    </row>
    <row r="366" spans="2:4" ht="15">
      <c r="B366" s="41"/>
      <c r="D366" s="129"/>
    </row>
    <row r="367" spans="2:4" ht="15">
      <c r="B367" s="41"/>
      <c r="D367" s="129"/>
    </row>
    <row r="368" spans="2:4" ht="15">
      <c r="B368" s="41"/>
      <c r="D368" s="129"/>
    </row>
    <row r="369" spans="2:4" ht="15">
      <c r="B369" s="41"/>
      <c r="D369" s="129"/>
    </row>
    <row r="370" spans="2:4" ht="15">
      <c r="B370" s="41"/>
      <c r="D370" s="129"/>
    </row>
    <row r="371" spans="2:4" ht="15">
      <c r="B371" s="41"/>
      <c r="D371" s="129"/>
    </row>
    <row r="372" spans="2:4" ht="15">
      <c r="B372" s="41"/>
      <c r="D372" s="129"/>
    </row>
    <row r="373" spans="2:4" ht="15">
      <c r="B373" s="41"/>
      <c r="D373" s="129"/>
    </row>
    <row r="374" spans="2:4" ht="15">
      <c r="B374" s="41"/>
      <c r="D374" s="129"/>
    </row>
    <row r="375" spans="2:4" ht="15">
      <c r="B375" s="41"/>
      <c r="D375" s="129"/>
    </row>
    <row r="376" spans="2:4" ht="15">
      <c r="B376" s="41"/>
      <c r="D376" s="129"/>
    </row>
    <row r="377" spans="2:4" ht="15">
      <c r="B377" s="41"/>
      <c r="D377" s="129"/>
    </row>
    <row r="378" spans="2:4" ht="15">
      <c r="B378" s="41"/>
      <c r="D378" s="129"/>
    </row>
    <row r="379" spans="2:4" ht="15">
      <c r="B379" s="41"/>
      <c r="D379" s="129"/>
    </row>
    <row r="380" spans="2:4" ht="15">
      <c r="B380" s="41"/>
      <c r="D380" s="129"/>
    </row>
    <row r="381" spans="2:4" ht="15">
      <c r="B381" s="41"/>
      <c r="D381" s="129"/>
    </row>
    <row r="382" spans="2:4" ht="15">
      <c r="B382" s="41"/>
      <c r="D382" s="129"/>
    </row>
    <row r="383" spans="2:4" ht="15">
      <c r="B383" s="41"/>
      <c r="D383" s="129"/>
    </row>
    <row r="384" spans="2:4" ht="15">
      <c r="B384" s="41"/>
      <c r="D384" s="129"/>
    </row>
    <row r="385" spans="2:4" ht="15">
      <c r="B385" s="41"/>
      <c r="D385" s="129"/>
    </row>
    <row r="386" spans="2:4" ht="15">
      <c r="B386" s="41"/>
      <c r="D386" s="129"/>
    </row>
    <row r="387" spans="2:4" ht="15">
      <c r="B387" s="41"/>
      <c r="D387" s="129"/>
    </row>
    <row r="388" spans="2:4" ht="15">
      <c r="B388" s="41"/>
      <c r="D388" s="129"/>
    </row>
    <row r="389" spans="2:4" ht="15">
      <c r="B389" s="41"/>
      <c r="D389" s="129"/>
    </row>
    <row r="390" spans="2:4" ht="15">
      <c r="B390" s="41"/>
      <c r="D390" s="129"/>
    </row>
    <row r="391" spans="2:4" ht="15">
      <c r="B391" s="41"/>
      <c r="D391" s="129"/>
    </row>
    <row r="392" spans="2:4" ht="15">
      <c r="B392" s="41"/>
      <c r="D392" s="129"/>
    </row>
    <row r="393" spans="2:4" ht="15">
      <c r="B393" s="41"/>
      <c r="D393" s="129"/>
    </row>
    <row r="394" spans="2:4" ht="15">
      <c r="B394" s="41"/>
      <c r="D394" s="129"/>
    </row>
    <row r="395" spans="2:4" ht="15">
      <c r="B395" s="41"/>
      <c r="D395" s="129"/>
    </row>
    <row r="396" spans="2:4" ht="15">
      <c r="B396" s="41"/>
      <c r="D396" s="129"/>
    </row>
    <row r="397" spans="2:4" ht="15">
      <c r="B397" s="41"/>
      <c r="D397" s="129"/>
    </row>
    <row r="398" spans="2:4" ht="15">
      <c r="B398" s="41"/>
      <c r="D398" s="129"/>
    </row>
    <row r="399" spans="2:4" ht="15">
      <c r="B399" s="41"/>
      <c r="D399" s="129"/>
    </row>
    <row r="400" spans="2:4" ht="15">
      <c r="B400" s="41"/>
      <c r="D400" s="129"/>
    </row>
    <row r="401" spans="2:4" ht="15">
      <c r="B401" s="41"/>
      <c r="D401" s="129"/>
    </row>
    <row r="402" spans="2:4" ht="15">
      <c r="B402" s="41"/>
      <c r="D402" s="129"/>
    </row>
    <row r="403" spans="2:4" ht="15">
      <c r="B403" s="41"/>
      <c r="D403" s="129"/>
    </row>
    <row r="404" spans="2:4" ht="15">
      <c r="B404" s="41"/>
      <c r="D404" s="129"/>
    </row>
    <row r="405" spans="2:4" ht="15">
      <c r="B405" s="41"/>
      <c r="D405" s="129"/>
    </row>
    <row r="406" spans="2:4" ht="15">
      <c r="B406" s="41"/>
      <c r="D406" s="129"/>
    </row>
    <row r="407" spans="2:4" ht="15">
      <c r="B407" s="41"/>
      <c r="D407" s="129"/>
    </row>
    <row r="408" spans="2:4" ht="15">
      <c r="B408" s="41"/>
      <c r="D408" s="129"/>
    </row>
    <row r="409" spans="2:4" ht="15">
      <c r="B409" s="41"/>
      <c r="D409" s="129"/>
    </row>
    <row r="410" spans="2:4" ht="15">
      <c r="B410" s="41"/>
      <c r="D410" s="129"/>
    </row>
    <row r="411" spans="2:4" ht="15">
      <c r="B411" s="41"/>
      <c r="D411" s="129"/>
    </row>
    <row r="412" spans="2:4" ht="15">
      <c r="B412" s="41"/>
      <c r="D412" s="129"/>
    </row>
    <row r="413" spans="2:4" ht="15">
      <c r="B413" s="41"/>
      <c r="D413" s="129"/>
    </row>
    <row r="414" spans="2:4" ht="15">
      <c r="B414" s="41"/>
      <c r="D414" s="129"/>
    </row>
    <row r="415" spans="2:4" ht="15">
      <c r="B415" s="41"/>
      <c r="D415" s="129"/>
    </row>
    <row r="416" spans="2:4" ht="15">
      <c r="B416" s="41"/>
      <c r="D416" s="129"/>
    </row>
    <row r="417" spans="2:4" ht="15">
      <c r="B417" s="41"/>
      <c r="D417" s="129"/>
    </row>
    <row r="418" spans="2:4" ht="15">
      <c r="B418" s="41"/>
      <c r="D418" s="129"/>
    </row>
    <row r="419" spans="2:4" ht="15">
      <c r="B419" s="41"/>
      <c r="D419" s="129"/>
    </row>
    <row r="420" spans="2:4" ht="15">
      <c r="B420" s="41"/>
      <c r="D420" s="129"/>
    </row>
    <row r="421" spans="2:4" ht="15">
      <c r="B421" s="41"/>
      <c r="D421" s="129"/>
    </row>
    <row r="422" spans="2:4" ht="15">
      <c r="B422" s="41"/>
      <c r="D422" s="129"/>
    </row>
    <row r="423" spans="2:4" ht="15">
      <c r="B423" s="41"/>
      <c r="D423" s="129"/>
    </row>
    <row r="424" spans="2:4" ht="15">
      <c r="B424" s="41"/>
      <c r="D424" s="129"/>
    </row>
    <row r="425" spans="2:4" ht="15">
      <c r="B425" s="41"/>
      <c r="D425" s="129"/>
    </row>
    <row r="426" spans="2:4" ht="15">
      <c r="B426" s="41"/>
      <c r="D426" s="129"/>
    </row>
    <row r="427" spans="2:4" ht="15">
      <c r="B427" s="41"/>
      <c r="D427" s="129"/>
    </row>
    <row r="428" spans="2:4" ht="15">
      <c r="B428" s="41"/>
      <c r="D428" s="129"/>
    </row>
    <row r="429" spans="2:4" ht="15">
      <c r="B429" s="41"/>
      <c r="D429" s="129"/>
    </row>
    <row r="430" spans="2:4" ht="15">
      <c r="B430" s="41"/>
      <c r="D430" s="129"/>
    </row>
    <row r="431" spans="2:4" ht="15">
      <c r="B431" s="41"/>
      <c r="D431" s="129"/>
    </row>
    <row r="432" spans="2:4" ht="15">
      <c r="B432" s="41"/>
      <c r="D432" s="129"/>
    </row>
    <row r="433" spans="2:4" ht="15">
      <c r="B433" s="41"/>
      <c r="D433" s="129"/>
    </row>
    <row r="434" spans="2:4" ht="15">
      <c r="B434" s="41"/>
      <c r="D434" s="129"/>
    </row>
    <row r="435" spans="2:4" ht="15">
      <c r="B435" s="41"/>
      <c r="D435" s="129"/>
    </row>
    <row r="436" spans="2:4" ht="15">
      <c r="B436" s="41"/>
      <c r="D436" s="129"/>
    </row>
    <row r="437" spans="2:4" ht="15">
      <c r="B437" s="41"/>
      <c r="D437" s="129"/>
    </row>
    <row r="438" spans="2:4" ht="15">
      <c r="B438" s="41"/>
      <c r="D438" s="129"/>
    </row>
    <row r="439" spans="2:4" ht="15">
      <c r="B439" s="41"/>
      <c r="D439" s="129"/>
    </row>
    <row r="440" spans="2:4" ht="15">
      <c r="B440" s="41"/>
      <c r="D440" s="129"/>
    </row>
    <row r="441" spans="2:4" ht="15">
      <c r="B441" s="41"/>
      <c r="D441" s="129"/>
    </row>
    <row r="442" spans="2:4" ht="15">
      <c r="B442" s="41"/>
      <c r="D442" s="129"/>
    </row>
    <row r="443" spans="2:4" ht="15">
      <c r="B443" s="41"/>
      <c r="D443" s="129"/>
    </row>
    <row r="444" spans="2:4" ht="15">
      <c r="B444" s="41"/>
      <c r="D444" s="129"/>
    </row>
    <row r="445" spans="2:4" ht="15">
      <c r="B445" s="41"/>
      <c r="D445" s="129"/>
    </row>
    <row r="446" spans="2:4" ht="15">
      <c r="B446" s="41"/>
      <c r="D446" s="129"/>
    </row>
    <row r="447" spans="2:4" ht="15">
      <c r="B447" s="41"/>
      <c r="D447" s="129"/>
    </row>
    <row r="448" spans="2:4" ht="15">
      <c r="B448" s="41"/>
      <c r="D448" s="129"/>
    </row>
    <row r="449" spans="2:4" ht="15">
      <c r="B449" s="41"/>
      <c r="D449" s="129"/>
    </row>
    <row r="450" spans="2:4" ht="15">
      <c r="B450" s="41"/>
      <c r="D450" s="129"/>
    </row>
    <row r="451" spans="2:4" ht="15">
      <c r="B451" s="41"/>
      <c r="D451" s="129"/>
    </row>
    <row r="452" spans="2:4" ht="15">
      <c r="B452" s="41"/>
      <c r="D452" s="129"/>
    </row>
    <row r="453" spans="2:4" ht="15">
      <c r="B453" s="41"/>
      <c r="D453" s="129"/>
    </row>
    <row r="454" spans="2:4" ht="15">
      <c r="B454" s="41"/>
      <c r="D454" s="129"/>
    </row>
    <row r="455" spans="2:4" ht="15">
      <c r="B455" s="41"/>
      <c r="D455" s="129"/>
    </row>
    <row r="456" spans="2:4" ht="15">
      <c r="B456" s="41"/>
      <c r="D456" s="129"/>
    </row>
    <row r="457" spans="2:4" ht="15">
      <c r="B457" s="41"/>
      <c r="D457" s="129"/>
    </row>
    <row r="458" spans="2:4" ht="15">
      <c r="B458" s="41"/>
      <c r="D458" s="129"/>
    </row>
    <row r="459" spans="2:4" ht="15">
      <c r="B459" s="41"/>
      <c r="D459" s="129"/>
    </row>
    <row r="460" spans="2:4" ht="15">
      <c r="B460" s="41"/>
      <c r="D460" s="129"/>
    </row>
    <row r="461" spans="2:4" ht="15">
      <c r="B461" s="41"/>
      <c r="D461" s="129"/>
    </row>
    <row r="462" spans="2:4" ht="15">
      <c r="B462" s="41"/>
      <c r="D462" s="129"/>
    </row>
    <row r="463" spans="2:4" ht="15">
      <c r="B463" s="41"/>
      <c r="D463" s="129"/>
    </row>
    <row r="464" spans="2:4" ht="15">
      <c r="B464" s="41"/>
      <c r="D464" s="129"/>
    </row>
    <row r="465" spans="2:4" ht="15">
      <c r="B465" s="41"/>
      <c r="D465" s="129"/>
    </row>
    <row r="466" spans="2:4" ht="15">
      <c r="B466" s="41"/>
      <c r="D466" s="129"/>
    </row>
    <row r="467" spans="2:4" ht="15">
      <c r="B467" s="41"/>
      <c r="D467" s="129"/>
    </row>
    <row r="468" spans="2:4" ht="15">
      <c r="B468" s="41"/>
      <c r="D468" s="129"/>
    </row>
    <row r="469" spans="2:4" ht="15">
      <c r="B469" s="41"/>
      <c r="D469" s="129"/>
    </row>
    <row r="470" spans="2:4" ht="15">
      <c r="B470" s="41"/>
      <c r="D470" s="129"/>
    </row>
    <row r="471" spans="2:4" ht="15">
      <c r="B471" s="41"/>
      <c r="D471" s="129"/>
    </row>
    <row r="472" spans="2:4" ht="15">
      <c r="B472" s="41"/>
      <c r="D472" s="129"/>
    </row>
    <row r="473" spans="2:4" ht="15">
      <c r="B473" s="41"/>
      <c r="D473" s="129"/>
    </row>
    <row r="474" spans="2:4" ht="15">
      <c r="B474" s="41"/>
      <c r="D474" s="129"/>
    </row>
    <row r="475" spans="2:4" ht="15">
      <c r="B475" s="41"/>
      <c r="D475" s="129"/>
    </row>
    <row r="476" spans="2:4" ht="15">
      <c r="B476" s="41"/>
      <c r="D476" s="129"/>
    </row>
    <row r="477" spans="2:4" ht="15">
      <c r="B477" s="41"/>
      <c r="D477" s="129"/>
    </row>
    <row r="478" spans="2:4" ht="15">
      <c r="B478" s="41"/>
      <c r="D478" s="129"/>
    </row>
    <row r="479" spans="2:4" ht="15">
      <c r="B479" s="41"/>
      <c r="D479" s="129"/>
    </row>
    <row r="480" spans="2:4" ht="15">
      <c r="B480" s="41"/>
      <c r="D480" s="129"/>
    </row>
    <row r="481" spans="2:4" ht="15">
      <c r="B481" s="41"/>
      <c r="D481" s="129"/>
    </row>
    <row r="482" spans="2:4" ht="15">
      <c r="B482" s="41"/>
      <c r="D482" s="129"/>
    </row>
    <row r="483" spans="2:4" ht="15">
      <c r="B483" s="41"/>
      <c r="D483" s="129"/>
    </row>
    <row r="484" spans="2:4" ht="15">
      <c r="B484" s="41"/>
      <c r="D484" s="129"/>
    </row>
    <row r="485" spans="2:4" ht="15">
      <c r="B485" s="41"/>
      <c r="D485" s="129"/>
    </row>
    <row r="486" spans="2:4" ht="15">
      <c r="B486" s="41"/>
      <c r="D486" s="129"/>
    </row>
    <row r="487" spans="2:4" ht="15">
      <c r="B487" s="41"/>
      <c r="D487" s="129"/>
    </row>
    <row r="488" spans="2:4" ht="15">
      <c r="B488" s="41"/>
      <c r="D488" s="129"/>
    </row>
    <row r="489" spans="2:4" ht="15">
      <c r="B489" s="41"/>
      <c r="D489" s="129"/>
    </row>
    <row r="490" spans="2:4" ht="15">
      <c r="B490" s="41"/>
      <c r="D490" s="129"/>
    </row>
    <row r="491" spans="2:4" ht="15">
      <c r="B491" s="41"/>
      <c r="D491" s="129"/>
    </row>
    <row r="492" spans="2:4" ht="15">
      <c r="B492" s="41"/>
      <c r="D492" s="129"/>
    </row>
    <row r="493" spans="2:4" ht="15">
      <c r="B493" s="41"/>
      <c r="D493" s="129"/>
    </row>
    <row r="494" spans="2:4" ht="15">
      <c r="B494" s="41"/>
      <c r="D494" s="129"/>
    </row>
    <row r="495" spans="2:4" ht="15">
      <c r="B495" s="41"/>
      <c r="D495" s="129"/>
    </row>
    <row r="496" spans="2:4" ht="15">
      <c r="B496" s="41"/>
      <c r="D496" s="129"/>
    </row>
    <row r="497" spans="2:4" ht="15">
      <c r="B497" s="41"/>
      <c r="D497" s="129"/>
    </row>
    <row r="498" spans="2:4" ht="15">
      <c r="B498" s="41"/>
      <c r="D498" s="129"/>
    </row>
    <row r="499" spans="2:4" ht="15">
      <c r="B499" s="41"/>
      <c r="D499" s="129"/>
    </row>
    <row r="500" spans="2:4" ht="15">
      <c r="B500" s="41"/>
      <c r="D500" s="129"/>
    </row>
    <row r="501" spans="2:4" ht="15">
      <c r="B501" s="41"/>
      <c r="D501" s="129"/>
    </row>
    <row r="502" spans="2:4" ht="15">
      <c r="B502" s="41"/>
      <c r="D502" s="129"/>
    </row>
    <row r="503" spans="2:4" ht="15">
      <c r="B503" s="41"/>
      <c r="D503" s="129"/>
    </row>
    <row r="504" spans="2:4" ht="15">
      <c r="B504" s="41"/>
      <c r="D504" s="129"/>
    </row>
    <row r="505" spans="2:4" ht="15">
      <c r="B505" s="41"/>
      <c r="D505" s="129"/>
    </row>
    <row r="506" spans="2:4" ht="15">
      <c r="B506" s="41"/>
      <c r="D506" s="129"/>
    </row>
    <row r="507" spans="2:4" ht="15">
      <c r="B507" s="41"/>
      <c r="D507" s="129"/>
    </row>
    <row r="508" spans="2:4" ht="15">
      <c r="B508" s="41"/>
      <c r="D508" s="129"/>
    </row>
    <row r="509" spans="2:4" ht="15">
      <c r="B509" s="41"/>
      <c r="D509" s="129"/>
    </row>
    <row r="510" ht="15">
      <c r="D510" s="129"/>
    </row>
    <row r="511" ht="15">
      <c r="D511" s="129"/>
    </row>
    <row r="512" ht="15">
      <c r="D512" s="129"/>
    </row>
    <row r="513" ht="15">
      <c r="D513" s="129"/>
    </row>
  </sheetData>
  <sheetProtection/>
  <mergeCells count="2">
    <mergeCell ref="C7:E7"/>
    <mergeCell ref="F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Sutto</dc:creator>
  <cp:keywords/>
  <dc:description/>
  <cp:lastModifiedBy>Stephanie Cannenterre</cp:lastModifiedBy>
  <dcterms:created xsi:type="dcterms:W3CDTF">2011-09-01T15:44:20Z</dcterms:created>
  <dcterms:modified xsi:type="dcterms:W3CDTF">2012-01-12T09:14:48Z</dcterms:modified>
  <cp:category/>
  <cp:version/>
  <cp:contentType/>
  <cp:contentStatus/>
</cp:coreProperties>
</file>