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C:\Users\fg688w\Documents\0_TUTS_2014\1_CONFLICT_MINERALS\~CM_1CUSTOMER_RESPONSE\"/>
    </mc:Choice>
  </mc:AlternateContent>
  <xr:revisionPtr revIDLastSave="0" documentId="8_{F8B460E9-0B51-4B8A-AC14-751A00DDAA04}"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08" yWindow="-108" windowWidth="23256" windowHeight="1401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AB10"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C2"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s="1"/>
  <c r="H13" i="6" s="1"/>
  <c r="D13" i="6" s="1"/>
  <c r="B12" i="6"/>
  <c r="G12" i="6" s="1"/>
  <c r="H12" i="6" s="1"/>
  <c r="D12" i="6" s="1"/>
  <c r="B11" i="6"/>
  <c r="G11" i="6"/>
  <c r="H11" i="6"/>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V11" i="5"/>
  <c r="AB12" i="5"/>
  <c r="V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X7"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F1380" i="5"/>
  <c r="G1340" i="5"/>
  <c r="E2092" i="5"/>
  <c r="X2092" i="5" s="1"/>
  <c r="J1841" i="5"/>
  <c r="J2441" i="5"/>
  <c r="R2145" i="5"/>
  <c r="H2084" i="5"/>
  <c r="I2420" i="5"/>
  <c r="F765" i="5"/>
  <c r="I1253" i="5"/>
  <c r="E1420" i="5"/>
  <c r="X1420" i="5" s="1"/>
  <c r="E2100" i="5"/>
  <c r="X2100" i="5" s="1"/>
  <c r="R2468" i="5"/>
  <c r="X11" i="5"/>
  <c r="R14" i="5"/>
  <c r="R1252" i="5"/>
  <c r="E2420" i="5"/>
  <c r="X2420" i="5" s="1"/>
  <c r="H1084" i="5"/>
  <c r="G2145" i="5"/>
  <c r="H2145" i="5"/>
  <c r="J1236" i="5"/>
  <c r="H2100" i="5"/>
  <c r="E2441" i="5"/>
  <c r="X2441" i="5" s="1"/>
  <c r="X14" i="5"/>
  <c r="E1788" i="5"/>
  <c r="X1788" i="5" s="1"/>
  <c r="H2420" i="5"/>
  <c r="H213" i="5"/>
  <c r="H1180" i="5"/>
  <c r="F1820" i="5"/>
  <c r="F2100" i="5"/>
  <c r="H2468" i="5"/>
  <c r="A29" i="6"/>
  <c r="R11" i="5"/>
  <c r="G21" i="5"/>
  <c r="AB15" i="5"/>
  <c r="V12" i="5"/>
  <c r="AB8" i="5"/>
  <c r="AB16" i="5"/>
  <c r="V10" i="5"/>
  <c r="R10" i="5" s="1"/>
  <c r="X10" i="5"/>
  <c r="AB9" i="5"/>
  <c r="V9" i="5"/>
  <c r="X9" i="5"/>
  <c r="AB13" i="5"/>
  <c r="V15" i="5"/>
  <c r="AB14" i="5"/>
  <c r="AB11" i="5"/>
  <c r="V16" i="5"/>
  <c r="R8" i="5"/>
  <c r="V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93" i="5"/>
  <c r="X13" i="5"/>
  <c r="X16" i="5"/>
  <c r="S69" i="5"/>
  <c r="S61" i="5"/>
  <c r="S45" i="5"/>
  <c r="T15" i="5"/>
  <c r="S37" i="5"/>
  <c r="S21" i="5"/>
  <c r="X6" i="5"/>
  <c r="T16" i="5"/>
  <c r="X5" i="5"/>
  <c r="H63" i="6"/>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X12"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X15" i="5"/>
  <c r="E1772" i="5"/>
  <c r="X1772" i="5" s="1"/>
  <c r="I421" i="5"/>
  <c r="H1853" i="5"/>
  <c r="F1741" i="5"/>
  <c r="F1709" i="5"/>
  <c r="E1117" i="5"/>
  <c r="X1117" i="5" s="1"/>
  <c r="E821" i="5"/>
  <c r="X821" i="5" s="1"/>
  <c r="E789" i="5"/>
  <c r="X789" i="5" s="1"/>
  <c r="I661" i="5"/>
  <c r="H1317" i="5"/>
  <c r="H1021" i="5"/>
  <c r="F581" i="5"/>
  <c r="G508" i="5"/>
  <c r="X17" i="5"/>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X8"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R16"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F28" i="6"/>
  <c r="F38" i="6"/>
  <c r="H38" i="6" s="1"/>
  <c r="S12" i="5"/>
  <c r="T10" i="5"/>
  <c r="S17" i="5"/>
  <c r="T7" i="5"/>
  <c r="T11" i="5"/>
  <c r="S13" i="5"/>
  <c r="S10" i="5"/>
  <c r="S11" i="5"/>
  <c r="S6" i="5"/>
  <c r="T6" i="5"/>
  <c r="T8" i="5"/>
  <c r="T14" i="5"/>
  <c r="S15" i="5"/>
  <c r="S7" i="5"/>
  <c r="S9" i="5"/>
  <c r="S14" i="5"/>
  <c r="S5" i="5"/>
  <c r="T13" i="5"/>
  <c r="S16" i="5"/>
  <c r="T5" i="5"/>
  <c r="S8" i="5"/>
  <c r="T9" i="5"/>
  <c r="T12" i="5"/>
  <c r="H28" i="6" l="1"/>
  <c r="D28" i="6" s="1"/>
  <c r="H61" i="6"/>
  <c r="H43" i="6"/>
  <c r="C13" i="6"/>
  <c r="C12" i="6"/>
  <c r="C11" i="6"/>
  <c r="C10" i="6"/>
  <c r="C9" i="6"/>
  <c r="C8" i="6"/>
  <c r="C7" i="6"/>
  <c r="C6" i="6"/>
  <c r="H60" i="6"/>
  <c r="D60" i="6" s="1"/>
  <c r="C5"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C65" i="6" l="1"/>
  <c r="C60"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<sst xmlns="http://schemas.openxmlformats.org/spreadsheetml/2006/main" count="17035" uniqueCount="14488">
  <si>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</si>
  <si>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</si>
  <si>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</si>
  <si>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</si>
  <si>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</si>
  <si>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</si>
  <si>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</si>
  <si>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</si>
  <si>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</si>
  <si>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</si>
  <si>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</si>
  <si>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</si>
  <si>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</si>
  <si>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</si>
  <si>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</si>
  <si>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</si>
  <si>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</si>
  <si>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</si>
  <si>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</si>
  <si>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</si>
  <si>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</si>
  <si>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</si>
  <si>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</si>
  <si>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</si>
  <si>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</si>
  <si>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</si>
  <si>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</si>
  <si>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</si>
  <si>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</si>
  <si>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</si>
  <si>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</si>
  <si>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</si>
  <si>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</si>
  <si>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</si>
  <si>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</si>
  <si>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</si>
  <si>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</si>
  <si>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</si>
  <si>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</si>
  <si>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</si>
  <si>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</si>
  <si>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</si>
  <si>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</si>
  <si>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</si>
  <si>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</si>
  <si>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</si>
  <si>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</si>
  <si>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</si>
  <si>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</si>
  <si>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</si>
  <si>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</si>
  <si>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</si>
  <si>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</si>
  <si>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</si>
  <si>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</si>
  <si>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</si>
  <si>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</si>
  <si>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</si>
  <si>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</si>
  <si>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</si>
  <si>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</si>
  <si>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</si>
  <si>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</si>
  <si>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</si>
  <si>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</si>
  <si>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</si>
  <si>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</si>
  <si>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</si>
  <si>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</si>
  <si>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</si>
  <si>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</si>
  <si>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</si>
  <si>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</si>
  <si>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</si>
  <si>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</si>
  <si>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</si>
  <si>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</si>
  <si>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</si>
  <si>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</si>
  <si>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</si>
  <si>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</si>
  <si>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</si>
  <si>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</si>
  <si>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</si>
  <si>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</si>
  <si>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</si>
  <si>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</si>
  <si>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</si>
  <si>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</si>
  <si>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</si>
  <si>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</si>
  <si>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</si>
  <si>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</si>
  <si>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</si>
  <si>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</si>
  <si>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</si>
  <si>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</si>
  <si>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</si>
  <si>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</si>
  <si>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</si>
  <si>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</si>
  <si>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</si>
  <si>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</si>
  <si>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</si>
  <si>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</si>
  <si>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</si>
  <si>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</si>
  <si>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</si>
  <si>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</si>
  <si>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</si>
  <si>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</si>
  <si>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</si>
  <si>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</si>
  <si>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</si>
  <si>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</si>
  <si>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</si>
  <si>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</si>
  <si>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</si>
  <si>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</si>
  <si>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</si>
  <si>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</si>
  <si>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</si>
  <si>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</si>
  <si>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</si>
  <si>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</si>
  <si>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</si>
  <si>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</si>
  <si>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</si>
  <si>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</si>
  <si>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</si>
  <si>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</si>
  <si>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</si>
  <si>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</si>
  <si>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</si>
  <si>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</si>
  <si>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</si>
  <si>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</si>
  <si>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</si>
  <si>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</si>
  <si>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</si>
  <si>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</si>
  <si>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</si>
  <si>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</si>
  <si>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</si>
  <si>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</si>
  <si>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</si>
  <si>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</si>
  <si>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</si>
  <si>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</si>
  <si>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</si>
  <si>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</si>
  <si>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</si>
  <si>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</si>
  <si>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</si>
  <si>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</si>
  <si>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</si>
  <si>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</si>
  <si>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</si>
  <si>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</si>
  <si>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</si>
  <si>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</si>
  <si>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</si>
  <si>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</si>
  <si>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</si>
  <si>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</si>
  <si>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</si>
  <si>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</si>
  <si>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</si>
  <si>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</si>
  <si>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</si>
  <si>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</si>
  <si>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</si>
  <si>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</si>
  <si>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</si>
  <si>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</si>
  <si>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</si>
  <si>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</si>
  <si>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</si>
  <si>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</si>
  <si>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</si>
  <si>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</si>
  <si>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</si>
  <si>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</si>
  <si>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</si>
  <si>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</si>
  <si>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</si>
  <si>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</si>
  <si>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</si>
  <si>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</si>
  <si>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</si>
  <si>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</si>
  <si>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</si>
  <si>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</si>
  <si>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</si>
  <si>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</si>
  <si>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</si>
  <si>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</si>
  <si>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</si>
  <si>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</si>
  <si>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</si>
  <si>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</si>
  <si>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</si>
  <si>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</si>
  <si>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</si>
  <si>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</si>
  <si>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</si>
  <si>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</si>
  <si>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</si>
  <si>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</si>
  <si>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</si>
  <si>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</si>
  <si>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</si>
  <si>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</si>
  <si>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</si>
  <si>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</si>
  <si>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</si>
  <si>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</si>
  <si>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</si>
  <si>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</si>
  <si>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</si>
  <si>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</si>
  <si>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</si>
  <si>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</si>
  <si>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</si>
  <si>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</si>
  <si>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</si>
  <si>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</si>
  <si>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</si>
  <si>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</si>
  <si>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</si>
  <si>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</si>
  <si>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</si>
  <si>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</si>
  <si>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</si>
  <si>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</si>
  <si>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</si>
  <si>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</si>
  <si>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</si>
  <si>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</si>
  <si>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</si>
  <si>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</si>
  <si>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</si>
  <si>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</si>
  <si>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</si>
  <si>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</si>
  <si>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</si>
  <si>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</si>
  <si>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</si>
  <si>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</si>
  <si>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</si>
  <si>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</si>
  <si>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</si>
  <si>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</si>
  <si>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</si>
  <si>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</si>
  <si>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</si>
  <si>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</si>
  <si>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</si>
  <si>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</si>
  <si>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</si>
  <si>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</si>
  <si>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</si>
  <si>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</si>
  <si>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</si>
  <si>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</si>
  <si>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</si>
  <si>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</si>
  <si>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</si>
  <si>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</si>
  <si>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</si>
  <si>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</si>
  <si>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</si>
  <si>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</si>
  <si>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</si>
  <si>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</si>
  <si>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</si>
  <si>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</si>
  <si>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</si>
  <si>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</si>
  <si>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</si>
  <si>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</si>
  <si>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</si>
  <si>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</si>
  <si>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</si>
  <si>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</si>
  <si>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</si>
  <si>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</si>
  <si>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</si>
  <si>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</si>
  <si>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</si>
  <si>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</si>
  <si>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</si>
  <si>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</si>
  <si>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</si>
  <si>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</si>
  <si>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</si>
  <si>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</si>
  <si>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</si>
  <si>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</si>
  <si>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</si>
  <si>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</si>
  <si>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</si>
  <si>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</si>
  <si>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</si>
  <si>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</si>
  <si>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</si>
  <si>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</si>
  <si>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</si>
  <si>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</si>
  <si>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</si>
  <si>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</si>
  <si>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</si>
  <si>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</si>
  <si>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</si>
  <si>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</si>
  <si>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</si>
  <si>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</si>
  <si>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</si>
  <si>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</si>
  <si>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</si>
  <si>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</si>
  <si>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</si>
  <si>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</si>
  <si>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</si>
  <si>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</si>
  <si>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</si>
  <si>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</si>
  <si>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</si>
  <si>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</si>
  <si>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</si>
  <si>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</si>
  <si>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</si>
  <si>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</si>
  <si>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</si>
  <si>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</si>
  <si>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</si>
  <si>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</si>
  <si>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</si>
  <si>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</si>
  <si>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</si>
  <si>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</si>
  <si>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</si>
  <si>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</si>
  <si>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</si>
  <si>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</si>
  <si>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</si>
  <si>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</si>
  <si>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</si>
  <si>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</si>
  <si>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</si>
  <si>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</si>
  <si>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</si>
  <si>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</si>
  <si>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</si>
  <si>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</si>
  <si>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</si>
  <si>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</si>
  <si>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</si>
  <si>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</si>
  <si>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</si>
  <si>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</si>
  <si>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</si>
  <si>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</si>
  <si>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</si>
  <si>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</si>
  <si>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</si>
  <si>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</si>
  <si>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</si>
  <si>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</si>
  <si>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</si>
  <si>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</si>
  <si>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</si>
  <si>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</si>
  <si>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</si>
  <si>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</si>
  <si>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</si>
  <si>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</si>
  <si>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</si>
  <si>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</si>
  <si>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</si>
  <si>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</si>
  <si>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</si>
  <si>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</si>
  <si>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</si>
  <si>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</si>
  <si>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</si>
  <si>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</si>
  <si>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</si>
  <si>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</si>
  <si>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</si>
  <si>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</si>
  <si>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</si>
  <si>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</si>
  <si>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</si>
  <si>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</si>
  <si>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</si>
  <si>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</si>
  <si>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</si>
  <si>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</si>
  <si>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</si>
  <si>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</si>
  <si>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</si>
  <si>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</si>
  <si>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</si>
  <si>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</si>
  <si>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</si>
  <si>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</si>
  <si>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</si>
  <si>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</si>
  <si>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</si>
  <si>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</si>
  <si>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</si>
  <si>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</si>
  <si>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</si>
  <si>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</si>
  <si>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</si>
  <si>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</si>
  <si>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</si>
  <si>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</si>
  <si>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</si>
  <si>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</si>
  <si>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</si>
  <si>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</si>
  <si>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</si>
  <si>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</si>
  <si>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</si>
  <si>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</si>
  <si>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</si>
  <si>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</si>
  <si>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</si>
  <si>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</si>
  <si>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</si>
  <si>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</si>
  <si>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</si>
  <si>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</si>
  <si>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</si>
  <si>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</si>
  <si>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</si>
  <si>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</si>
  <si>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</si>
  <si>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</si>
  <si>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</si>
  <si>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</si>
  <si>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</si>
  <si>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</si>
  <si>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</si>
  <si>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</si>
  <si>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</si>
  <si>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</si>
  <si>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</si>
  <si>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</si>
  <si>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</si>
  <si>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</si>
  <si>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</si>
  <si>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</si>
  <si>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</si>
  <si>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</si>
  <si>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</si>
  <si>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</si>
  <si>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</si>
  <si>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</si>
  <si>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</si>
  <si>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</si>
  <si>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</si>
  <si>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</si>
  <si>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</si>
  <si>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</si>
  <si>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</si>
  <si>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</si>
  <si>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</si>
  <si>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</si>
  <si>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</si>
  <si>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</si>
  <si>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</si>
  <si>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</si>
  <si>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</si>
  <si>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</si>
  <si>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</si>
  <si>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</si>
  <si>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</si>
  <si>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</si>
  <si>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</si>
  <si>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</si>
  <si>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</si>
  <si>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</si>
  <si>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</si>
  <si>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</si>
  <si>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</si>
  <si>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</si>
  <si>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</si>
  <si>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</si>
  <si>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</si>
  <si>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</si>
  <si>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</si>
  <si>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</si>
  <si>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</si>
  <si>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</si>
  <si>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</si>
  <si>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</si>
  <si>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</si>
  <si>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</si>
  <si>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</si>
  <si>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</si>
  <si>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</si>
  <si>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</si>
  <si>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</si>
  <si>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</si>
  <si>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</si>
  <si>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</si>
  <si>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</si>
  <si>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</si>
  <si>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</si>
  <si>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</si>
  <si>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</si>
  <si>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</si>
  <si>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</si>
  <si>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</si>
  <si>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</si>
  <si>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</si>
  <si>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</si>
  <si>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</si>
  <si>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</si>
  <si>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</si>
  <si>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</si>
  <si>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</si>
  <si>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</si>
  <si>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</si>
  <si>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</si>
  <si>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</si>
  <si>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</si>
  <si>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</si>
  <si>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</si>
  <si>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</si>
  <si>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</si>
  <si>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</si>
  <si>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</si>
  <si>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</si>
  <si>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</si>
  <si>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</si>
  <si>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</si>
  <si>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</si>
  <si>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</si>
  <si>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</si>
  <si>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</si>
  <si>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</si>
  <si>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</si>
  <si>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</si>
  <si>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</si>
  <si>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</si>
  <si>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</si>
  <si>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</si>
  <si>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</si>
  <si>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</si>
  <si>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</si>
  <si>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</si>
  <si>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</si>
  <si>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</si>
  <si>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</si>
  <si>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</si>
  <si>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</si>
  <si>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</si>
  <si>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</si>
  <si>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</si>
  <si>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</si>
  <si>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</si>
  <si>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</si>
  <si>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</si>
  <si>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</si>
  <si>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</si>
  <si>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</si>
  <si>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</si>
  <si>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</si>
  <si>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</si>
  <si>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</si>
  <si>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</si>
  <si>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</si>
  <si>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</si>
  <si>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</si>
  <si>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</si>
  <si>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</si>
  <si>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</si>
  <si>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</si>
  <si>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</si>
  <si>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</si>
  <si>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</si>
  <si>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</si>
  <si>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</si>
  <si>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</si>
  <si>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</si>
  <si>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</si>
  <si>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</si>
  <si>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</si>
  <si>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</si>
  <si>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</si>
  <si>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</si>
  <si>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</si>
  <si>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</si>
  <si>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</si>
  <si>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</si>
  <si>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</si>
  <si>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</si>
  <si>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</si>
  <si>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</si>
  <si>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</si>
  <si>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</si>
  <si>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</si>
  <si>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</si>
  <si>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</si>
  <si>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</si>
  <si>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</si>
  <si>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</si>
  <si>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</si>
  <si>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</si>
  <si>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</si>
  <si>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</si>
  <si>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</si>
  <si>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</si>
  <si>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</si>
  <si>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</si>
  <si>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</si>
  <si>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</si>
  <si>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</si>
  <si>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</si>
  <si>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</si>
  <si>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</si>
  <si>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</si>
  <si>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</si>
  <si>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</si>
  <si>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</si>
  <si>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</si>
  <si>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</si>
  <si>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</si>
  <si>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</si>
  <si>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</si>
  <si>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</si>
  <si>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</si>
  <si>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</si>
  <si>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</si>
  <si>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</si>
  <si>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</si>
  <si>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</si>
  <si>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</si>
  <si>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</si>
  <si>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</si>
  <si>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</si>
  <si>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</si>
  <si>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</si>
  <si>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</si>
  <si>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</si>
  <si>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</si>
  <si>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</si>
  <si>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</si>
  <si>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</si>
  <si>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</si>
  <si>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</si>
  <si>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</si>
  <si>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</si>
  <si>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</si>
  <si>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</si>
  <si>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</si>
  <si>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</si>
  <si>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</si>
  <si>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</si>
  <si>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</si>
  <si>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</si>
  <si>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</si>
  <si>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</si>
  <si>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</si>
  <si>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</si>
  <si>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</si>
  <si>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</si>
  <si>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</si>
  <si>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</si>
  <si>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</si>
  <si>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</si>
  <si>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</si>
  <si>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</si>
  <si>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</si>
  <si>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</si>
  <si>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</si>
  <si>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</si>
  <si>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</si>
  <si>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</si>
  <si>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</si>
  <si>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</si>
  <si>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</si>
  <si>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</si>
  <si>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</si>
  <si>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</si>
  <si>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</si>
  <si>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</si>
  <si>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</si>
  <si>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</si>
  <si>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</si>
  <si>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</si>
  <si>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</si>
  <si>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</si>
  <si>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</si>
  <si>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</si>
  <si>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</si>
  <si>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</si>
  <si>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</si>
  <si>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</si>
  <si>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</si>
  <si>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</si>
  <si>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</si>
  <si>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</si>
  <si>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</si>
  <si>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</si>
  <si>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</si>
  <si>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</si>
  <si>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</si>
  <si>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</si>
  <si>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</si>
  <si>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</si>
  <si>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</si>
  <si>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</si>
  <si>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</si>
  <si>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</si>
  <si>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</si>
  <si>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</si>
  <si>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</si>
  <si>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</si>
  <si>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</si>
  <si>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</si>
  <si>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</si>
  <si>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</si>
  <si>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</si>
  <si>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</si>
  <si>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</si>
  <si>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</si>
  <si>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</si>
  <si>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</si>
  <si>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</si>
  <si>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</si>
  <si>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</si>
  <si>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</si>
  <si>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</si>
  <si>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</si>
  <si>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</si>
  <si>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</si>
  <si>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</si>
  <si>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</si>
  <si>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</si>
  <si>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</si>
  <si>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</si>
  <si>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</si>
  <si>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</si>
  <si>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</si>
  <si>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</si>
  <si>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</si>
  <si>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</si>
  <si>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</si>
  <si>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</si>
  <si>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</si>
  <si>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</si>
  <si>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</si>
  <si>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</si>
  <si>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</si>
  <si>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</si>
  <si>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</si>
  <si>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</si>
  <si>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</si>
  <si>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</si>
  <si>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</si>
  <si>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</si>
  <si>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</si>
  <si>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</si>
  <si>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</si>
  <si>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</si>
  <si>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</si>
  <si>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</si>
  <si>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</si>
  <si>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</si>
  <si>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</si>
  <si>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</si>
  <si>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</si>
  <si>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</si>
  <si>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</si>
  <si>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</si>
  <si>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</si>
  <si>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</si>
  <si>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</si>
  <si>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</si>
  <si>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</si>
  <si>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</si>
  <si>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</si>
  <si>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</si>
  <si>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</si>
  <si>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</si>
  <si>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</si>
  <si>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</si>
  <si>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</si>
  <si>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</si>
  <si>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</si>
  <si>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</si>
  <si>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</si>
  <si>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</si>
  <si>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</si>
  <si>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</si>
  <si>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</si>
  <si>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</si>
  <si>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</si>
  <si>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</si>
  <si>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</si>
  <si>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</si>
  <si>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</si>
  <si>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</si>
  <si>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</si>
  <si>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</si>
  <si>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</si>
  <si>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</si>
  <si>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</si>
  <si>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</si>
  <si>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</si>
  <si>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</si>
  <si>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</si>
  <si>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</si>
  <si>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</si>
  <si>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</si>
  <si>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</si>
  <si>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</si>
  <si>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</si>
  <si>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</si>
  <si>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</si>
  <si>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</si>
  <si>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</si>
  <si>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</si>
  <si>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</si>
  <si>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</si>
  <si>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</si>
  <si>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</si>
  <si>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</si>
  <si>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</si>
  <si>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</si>
  <si>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</si>
  <si>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</si>
  <si>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</si>
  <si>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</si>
  <si>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</si>
  <si>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</si>
  <si>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</si>
  <si>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</si>
  <si>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</si>
  <si>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</si>
  <si>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</si>
  <si>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</si>
  <si>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</si>
  <si>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</si>
  <si>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</si>
  <si>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</si>
  <si>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</si>
  <si>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</si>
  <si>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</si>
  <si>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</si>
  <si>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</si>
  <si>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</si>
  <si>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</si>
  <si>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</si>
  <si>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</si>
  <si>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</si>
  <si>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</si>
  <si>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</si>
  <si>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</si>
  <si>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</si>
  <si>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</si>
  <si>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</si>
  <si>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</si>
  <si>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</si>
  <si>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</si>
  <si>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</si>
  <si>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</si>
  <si>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</si>
  <si>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</si>
  <si>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</si>
  <si>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</si>
  <si>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</si>
  <si>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</si>
  <si>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</si>
  <si>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</si>
  <si>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</si>
  <si>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</si>
  <si>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</si>
  <si>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</si>
  <si>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</si>
  <si>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</si>
  <si>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</si>
  <si>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</si>
  <si>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</si>
  <si>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</si>
  <si>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</si>
  <si>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</si>
  <si>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</si>
  <si>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</si>
  <si>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</si>
  <si>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</si>
  <si>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</si>
  <si>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</si>
  <si>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</si>
  <si>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</si>
  <si>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</si>
  <si>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</si>
  <si>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</si>
  <si>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</si>
  <si>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</si>
  <si>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</si>
  <si>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</si>
  <si>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</si>
  <si>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</si>
  <si>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</si>
  <si>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</si>
  <si>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</si>
  <si>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</si>
  <si>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</si>
  <si>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</si>
  <si>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</si>
  <si>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</si>
  <si>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</si>
  <si>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</si>
  <si>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</si>
  <si>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</si>
  <si>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</si>
  <si>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</si>
  <si>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</si>
  <si>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</si>
  <si>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</si>
  <si>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</si>
  <si>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</si>
  <si>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</si>
  <si>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</si>
  <si>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</si>
  <si>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</si>
  <si>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</si>
  <si>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</si>
  <si>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</si>
  <si>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</si>
  <si>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</si>
  <si>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</si>
  <si>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</si>
  <si>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</si>
  <si>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</si>
  <si>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</si>
  <si>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</si>
  <si>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</si>
  <si>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</si>
  <si>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</si>
  <si>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</si>
  <si>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</si>
  <si>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</si>
  <si>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</si>
  <si>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</si>
  <si>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</si>
  <si>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</si>
  <si>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</si>
  <si>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</si>
  <si>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</si>
  <si>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</si>
  <si>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</si>
  <si>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</si>
  <si>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</si>
  <si>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</si>
  <si>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</si>
  <si>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</si>
  <si>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</si>
  <si>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</si>
  <si>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</si>
  <si>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</si>
  <si>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</si>
  <si>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</si>
  <si>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</si>
  <si>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</si>
  <si>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</si>
  <si>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</si>
  <si>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</si>
  <si>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</si>
  <si>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</si>
  <si>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</si>
  <si>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</si>
  <si>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</si>
  <si>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</si>
  <si>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</si>
  <si>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</si>
  <si>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</si>
  <si>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</si>
  <si>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</si>
  <si>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</si>
  <si>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</si>
  <si>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</si>
  <si>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</si>
  <si>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</si>
  <si>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</si>
  <si>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</si>
  <si>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</si>
  <si>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</si>
  <si>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</si>
  <si>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</si>
  <si>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</si>
  <si>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</si>
  <si>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</si>
  <si>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</si>
  <si>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</si>
  <si>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</si>
  <si>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</si>
  <si>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</si>
  <si>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</si>
  <si>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</si>
  <si>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</si>
  <si>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</si>
  <si>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</si>
  <si>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</si>
  <si>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</si>
  <si>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</si>
  <si>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</si>
  <si>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</si>
  <si>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</si>
  <si>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</si>
  <si>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</si>
  <si>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</si>
  <si>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</si>
  <si>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</si>
  <si>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</si>
  <si>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</si>
  <si>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</si>
  <si>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</si>
  <si>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</si>
  <si>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</si>
  <si>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</si>
  <si>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</si>
  <si>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</si>
  <si>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</si>
  <si>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</si>
  <si>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</si>
  <si>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</si>
  <si>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</si>
  <si>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</si>
  <si>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</si>
  <si>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</si>
  <si>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</si>
  <si>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</si>
  <si>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</si>
  <si>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</si>
  <si>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</si>
  <si>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</si>
  <si>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</si>
  <si>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</si>
  <si>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</si>
  <si>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</si>
  <si>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</si>
  <si>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</si>
  <si>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</si>
  <si>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</si>
  <si>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</si>
  <si>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</si>
  <si>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</si>
  <si>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</si>
  <si>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</si>
  <si>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</si>
  <si>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</si>
  <si>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</si>
  <si>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</si>
  <si>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</si>
  <si>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</si>
  <si>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</si>
  <si>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</si>
  <si>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</si>
  <si>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</si>
  <si>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</si>
  <si>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</si>
  <si>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</si>
  <si>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</si>
  <si>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</si>
  <si>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</si>
  <si>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</si>
  <si>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</si>
  <si>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</si>
  <si>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</si>
  <si>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</si>
  <si>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</si>
  <si>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</si>
  <si>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</si>
  <si>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</si>
  <si>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</si>
  <si>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</si>
  <si>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</si>
  <si>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</si>
  <si>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</si>
  <si>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</si>
  <si>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</si>
  <si>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</si>
  <si>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</si>
  <si>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</si>
  <si>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</si>
  <si>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</si>
  <si>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</si>
  <si>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</si>
  <si>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</si>
  <si>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</si>
  <si>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</si>
  <si>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</si>
  <si>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</si>
  <si>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</si>
  <si>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</si>
  <si>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</si>
  <si>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</si>
  <si>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</si>
  <si>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</si>
  <si>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</si>
  <si>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</si>
  <si>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</si>
  <si>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</si>
  <si>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</si>
  <si>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</si>
  <si>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</si>
  <si>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</si>
  <si>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</si>
  <si>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</si>
  <si>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</si>
  <si>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</si>
  <si>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</si>
  <si>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</si>
  <si>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</si>
  <si>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</si>
  <si>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</si>
  <si>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</si>
  <si>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</si>
  <si>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</si>
  <si>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</si>
  <si>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</si>
  <si>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</si>
  <si>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</si>
  <si>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</si>
  <si>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</si>
  <si>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</si>
  <si>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</si>
  <si>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</si>
  <si>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</si>
  <si>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</si>
  <si>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</si>
  <si>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</si>
  <si>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</si>
  <si>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</si>
  <si>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</si>
  <si>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</si>
  <si>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</si>
  <si>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</si>
  <si>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</si>
  <si>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</si>
  <si>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</si>
  <si>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</si>
  <si>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</si>
  <si>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</si>
  <si>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</si>
  <si>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</si>
  <si>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</si>
  <si>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</si>
  <si>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</si>
  <si>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</si>
  <si>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</si>
  <si>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</si>
  <si>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</si>
  <si>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</si>
  <si>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</si>
  <si>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</si>
  <si>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</si>
  <si>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</si>
  <si>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</si>
  <si>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</si>
  <si>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</si>
  <si>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</si>
  <si>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</si>
  <si>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</si>
  <si>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</si>
  <si>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</si>
  <si>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</si>
  <si>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</si>
  <si>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</si>
  <si>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</si>
  <si>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</si>
  <si>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</si>
  <si>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</si>
  <si>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</si>
  <si>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</si>
  <si>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</si>
  <si>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</si>
  <si>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</si>
  <si>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</si>
  <si>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</si>
  <si>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</si>
  <si>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</si>
  <si>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</si>
  <si>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</si>
  <si>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</si>
  <si>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</si>
  <si>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</si>
  <si>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</si>
  <si>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</si>
  <si>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</si>
  <si>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</si>
  <si>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</si>
  <si>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</si>
  <si>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</si>
  <si>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</si>
  <si>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</si>
  <si>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</si>
  <si>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</si>
  <si>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</si>
  <si>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</si>
  <si>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</si>
  <si>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</si>
  <si>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</si>
  <si>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</si>
  <si>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</si>
  <si>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</si>
  <si>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</si>
  <si>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</si>
  <si>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</si>
  <si>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</si>
  <si>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</si>
  <si>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</si>
  <si>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</si>
  <si>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</si>
  <si>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</si>
  <si>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</si>
  <si>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</si>
  <si>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</si>
  <si>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</si>
  <si>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</si>
  <si>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</si>
  <si>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</si>
  <si>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</si>
  <si>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</si>
  <si>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</si>
  <si>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</si>
  <si>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</si>
  <si>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</si>
  <si>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</si>
  <si>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</si>
  <si>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</si>
  <si>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</si>
  <si>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</si>
  <si>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</si>
  <si>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</si>
  <si>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</si>
  <si>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</si>
  <si>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</si>
  <si>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</si>
  <si>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</si>
  <si>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</si>
  <si>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</si>
  <si>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</si>
  <si>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</si>
  <si>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</si>
  <si>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</si>
  <si>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</si>
  <si>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</si>
  <si>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</si>
  <si>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</si>
  <si>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</si>
  <si>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</si>
  <si>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</si>
  <si>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</si>
  <si>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</si>
  <si>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</si>
  <si>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</si>
  <si>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</si>
  <si>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</si>
  <si>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</si>
  <si>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</si>
  <si>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</si>
  <si>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</si>
  <si>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</si>
  <si>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</si>
  <si>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</si>
  <si>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</si>
  <si>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</si>
  <si>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</si>
  <si>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</si>
  <si>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</si>
  <si>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</si>
  <si>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</si>
  <si>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</si>
  <si>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</si>
  <si>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</si>
  <si>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</si>
  <si>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</si>
  <si>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</si>
  <si>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</si>
  <si>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</si>
  <si>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</si>
  <si>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</si>
  <si>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</si>
  <si>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</si>
  <si>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</si>
  <si>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</si>
  <si>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</si>
  <si>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</si>
  <si>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</si>
  <si>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</si>
  <si>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</si>
  <si>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</si>
  <si>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</si>
  <si>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</si>
  <si>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</si>
  <si>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</si>
  <si>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</si>
  <si>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</si>
  <si>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</si>
  <si>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</si>
  <si>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</si>
  <si>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</si>
  <si>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</si>
  <si>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</si>
  <si>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</si>
  <si>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</si>
  <si>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</si>
  <si>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</si>
  <si>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</si>
  <si>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</si>
  <si>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</si>
  <si>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</si>
  <si>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</si>
  <si>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</si>
  <si>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</si>
  <si>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</si>
  <si>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</si>
  <si>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</si>
  <si>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</si>
  <si>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</si>
  <si>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</si>
  <si>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</si>
  <si>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</si>
  <si>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</si>
  <si>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</si>
  <si>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</si>
  <si>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</si>
  <si>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</si>
  <si>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</si>
  <si>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</si>
  <si>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</si>
  <si>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</si>
  <si>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</si>
  <si>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</si>
  <si>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</si>
  <si>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</si>
  <si>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</si>
  <si>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</si>
  <si>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</si>
  <si>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</si>
  <si>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</si>
  <si>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</si>
  <si>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</si>
  <si>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</si>
  <si>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</si>
  <si>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</si>
  <si>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</si>
  <si>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</si>
  <si>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</si>
  <si>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</si>
  <si>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</si>
  <si>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</si>
  <si>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</si>
  <si>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</si>
  <si>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</si>
  <si>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</si>
  <si>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</si>
  <si>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</si>
  <si>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</si>
  <si>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</si>
  <si>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</si>
  <si>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</si>
  <si>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</si>
  <si>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</si>
  <si>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</si>
  <si>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</si>
  <si>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</si>
  <si>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</si>
  <si>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</si>
  <si>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</si>
  <si>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</si>
  <si>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</si>
  <si>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</si>
  <si>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</si>
  <si>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</si>
  <si>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</si>
  <si>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</si>
  <si>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</si>
  <si>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</si>
  <si>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</si>
  <si>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</si>
  <si>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</si>
  <si>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</si>
  <si>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</si>
  <si>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</si>
  <si>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</si>
  <si>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</si>
  <si>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</si>
  <si>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</si>
  <si>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</si>
  <si>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</si>
  <si>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</si>
  <si>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</si>
  <si>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</si>
  <si>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</si>
  <si>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</si>
  <si>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</si>
  <si>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</si>
  <si>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</si>
  <si>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</si>
  <si>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</si>
  <si>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</si>
  <si>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</si>
  <si>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</si>
  <si>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</si>
  <si>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</si>
  <si>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</si>
  <si>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</si>
  <si>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</si>
  <si>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</si>
  <si>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</si>
  <si>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</si>
  <si>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</si>
  <si>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</si>
  <si>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</si>
  <si>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</si>
  <si>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</si>
  <si>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</si>
  <si>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</si>
  <si>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</si>
  <si>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</si>
  <si>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</si>
  <si>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</si>
  <si>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</si>
  <si>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</si>
  <si>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</si>
  <si>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</si>
  <si>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</si>
  <si>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</si>
  <si>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</si>
  <si>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</si>
  <si>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</si>
  <si>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</si>
  <si>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</si>
  <si>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</si>
  <si>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</si>
  <si>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</si>
  <si>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</si>
  <si>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</si>
  <si>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</si>
  <si>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</si>
  <si>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</si>
  <si>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</si>
  <si>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</si>
  <si>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</si>
  <si>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</si>
  <si>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</si>
  <si>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</si>
  <si>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</si>
  <si>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</si>
  <si>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</si>
  <si>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</si>
  <si>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</si>
  <si>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</si>
  <si>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</si>
  <si>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</si>
  <si>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</si>
  <si>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</si>
  <si>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</si>
  <si>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</si>
  <si>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</si>
  <si>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</si>
  <si>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</si>
  <si>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</si>
  <si>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</si>
  <si>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</si>
  <si>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</si>
  <si>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</si>
  <si>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</si>
  <si>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</si>
  <si>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</si>
  <si>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</si>
  <si>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</si>
  <si>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</si>
  <si>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</si>
  <si>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</si>
  <si>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</si>
  <si>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</si>
  <si>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</si>
  <si>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</si>
  <si>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</si>
  <si>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</si>
  <si>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</si>
  <si>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</si>
  <si>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</si>
  <si>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</si>
  <si>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</si>
  <si>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</si>
  <si>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</si>
  <si>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</si>
  <si>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</si>
  <si>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</si>
  <si>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</si>
  <si>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</si>
  <si>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</si>
  <si>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</si>
  <si>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</si>
  <si>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</si>
  <si>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</si>
  <si>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</si>
  <si>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</si>
  <si>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</si>
  <si>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</si>
  <si>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</si>
  <si>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</si>
  <si>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</si>
  <si>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</si>
  <si>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</si>
  <si>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</si>
  <si>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</si>
  <si>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</si>
  <si>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</si>
  <si>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</si>
  <si>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</si>
  <si>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</si>
  <si>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</si>
  <si>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</si>
  <si>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</si>
  <si>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</si>
  <si>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</si>
  <si>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</si>
  <si>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</si>
  <si>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</si>
  <si>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</si>
  <si>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</si>
  <si>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</si>
  <si>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</si>
  <si>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</si>
  <si>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</si>
  <si>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</si>
  <si>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</si>
  <si>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</si>
  <si>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</si>
  <si>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</si>
  <si>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</si>
  <si>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</si>
  <si>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</si>
  <si>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</si>
  <si>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</si>
  <si>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</si>
  <si>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</si>
  <si>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</si>
  <si>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</si>
  <si>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</si>
  <si>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</si>
  <si>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</si>
  <si>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</si>
  <si>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</si>
  <si>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</si>
  <si>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</si>
  <si>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</si>
  <si>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</si>
  <si>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</si>
  <si>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</si>
  <si>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</si>
  <si>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</si>
  <si>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</si>
  <si>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</si>
  <si>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</si>
  <si>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</si>
  <si>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</si>
  <si>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</si>
  <si>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</si>
  <si>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</si>
  <si>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</si>
  <si>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</si>
  <si>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</si>
  <si>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</si>
  <si>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</si>
  <si>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</si>
  <si>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</si>
  <si>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</si>
  <si>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</si>
  <si>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</si>
  <si>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</si>
  <si>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</si>
  <si>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</si>
  <si>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</si>
  <si>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</si>
  <si>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</si>
  <si>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</si>
  <si>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</si>
  <si>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</si>
  <si>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</si>
  <si>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</si>
  <si>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</si>
  <si>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</si>
  <si>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</si>
  <si>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</si>
  <si>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</si>
  <si>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</si>
  <si>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</si>
  <si>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</si>
  <si>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</si>
  <si>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</si>
  <si>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</si>
  <si>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</si>
  <si>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</si>
  <si>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</si>
  <si>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</si>
  <si>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</si>
  <si>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</si>
  <si>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</si>
  <si>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</si>
  <si>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</si>
  <si>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</si>
  <si>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</si>
  <si>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</si>
  <si>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</si>
  <si>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</si>
  <si>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</si>
  <si>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</si>
  <si>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</si>
  <si>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</si>
  <si>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</si>
  <si>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</si>
  <si>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</si>
  <si>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</si>
  <si>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</si>
  <si>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</si>
  <si>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</si>
  <si>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</si>
  <si>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</si>
  <si>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</si>
  <si>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</si>
  <si>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</si>
  <si>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</si>
  <si>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</si>
  <si>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</si>
  <si>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</si>
  <si>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</si>
  <si>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</si>
  <si>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</si>
  <si>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</si>
  <si>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</si>
  <si>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</si>
  <si>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</si>
  <si>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</si>
  <si>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</si>
  <si>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</si>
  <si>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</si>
  <si>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</si>
  <si>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</si>
  <si>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</si>
  <si>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</si>
  <si>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</si>
  <si>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</si>
  <si>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</si>
  <si>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</si>
  <si>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</si>
  <si>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</si>
  <si>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</si>
  <si>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</si>
  <si>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</si>
  <si>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</si>
  <si>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</si>
  <si>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</si>
  <si>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</si>
  <si>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</si>
  <si>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</si>
  <si>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</si>
  <si>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</si>
  <si>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</si>
  <si>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</si>
  <si>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</si>
  <si>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</si>
  <si>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</si>
  <si>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</si>
  <si>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</si>
  <si>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</si>
  <si>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</si>
  <si>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</si>
  <si>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</si>
  <si>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</si>
  <si>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</si>
  <si>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</si>
  <si>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</si>
  <si>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</si>
  <si>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</si>
  <si>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</si>
  <si>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</si>
  <si>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</si>
  <si>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</si>
  <si>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</si>
  <si>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</si>
  <si>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</si>
  <si>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</si>
  <si>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</si>
  <si>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</si>
  <si>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</si>
  <si>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</si>
  <si>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</si>
  <si>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</si>
  <si>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</si>
  <si>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</si>
  <si>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</si>
  <si>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</si>
  <si>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</si>
  <si>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</si>
  <si>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</si>
  <si>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</si>
  <si>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</si>
  <si>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</si>
  <si>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</si>
  <si>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</si>
  <si>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</si>
  <si>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</si>
  <si>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</si>
  <si>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</si>
  <si>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</si>
  <si>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</si>
  <si>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</si>
  <si>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</si>
  <si>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</si>
  <si>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</si>
  <si>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</si>
  <si>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</si>
  <si>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</si>
  <si>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</si>
  <si>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</si>
  <si>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</si>
  <si>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</si>
  <si>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</si>
  <si>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</si>
  <si>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</si>
  <si>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</si>
  <si>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</si>
  <si>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</si>
  <si>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</si>
  <si>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</si>
  <si>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</si>
  <si>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</si>
  <si>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</si>
  <si>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</si>
  <si>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</si>
  <si>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</si>
  <si>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</si>
  <si>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</si>
  <si>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</si>
  <si>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</si>
  <si>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</si>
  <si>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</si>
  <si>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</si>
  <si>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</si>
  <si>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</si>
  <si>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</si>
  <si>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</si>
  <si>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</si>
  <si>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</si>
  <si>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</si>
  <si>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</si>
  <si>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</si>
  <si>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</si>
  <si>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</si>
  <si>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</si>
  <si>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</si>
  <si>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</si>
  <si>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</si>
  <si>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</si>
  <si>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</si>
  <si>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</si>
  <si>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</si>
  <si>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</si>
  <si>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</si>
  <si>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</si>
  <si>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</si>
  <si>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</si>
  <si>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</si>
  <si>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</si>
  <si>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</si>
  <si>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</si>
  <si>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</si>
  <si>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</si>
  <si>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</si>
  <si>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</si>
  <si>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</si>
  <si>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</si>
  <si>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</si>
  <si>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</si>
  <si>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</si>
  <si>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</si>
  <si>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</si>
  <si>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</si>
  <si>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</si>
  <si>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</si>
  <si>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</si>
  <si>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</si>
  <si>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</si>
  <si>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</si>
  <si>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</si>
  <si>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</si>
  <si>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</si>
  <si>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</si>
  <si>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</si>
  <si>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</si>
  <si>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</si>
  <si>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</si>
  <si>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</si>
  <si>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</si>
  <si>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</si>
  <si>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</si>
  <si>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</si>
  <si>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</si>
  <si>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</si>
  <si>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</si>
  <si>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</si>
  <si>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</si>
  <si>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</si>
  <si>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</si>
  <si>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</si>
  <si>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</si>
  <si>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</si>
  <si>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</si>
  <si>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</si>
  <si>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</si>
  <si>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</si>
  <si>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</si>
  <si>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</si>
  <si>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</si>
  <si>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</si>
  <si>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</si>
  <si>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</si>
  <si>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</si>
  <si>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</si>
  <si>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</si>
  <si>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</si>
  <si>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</si>
  <si>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</si>
  <si>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</si>
  <si>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</si>
  <si>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</si>
  <si>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</si>
  <si>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</si>
  <si>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</si>
  <si>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</si>
  <si>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</si>
  <si>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</si>
  <si>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</si>
  <si>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</si>
  <si>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</si>
  <si>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</si>
  <si>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</si>
  <si>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</si>
  <si>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</si>
  <si>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</si>
  <si>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</si>
  <si>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</si>
  <si>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</si>
  <si>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</si>
  <si>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</si>
  <si>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</si>
  <si>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</si>
  <si>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</si>
  <si>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</si>
  <si>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</si>
  <si>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</si>
  <si>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</si>
  <si>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</si>
  <si>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</si>
  <si>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</si>
  <si>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</si>
  <si>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</si>
  <si>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</si>
  <si>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</si>
  <si>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</si>
  <si>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</si>
  <si>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</si>
  <si>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</si>
  <si>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</si>
  <si>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</si>
  <si>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</si>
  <si>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</si>
  <si>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</si>
  <si>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</si>
  <si>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</si>
  <si>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</si>
  <si>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</si>
  <si>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</si>
  <si>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</si>
  <si>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</si>
  <si>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</si>
  <si>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</si>
  <si>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</si>
  <si>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</si>
  <si>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</si>
  <si>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</si>
  <si>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</si>
  <si>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</si>
  <si>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</si>
  <si>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</si>
  <si>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</si>
  <si>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</si>
  <si>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</si>
  <si>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</si>
  <si>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</si>
  <si>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</si>
  <si>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</si>
  <si>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</si>
  <si>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</si>
  <si>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</si>
  <si>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</si>
  <si>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</si>
  <si>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</si>
  <si>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</si>
  <si>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</si>
  <si>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</si>
  <si>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</si>
  <si>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</si>
  <si>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</si>
  <si>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</si>
  <si>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</si>
  <si>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</si>
  <si>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</si>
  <si>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</si>
  <si>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</si>
  <si>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</si>
  <si>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</si>
  <si>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</si>
  <si>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</si>
  <si>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</si>
  <si>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</si>
  <si>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</si>
  <si>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</si>
  <si>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</si>
  <si>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</si>
  <si>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</si>
  <si>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</si>
  <si>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</si>
  <si>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</si>
  <si>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</si>
  <si>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</si>
  <si>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</si>
  <si>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</si>
  <si>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</si>
  <si>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</si>
  <si>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</si>
  <si>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</si>
  <si>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</si>
  <si>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</si>
  <si>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</si>
  <si>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</si>
  <si>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</si>
  <si>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</si>
  <si>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</si>
  <si>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</si>
  <si>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</si>
  <si>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</si>
  <si>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</si>
  <si>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</si>
  <si>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</si>
  <si>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</si>
  <si>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</si>
  <si>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</si>
  <si>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</si>
  <si>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</si>
  <si>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</si>
  <si>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</si>
  <si>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</si>
  <si>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</si>
  <si>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</si>
  <si>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</si>
  <si>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</si>
  <si>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</si>
  <si>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</si>
  <si>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</si>
  <si>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</si>
  <si>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</si>
  <si>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</si>
  <si>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</si>
  <si>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</si>
  <si>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</si>
  <si>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</si>
  <si>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</si>
  <si>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</si>
  <si>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</si>
  <si>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</si>
  <si>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</si>
  <si>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</si>
  <si>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</si>
  <si>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</si>
  <si>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</si>
  <si>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</si>
  <si>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</si>
  <si>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</si>
  <si>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</si>
  <si>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</si>
  <si>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</si>
  <si>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</si>
  <si>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</si>
  <si>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</si>
  <si>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</si>
  <si>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</si>
  <si>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</si>
  <si>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</si>
  <si>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</si>
  <si>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</si>
  <si>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</si>
  <si>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</si>
  <si>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</si>
  <si>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</si>
  <si>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</si>
  <si>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</si>
  <si>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</si>
  <si>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</si>
  <si>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</si>
  <si>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</si>
  <si>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</si>
  <si>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</si>
  <si>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</si>
  <si>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</si>
  <si>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</si>
  <si>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</si>
  <si>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</si>
  <si>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</si>
  <si>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</si>
  <si>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</si>
  <si>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</si>
  <si>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</si>
  <si>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</si>
  <si>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</si>
  <si>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</si>
  <si>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</si>
  <si>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</si>
  <si>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</si>
  <si>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</si>
  <si>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</si>
  <si>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</si>
  <si>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</si>
  <si>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</si>
  <si>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</si>
  <si>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</si>
  <si>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</si>
  <si>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</si>
  <si>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</si>
  <si>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</si>
  <si>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</si>
  <si>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</si>
  <si>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</si>
  <si>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</si>
  <si>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</si>
  <si>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</si>
  <si>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</si>
  <si>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</si>
  <si>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</si>
  <si>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</si>
  <si>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</si>
  <si>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</si>
  <si>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</si>
  <si>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</si>
  <si>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</si>
  <si>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</si>
  <si>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</si>
  <si>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</si>
  <si>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</si>
  <si>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</si>
  <si>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</si>
  <si>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</si>
  <si>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</si>
  <si>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</si>
  <si>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</si>
  <si>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</si>
  <si>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</si>
  <si>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</si>
  <si>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</si>
  <si>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</si>
  <si>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</si>
  <si>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</si>
  <si>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</si>
  <si>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</si>
  <si>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</si>
  <si>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</si>
  <si>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</si>
  <si>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</si>
  <si>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</si>
  <si>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</si>
  <si>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</si>
  <si>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</si>
  <si>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</si>
  <si>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</si>
  <si>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</si>
  <si>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</si>
  <si>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</si>
  <si>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</si>
  <si>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</si>
  <si>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</si>
  <si>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</si>
  <si>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</si>
  <si>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</si>
  <si>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</si>
  <si>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</si>
  <si>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</si>
  <si>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</si>
  <si>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</si>
  <si>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</si>
  <si>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</si>
  <si>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</si>
  <si>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</si>
  <si>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</si>
  <si>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</si>
  <si>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</si>
  <si>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</si>
  <si>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</si>
  <si>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</si>
  <si>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</si>
  <si>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</si>
  <si>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</si>
  <si>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</si>
  <si>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</si>
  <si>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</si>
  <si>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</si>
  <si>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</si>
  <si>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</si>
  <si>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</si>
  <si>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</si>
  <si>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</si>
  <si>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</si>
  <si>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</si>
  <si>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</si>
  <si>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</si>
  <si>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</si>
  <si>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</si>
  <si>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</si>
  <si>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</si>
  <si>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</si>
  <si>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</si>
  <si>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</si>
  <si>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</si>
  <si>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</si>
  <si>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</si>
  <si>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</si>
  <si>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</si>
  <si>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</si>
  <si>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</si>
  <si>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</si>
  <si>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</si>
  <si>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</si>
  <si>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</si>
  <si>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</si>
  <si>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</si>
  <si>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</si>
  <si>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</si>
  <si>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</si>
  <si>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</si>
  <si>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</si>
  <si>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</si>
  <si>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</si>
  <si>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</si>
  <si>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</si>
  <si>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</si>
  <si>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</si>
  <si>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</si>
  <si>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</si>
  <si>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</si>
  <si>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</si>
  <si>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</si>
  <si>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</si>
  <si>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</si>
  <si>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</si>
  <si>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</si>
  <si>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</si>
  <si>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</si>
  <si>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</si>
  <si>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</si>
  <si>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</si>
  <si>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</si>
  <si>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</si>
  <si>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</si>
  <si>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</si>
  <si>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</si>
  <si>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</si>
  <si>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</si>
  <si>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</si>
  <si>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</si>
  <si>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</si>
  <si>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</si>
  <si>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</si>
  <si>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</si>
  <si>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</si>
  <si>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</si>
  <si>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</si>
  <si>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</si>
  <si>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</si>
  <si>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</si>
  <si>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</si>
  <si>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</si>
  <si>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</si>
  <si>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</si>
  <si>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</si>
  <si>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</si>
  <si>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</si>
  <si>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</si>
  <si>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</si>
  <si>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</si>
  <si>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</si>
  <si>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</si>
  <si>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</si>
  <si>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</si>
  <si>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</si>
  <si>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</si>
  <si>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</si>
  <si>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</si>
  <si>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</si>
  <si>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</si>
  <si>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</si>
  <si>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</si>
  <si>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</si>
  <si>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</si>
  <si>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</si>
  <si>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</si>
  <si>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</si>
  <si>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</si>
  <si>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</si>
  <si>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</si>
  <si>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</si>
  <si>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</si>
  <si>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</si>
  <si>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</si>
  <si>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</si>
  <si>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</si>
  <si>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</si>
  <si>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</si>
  <si>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</si>
  <si>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</si>
  <si>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</si>
  <si>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</si>
  <si>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</si>
  <si>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</si>
  <si>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</si>
  <si>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</si>
  <si>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</si>
  <si>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</si>
  <si>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</si>
  <si>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</si>
  <si>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</si>
  <si>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</si>
  <si>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</si>
  <si>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</si>
  <si>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</si>
  <si>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</si>
  <si>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</si>
  <si>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</si>
  <si>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</si>
  <si>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</si>
  <si>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</si>
  <si>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</si>
  <si>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</si>
  <si>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</si>
  <si>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</si>
  <si>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</si>
  <si>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</si>
  <si>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</si>
  <si>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</si>
  <si>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</si>
  <si>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</si>
  <si>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</si>
  <si>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</si>
  <si>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</si>
  <si>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</si>
  <si>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</si>
  <si>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</si>
  <si>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</si>
  <si>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</si>
  <si>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</si>
  <si>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</si>
  <si>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</si>
  <si>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</si>
  <si>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</si>
  <si>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</si>
  <si>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</si>
  <si>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</si>
  <si>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</si>
  <si>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</si>
  <si>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</si>
  <si>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</si>
  <si>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</si>
  <si>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</si>
  <si>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</si>
  <si>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</si>
  <si>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</si>
  <si>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</si>
  <si>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</si>
  <si>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</si>
  <si>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</si>
  <si>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</si>
  <si>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</si>
  <si>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</si>
  <si>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</si>
  <si>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</si>
  <si>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</si>
  <si>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</si>
  <si>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</si>
  <si>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</si>
  <si>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</si>
  <si>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</si>
  <si>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</si>
  <si>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</si>
  <si>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</si>
  <si>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</si>
  <si>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</si>
  <si>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</si>
  <si>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</si>
  <si>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</si>
  <si>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</si>
  <si>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</si>
  <si>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</si>
  <si>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</si>
  <si>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</si>
  <si>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</si>
  <si>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</si>
  <si>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</si>
  <si>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</si>
  <si>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</si>
  <si>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</si>
  <si>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</si>
  <si>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</si>
  <si>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</si>
  <si>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</si>
  <si>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</si>
  <si>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</si>
  <si>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</si>
  <si>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</si>
  <si>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</si>
  <si>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</si>
  <si>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</si>
  <si>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</si>
  <si>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</si>
  <si>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</si>
  <si>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</si>
  <si>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</si>
  <si>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</si>
  <si>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</si>
  <si>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</si>
  <si>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</si>
  <si>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</si>
  <si>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</si>
  <si>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</si>
  <si>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</si>
  <si>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</si>
  <si>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</si>
  <si>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</si>
  <si>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</si>
  <si>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</si>
  <si>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</si>
  <si>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</si>
  <si>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</si>
  <si>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</si>
  <si>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</si>
  <si>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</si>
  <si>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</si>
  <si>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</si>
  <si>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</si>
  <si>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</si>
  <si>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</si>
  <si>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</si>
  <si>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</si>
  <si>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</si>
  <si>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</si>
  <si>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</si>
  <si>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</si>
  <si>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</si>
  <si>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</si>
  <si>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</si>
  <si>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</si>
  <si>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</si>
  <si>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</si>
  <si>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</si>
  <si>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</si>
  <si>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</si>
  <si>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</si>
  <si>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</si>
  <si>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</si>
  <si>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</si>
  <si>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</si>
  <si>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</si>
  <si>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</si>
  <si>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</si>
  <si>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</si>
  <si>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</si>
  <si>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</si>
  <si>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</si>
  <si>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</si>
  <si>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</si>
  <si>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</si>
  <si>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</si>
  <si>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</si>
  <si>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</si>
  <si>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</si>
  <si>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</si>
  <si>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</si>
  <si>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</si>
  <si>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</si>
  <si>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</si>
  <si>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</si>
  <si>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</si>
  <si>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</si>
  <si>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</si>
  <si>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</si>
  <si>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</si>
  <si>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</si>
  <si>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</si>
  <si>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</si>
  <si>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</si>
  <si>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</si>
  <si>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</si>
  <si>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</si>
  <si>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</si>
  <si>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</si>
  <si>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</si>
  <si>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</si>
  <si>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</si>
  <si>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</si>
  <si>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</si>
  <si>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</si>
  <si>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</si>
  <si>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</si>
  <si>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</si>
  <si>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</si>
  <si>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</si>
  <si>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</si>
  <si>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</si>
  <si>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</si>
  <si>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</si>
  <si>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</si>
  <si>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</si>
  <si>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</si>
  <si>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</si>
  <si>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</si>
  <si>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</si>
  <si>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</si>
  <si>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</si>
  <si>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</si>
  <si>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</si>
  <si>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</si>
  <si>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</si>
  <si>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</si>
  <si>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</si>
  <si>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</si>
  <si>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</si>
  <si>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</si>
  <si>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</si>
  <si>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</si>
  <si>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</si>
  <si>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</si>
  <si>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</si>
  <si>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</si>
  <si>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</si>
  <si>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</si>
  <si>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</si>
  <si>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</si>
  <si>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</si>
  <si>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</si>
  <si>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</si>
  <si>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</si>
  <si>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</si>
  <si>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</si>
  <si>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</si>
  <si>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</si>
  <si>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</si>
  <si>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</si>
  <si>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</si>
  <si>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</si>
  <si>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</si>
  <si>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</si>
  <si>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</si>
  <si>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</si>
  <si>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</si>
  <si>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</si>
  <si>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</si>
  <si>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</si>
  <si>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</si>
  <si>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</si>
  <si>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</si>
  <si>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</si>
  <si>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</si>
  <si>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</si>
  <si>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</si>
  <si>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</si>
  <si>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</si>
  <si>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</si>
  <si>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</si>
  <si>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</si>
  <si>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</si>
  <si>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</si>
  <si>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</si>
  <si>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</si>
  <si>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</si>
  <si>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</si>
  <si>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</si>
  <si>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</si>
  <si>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</si>
  <si>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</si>
  <si>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</si>
  <si>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</si>
  <si>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</si>
  <si>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</si>
  <si>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</si>
  <si>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</si>
  <si>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</si>
  <si>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</si>
  <si>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</si>
  <si>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</si>
  <si>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</si>
  <si>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</si>
  <si>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</si>
  <si>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</si>
  <si>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</si>
  <si>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</si>
  <si>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</si>
  <si>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</si>
  <si>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</si>
  <si>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</si>
  <si>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</si>
  <si>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</si>
  <si>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</si>
  <si>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</si>
  <si>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</si>
  <si>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</si>
  <si>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</si>
  <si>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</si>
  <si>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</si>
  <si>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</si>
  <si>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</si>
  <si>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</si>
  <si>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</si>
  <si>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</si>
  <si>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</si>
  <si>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</si>
  <si>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</si>
  <si>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</si>
  <si>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</si>
  <si>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</si>
  <si>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</si>
  <si>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</si>
  <si>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</si>
  <si>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</si>
  <si>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</si>
  <si>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</si>
  <si>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</si>
  <si>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</si>
  <si>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</si>
  <si>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</si>
  <si>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</si>
  <si>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</si>
  <si>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</si>
  <si>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</si>
  <si>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</si>
  <si>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</si>
  <si>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</si>
  <si>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</si>
  <si>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</si>
  <si>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</si>
  <si>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</si>
  <si>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</si>
  <si>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</si>
  <si>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</si>
  <si>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</si>
  <si>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</si>
  <si>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</si>
  <si>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</si>
  <si>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</si>
  <si>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</si>
  <si>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</si>
  <si>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</si>
  <si>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</si>
  <si>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</si>
  <si>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</si>
  <si>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</si>
  <si>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</si>
  <si>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</si>
  <si>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</si>
  <si>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</si>
  <si>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</si>
  <si>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</si>
  <si>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</si>
  <si>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</si>
  <si>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</si>
  <si>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</si>
  <si>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</si>
  <si>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</si>
  <si>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</si>
  <si>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</si>
  <si>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</si>
  <si>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</si>
  <si>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</si>
  <si>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</si>
  <si>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</si>
  <si>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</si>
  <si>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</si>
  <si>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</si>
  <si>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</si>
  <si>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</si>
  <si>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</si>
  <si>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</si>
  <si>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</si>
  <si>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</si>
  <si>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</si>
  <si>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</si>
  <si>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</si>
  <si>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</si>
  <si>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</si>
  <si>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</si>
  <si>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</si>
  <si>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</si>
  <si>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</si>
  <si>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</si>
  <si>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</si>
  <si>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</si>
  <si>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</si>
  <si>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</si>
  <si>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</si>
  <si>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</si>
  <si>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</si>
  <si>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</si>
  <si>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</si>
  <si>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</si>
  <si>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</si>
  <si>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</si>
  <si>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</si>
  <si>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</si>
  <si>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</si>
  <si>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</si>
  <si>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</si>
  <si>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</si>
  <si>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</si>
  <si>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</si>
  <si>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</si>
  <si>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</si>
  <si>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</si>
  <si>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</si>
  <si>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</si>
  <si>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</si>
  <si>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</si>
  <si>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</si>
  <si>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</si>
  <si>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</si>
  <si>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</si>
  <si>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</si>
  <si>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</si>
  <si>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</si>
  <si>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</si>
  <si>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</si>
  <si>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</si>
  <si>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</si>
  <si>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</si>
  <si>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</si>
  <si>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</si>
  <si>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</si>
  <si>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</si>
  <si>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</si>
  <si>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</si>
  <si>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</si>
  <si>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</si>
  <si>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</si>
  <si>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</si>
  <si>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</si>
  <si>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</si>
  <si>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</si>
  <si>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</si>
  <si>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</si>
  <si>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</si>
  <si>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</si>
  <si>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</si>
  <si>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</si>
  <si>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</si>
  <si>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</si>
  <si>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</si>
  <si>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</si>
  <si>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</si>
  <si>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</si>
  <si>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</si>
  <si>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</si>
  <si>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</si>
  <si>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</si>
  <si>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</si>
  <si>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</si>
  <si>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</si>
  <si>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</si>
  <si>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</si>
  <si>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</si>
  <si>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</si>
  <si>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</si>
  <si>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</si>
  <si>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</si>
  <si>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</si>
  <si>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</si>
  <si>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</si>
  <si>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</si>
  <si>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</si>
  <si>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</si>
  <si>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</si>
  <si>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</si>
  <si>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</si>
  <si>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</si>
  <si>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</si>
  <si>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</si>
  <si>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</si>
  <si>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</si>
  <si>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</si>
  <si>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</si>
  <si>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</si>
  <si>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</si>
  <si>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</si>
  <si>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</si>
  <si>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</si>
  <si>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</si>
  <si>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</si>
  <si>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</si>
  <si>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</si>
  <si>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</si>
  <si>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</si>
  <si>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</si>
  <si>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</si>
  <si>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</si>
  <si>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</si>
  <si>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</si>
  <si>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</si>
  <si>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</si>
  <si>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</si>
  <si>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</si>
  <si>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</si>
  <si>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</si>
  <si>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</si>
  <si>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</si>
  <si>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</si>
  <si>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</si>
  <si>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</si>
  <si>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</si>
  <si>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</si>
  <si>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</si>
  <si>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</si>
  <si>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</si>
  <si>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</si>
  <si>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</si>
  <si>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</si>
  <si>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</si>
  <si>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</si>
  <si>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</si>
  <si>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</si>
  <si>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</si>
  <si>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</si>
  <si>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</si>
  <si>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</si>
  <si>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</si>
  <si>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</si>
  <si>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</si>
  <si>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</si>
  <si>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</si>
  <si>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</si>
  <si>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</si>
  <si>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</si>
  <si>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</si>
  <si>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</si>
  <si>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</si>
  <si>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</si>
  <si>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</si>
  <si>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</si>
  <si>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</si>
  <si>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</si>
  <si>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</si>
  <si>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</si>
  <si>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</si>
  <si>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</si>
  <si>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</si>
  <si>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</si>
  <si>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</si>
  <si>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</si>
  <si>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</si>
  <si>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</si>
  <si>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</si>
  <si>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</si>
  <si>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</si>
  <si>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</si>
  <si>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</si>
  <si>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</si>
  <si>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</si>
  <si>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</si>
  <si>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</si>
  <si>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</si>
  <si>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</si>
  <si>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</si>
  <si>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</si>
  <si>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</si>
  <si>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</si>
  <si>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</si>
  <si>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</si>
  <si>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</si>
  <si>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</si>
  <si>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</si>
  <si>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</si>
  <si>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</si>
  <si>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</si>
  <si>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</si>
  <si>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</si>
  <si>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</si>
  <si>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</si>
  <si>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</si>
  <si>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</si>
  <si>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</si>
  <si>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</si>
  <si>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</si>
  <si>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</si>
  <si>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</si>
  <si>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</si>
  <si>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</si>
  <si>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</si>
  <si>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</si>
  <si>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</si>
  <si>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</si>
  <si>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</si>
  <si>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</si>
  <si>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</si>
  <si>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</si>
  <si>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</si>
  <si>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</si>
  <si>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</si>
  <si>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</si>
  <si>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</si>
  <si>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</si>
  <si>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</si>
  <si>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</si>
  <si>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</si>
  <si>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</si>
  <si>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</si>
  <si>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</si>
  <si>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</si>
  <si>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</si>
  <si>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</si>
  <si>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</si>
  <si>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</si>
  <si>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</si>
  <si>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</si>
  <si>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</si>
  <si>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</si>
  <si>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</si>
  <si>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</si>
  <si>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</si>
  <si>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</si>
  <si>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</si>
  <si>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</si>
  <si>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</si>
  <si>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</si>
  <si>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</si>
  <si>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</si>
  <si>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</si>
  <si>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</si>
  <si>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</si>
  <si>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</si>
  <si>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</si>
  <si>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</si>
  <si>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</si>
  <si>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</si>
  <si>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</si>
  <si>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</si>
  <si>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</si>
  <si>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</si>
  <si>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</si>
  <si>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</si>
  <si>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</si>
  <si>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</si>
  <si>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</si>
  <si>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</si>
  <si>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</si>
  <si>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</si>
  <si>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</si>
  <si>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</si>
  <si>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</si>
  <si>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</si>
  <si>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</si>
  <si>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</si>
  <si>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</si>
  <si>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</si>
  <si>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</si>
  <si>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</si>
  <si>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</si>
  <si>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</si>
  <si>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</si>
  <si>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</si>
  <si>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</si>
  <si>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</si>
  <si>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</si>
  <si>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</si>
  <si>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</si>
  <si>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</si>
  <si>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</si>
  <si>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</si>
  <si>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</si>
  <si>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</si>
  <si>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</si>
  <si>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</si>
  <si>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</si>
  <si>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</si>
  <si>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</si>
  <si>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</si>
  <si>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</si>
  <si>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</si>
  <si>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</si>
  <si>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</si>
  <si>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</si>
  <si>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</si>
  <si>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</si>
  <si>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</si>
  <si>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</si>
  <si>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</si>
  <si>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</si>
  <si>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</si>
  <si>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</si>
  <si>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</si>
  <si>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</si>
  <si>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</si>
  <si>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</si>
  <si>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</si>
  <si>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</si>
  <si>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</si>
  <si>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</si>
  <si>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</si>
  <si>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</si>
  <si>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</si>
  <si>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</si>
  <si>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</si>
  <si>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</si>
  <si>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</si>
  <si>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</si>
  <si>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</si>
  <si>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</si>
  <si>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</si>
  <si>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</si>
  <si>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</si>
  <si>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</si>
  <si>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</si>
  <si>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</si>
  <si>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</si>
  <si>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</si>
  <si>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</si>
  <si>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</si>
  <si>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</si>
  <si>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</si>
  <si>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</si>
  <si>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</si>
  <si>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</si>
  <si>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</si>
  <si>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</si>
  <si>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</si>
  <si>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</si>
  <si>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</si>
  <si>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</si>
  <si>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</si>
  <si>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</si>
  <si>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</si>
  <si>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</si>
  <si>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</si>
  <si>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</si>
  <si>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</si>
  <si>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</si>
  <si>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</si>
  <si>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</si>
  <si>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</si>
  <si>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</si>
  <si>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</si>
  <si>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</si>
  <si>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</si>
  <si>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</si>
  <si>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</si>
  <si>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</si>
  <si>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</si>
  <si>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</si>
  <si>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</si>
  <si>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</si>
  <si>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</si>
  <si>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</si>
  <si>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</si>
  <si>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</si>
  <si>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</si>
  <si>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</si>
  <si>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</si>
  <si>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</si>
  <si>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</si>
  <si>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</si>
  <si>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</si>
  <si>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</si>
  <si>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</si>
  <si>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</si>
  <si>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</si>
  <si>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</si>
  <si>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</si>
  <si>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</si>
  <si>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</si>
  <si>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</si>
  <si>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</si>
  <si>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</si>
  <si>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</si>
  <si>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</si>
  <si>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</si>
  <si>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</si>
  <si>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</si>
  <si>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</si>
  <si>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</si>
  <si>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</si>
  <si>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</si>
  <si>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</si>
  <si>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</si>
  <si>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</si>
  <si>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</si>
  <si>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</si>
  <si>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</si>
  <si>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</si>
  <si>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</si>
  <si>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</si>
  <si>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</si>
  <si>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</si>
  <si>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</si>
  <si>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</si>
  <si>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</si>
  <si>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</si>
  <si>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</si>
  <si>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</si>
  <si>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</si>
  <si>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</si>
  <si>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</si>
  <si>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</si>
  <si>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</si>
  <si>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</si>
  <si>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</si>
  <si>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</si>
  <si>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</si>
  <si>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</si>
  <si>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</si>
  <si>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</si>
  <si>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</si>
  <si>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</si>
  <si>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</si>
  <si>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</si>
  <si>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</si>
  <si>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</si>
  <si>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</si>
  <si>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</si>
  <si>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</si>
  <si>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</si>
  <si>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</si>
  <si>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</si>
  <si>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</si>
  <si>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</si>
  <si>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</si>
  <si>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</si>
  <si>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</si>
  <si>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</si>
  <si>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</si>
  <si>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</si>
  <si>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</si>
  <si>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</si>
  <si>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</si>
  <si>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</si>
  <si>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</si>
  <si>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</si>
  <si>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</si>
  <si>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</si>
  <si>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</si>
  <si>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</si>
  <si>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</si>
  <si>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</si>
  <si>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</si>
  <si>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</si>
  <si>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</si>
  <si>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</si>
  <si>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</si>
  <si>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</si>
  <si>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</si>
  <si>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</si>
  <si>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</si>
  <si>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</si>
  <si>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</si>
  <si>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</si>
  <si>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</si>
  <si>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</si>
  <si>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</si>
  <si>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</si>
  <si>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</si>
  <si>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</si>
  <si>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</si>
  <si>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</si>
  <si>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</si>
  <si>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</si>
  <si>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</si>
  <si>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</si>
  <si>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</si>
  <si>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</si>
  <si>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</si>
  <si>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</si>
  <si>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</si>
  <si>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</si>
  <si>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</si>
  <si>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</si>
  <si>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</si>
  <si>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</si>
  <si>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</si>
  <si>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</si>
  <si>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</si>
  <si>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</si>
  <si>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</si>
  <si>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</si>
  <si>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</si>
  <si>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</si>
  <si>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</si>
  <si>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</si>
  <si>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</si>
  <si>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</si>
  <si>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</si>
  <si>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</si>
  <si>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</si>
  <si>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</si>
  <si>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</si>
  <si>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</si>
  <si>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</si>
  <si>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</si>
  <si>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</si>
  <si>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</si>
  <si>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</si>
  <si>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</si>
  <si>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</si>
  <si>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</si>
  <si>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</si>
  <si>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</si>
  <si>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</si>
  <si>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</si>
  <si>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</si>
  <si>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</si>
  <si>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</si>
  <si>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</si>
  <si>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</si>
  <si>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</si>
  <si>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</si>
  <si>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</si>
  <si>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</si>
  <si>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</si>
  <si>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</si>
  <si>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</si>
  <si>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</si>
  <si>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</si>
  <si>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</si>
  <si>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</si>
  <si>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</si>
  <si>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</si>
  <si>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</si>
  <si>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</si>
  <si>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</si>
  <si>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</si>
  <si>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</si>
  <si>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</si>
  <si>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</si>
  <si>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</si>
  <si>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</si>
  <si>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</si>
  <si>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</si>
  <si>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</si>
  <si>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</si>
  <si>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</si>
  <si>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</si>
  <si>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</si>
  <si>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</si>
  <si>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</si>
  <si>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</si>
  <si>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</si>
  <si>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</si>
  <si>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</si>
  <si>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</si>
  <si>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</si>
  <si>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</si>
  <si>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</si>
  <si>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</si>
  <si>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</si>
  <si>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</si>
  <si>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</si>
  <si>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</si>
  <si>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</si>
  <si>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</si>
  <si>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</si>
  <si>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</si>
  <si>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</si>
  <si>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</si>
  <si>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</si>
  <si>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</si>
  <si>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</si>
  <si>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</si>
  <si>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</si>
  <si>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</si>
  <si>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</si>
  <si>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</si>
  <si>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</si>
  <si>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</si>
  <si>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</si>
  <si>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</si>
  <si>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</si>
  <si>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</si>
  <si>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</si>
  <si>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</si>
  <si>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</si>
  <si>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</si>
  <si>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</si>
  <si>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</si>
  <si>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</si>
  <si>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</si>
  <si>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</si>
  <si>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</si>
  <si>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</si>
  <si>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</si>
  <si>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</si>
  <si>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</si>
  <si>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</si>
  <si>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</si>
  <si>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</si>
  <si>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</si>
  <si>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</si>
  <si>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</si>
  <si>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</si>
  <si>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</si>
  <si>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</si>
  <si>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</si>
  <si>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</si>
  <si>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</si>
  <si>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</si>
  <si>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</si>
  <si>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</si>
  <si>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</si>
  <si>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</si>
  <si>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</si>
  <si>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</si>
  <si>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</si>
  <si>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</si>
  <si>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</si>
  <si>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</si>
  <si>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</si>
  <si>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</si>
  <si>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</si>
  <si>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</si>
  <si>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</si>
  <si>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</si>
  <si>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</si>
  <si>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</si>
  <si>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</si>
  <si>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</si>
  <si>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</si>
  <si>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</si>
  <si>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</si>
  <si>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</si>
  <si>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</si>
  <si>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</si>
  <si>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</si>
  <si>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</si>
  <si>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</si>
  <si>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</si>
  <si>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</si>
  <si>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</si>
  <si>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</si>
  <si>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</si>
  <si>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</si>
  <si>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</si>
  <si>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</si>
  <si>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</si>
  <si>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</si>
  <si>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</si>
  <si>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</si>
  <si>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</si>
  <si>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</si>
  <si>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</si>
  <si>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</si>
  <si>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</si>
  <si>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</si>
  <si>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</si>
  <si>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</si>
  <si>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</si>
  <si>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</si>
  <si>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</si>
  <si>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</si>
  <si>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</si>
  <si>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</si>
  <si>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</si>
  <si>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</si>
  <si>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</si>
  <si>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</si>
  <si>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</si>
  <si>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</si>
  <si>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</si>
  <si>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</si>
  <si>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</si>
  <si>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</si>
  <si>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</si>
  <si>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</si>
  <si>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</si>
  <si>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</si>
  <si>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</si>
  <si>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</si>
  <si>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</si>
  <si>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</si>
  <si>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</si>
  <si>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</si>
  <si>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</si>
  <si>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</si>
  <si>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</si>
  <si>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</si>
  <si>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</si>
  <si>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</si>
  <si>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</si>
  <si>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</si>
  <si>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</si>
  <si>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</si>
  <si>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</si>
  <si>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</si>
  <si>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</si>
  <si>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</si>
  <si>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</si>
  <si>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</si>
  <si>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</si>
  <si>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</si>
  <si>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</si>
  <si>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</si>
  <si>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</si>
  <si>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</si>
  <si>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</si>
  <si>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</si>
  <si>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</si>
  <si>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</si>
  <si>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</si>
  <si>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</si>
  <si>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</si>
  <si>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</si>
  <si>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</si>
  <si>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</si>
  <si>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</si>
  <si>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</si>
  <si>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</si>
  <si>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</si>
  <si>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</si>
  <si>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</si>
  <si>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</si>
  <si>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</si>
  <si>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</si>
  <si>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</si>
  <si>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</si>
  <si>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</si>
  <si>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</si>
  <si>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</si>
  <si>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</si>
  <si>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</si>
  <si>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</si>
  <si>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</si>
  <si>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</si>
  <si>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</si>
  <si>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</si>
  <si>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</si>
  <si>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</si>
  <si>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</si>
  <si>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</si>
  <si>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</si>
  <si>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</si>
  <si>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</si>
  <si>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</si>
  <si>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</si>
  <si>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</si>
  <si>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</si>
  <si>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</si>
  <si>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</si>
  <si>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</si>
  <si>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</si>
  <si>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</si>
  <si>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</si>
  <si>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</si>
  <si>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</si>
  <si>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</si>
  <si>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</si>
  <si>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</si>
  <si>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</si>
  <si>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</si>
  <si>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</si>
  <si>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</si>
  <si>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</si>
  <si>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</si>
  <si>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</si>
  <si>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</si>
  <si>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</si>
  <si>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</si>
  <si>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</si>
  <si>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</si>
  <si>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</si>
  <si>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</si>
  <si>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</si>
  <si>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</si>
  <si>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</si>
  <si>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</si>
  <si>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</si>
  <si>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</si>
  <si>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</si>
  <si>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</si>
  <si>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</si>
  <si>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</si>
  <si>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</si>
  <si>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</si>
  <si>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</si>
  <si>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</si>
  <si>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</si>
  <si>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</si>
  <si>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</si>
  <si>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</si>
  <si>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</si>
  <si>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</si>
  <si>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</si>
  <si>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</si>
  <si>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</si>
  <si>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</si>
  <si>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</si>
  <si>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</si>
  <si>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</si>
  <si>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</si>
  <si>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</si>
  <si>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</si>
  <si>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</si>
  <si>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</si>
  <si>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</si>
  <si>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</si>
  <si>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</si>
  <si>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</si>
  <si>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</si>
  <si>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</si>
  <si>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</si>
  <si>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</si>
  <si>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</si>
  <si>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</si>
  <si>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</si>
  <si>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</si>
  <si>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</si>
  <si>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</si>
  <si>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</si>
  <si>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</si>
  <si>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</si>
  <si>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</si>
  <si>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</si>
  <si>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</si>
  <si>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</si>
  <si>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</si>
  <si>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</si>
  <si>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</si>
  <si>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</si>
  <si>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</si>
  <si>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</si>
  <si>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</si>
  <si>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</si>
  <si>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</si>
  <si>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</si>
  <si>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</si>
  <si>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</si>
  <si>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</si>
  <si>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</si>
  <si>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</si>
  <si>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</si>
  <si>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</si>
  <si>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</si>
  <si>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</si>
  <si>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</si>
  <si>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</si>
  <si>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</si>
  <si>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</si>
  <si>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</si>
  <si>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</si>
  <si>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</si>
  <si>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</si>
  <si>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</si>
  <si>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</si>
  <si>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</si>
  <si>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</si>
  <si>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</si>
  <si>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</si>
  <si>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</si>
  <si>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</si>
  <si>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</si>
  <si>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</si>
  <si>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</si>
  <si>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</si>
  <si>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</si>
  <si>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</si>
  <si>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</si>
  <si>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</si>
  <si>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</si>
  <si>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</si>
  <si>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</si>
  <si>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</si>
  <si>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</si>
  <si>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</si>
  <si>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</si>
  <si>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</si>
  <si>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</si>
  <si>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</si>
  <si>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</si>
  <si>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</si>
  <si>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</si>
  <si>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</si>
  <si>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</si>
  <si>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</si>
  <si>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</si>
  <si>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</si>
  <si>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</si>
  <si>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</si>
  <si>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</si>
  <si>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</si>
  <si>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</si>
  <si>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</si>
  <si>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</si>
  <si>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</si>
  <si>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</si>
  <si>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</si>
  <si>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</si>
  <si>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</si>
  <si>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</si>
  <si>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</si>
  <si>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</si>
  <si>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</si>
  <si>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</si>
  <si>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</si>
  <si>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</si>
  <si>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</si>
  <si>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</si>
  <si>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</si>
  <si>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</si>
  <si>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</si>
  <si>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</si>
  <si>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</si>
  <si>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</si>
  <si>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</si>
  <si>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</si>
  <si>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</si>
  <si>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</si>
  <si>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</si>
  <si>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</si>
  <si>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</si>
  <si>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</si>
  <si>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</si>
  <si>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</si>
  <si>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</si>
  <si>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</si>
  <si>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</si>
  <si>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</si>
  <si>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</si>
  <si>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</si>
  <si>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</si>
  <si>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</si>
  <si>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</si>
  <si>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</si>
  <si>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</si>
  <si>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</si>
  <si>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</si>
  <si>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</si>
  <si>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</si>
  <si>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</si>
  <si>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</si>
  <si>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</si>
  <si>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</si>
  <si>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</si>
  <si>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</si>
  <si>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</si>
  <si>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</si>
  <si>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</si>
  <si>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</si>
  <si>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</si>
  <si>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</si>
  <si>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</si>
  <si>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</si>
  <si>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</si>
  <si>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</si>
  <si>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</si>
  <si>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</si>
  <si>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</si>
  <si>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</si>
  <si>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</si>
  <si>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</si>
  <si>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</si>
  <si>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</si>
  <si>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</si>
  <si>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</si>
  <si>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</si>
  <si>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</si>
  <si>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</si>
  <si>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</si>
  <si>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</si>
  <si>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</si>
  <si>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</si>
  <si>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</si>
  <si>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</si>
  <si>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</si>
  <si>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</si>
  <si>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</si>
  <si>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</si>
  <si>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</si>
  <si>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</si>
  <si>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</si>
  <si>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</si>
  <si>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</si>
  <si>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</si>
  <si>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</si>
  <si>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</si>
  <si>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</si>
  <si>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</si>
  <si>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</si>
  <si>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</si>
  <si>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</si>
  <si>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</si>
  <si>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</si>
  <si>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</si>
  <si>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</si>
  <si>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</si>
  <si>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</si>
  <si>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</si>
  <si>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</si>
  <si>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</si>
  <si>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</si>
  <si>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</si>
  <si>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</si>
  <si>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</si>
  <si>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</si>
  <si>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</si>
  <si>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</si>
  <si>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</si>
  <si>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</si>
  <si>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</si>
  <si>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</si>
  <si>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</si>
  <si>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</si>
  <si>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</si>
  <si>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</si>
  <si>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</si>
  <si>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</si>
  <si>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</si>
  <si>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</si>
  <si>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</si>
  <si>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</si>
  <si>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</si>
  <si>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</si>
  <si>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</si>
  <si>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</si>
  <si>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</si>
  <si>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</si>
  <si>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</si>
  <si>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</si>
  <si>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</si>
  <si>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</si>
  <si>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</si>
  <si>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</si>
  <si>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</si>
  <si>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</si>
  <si>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</si>
  <si>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</si>
  <si>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</si>
  <si>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</si>
  <si>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</si>
  <si>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</si>
  <si>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</si>
  <si>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</si>
  <si>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</si>
  <si>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</si>
  <si>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</si>
  <si>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</si>
  <si>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</si>
  <si>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</si>
  <si>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</si>
  <si>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</si>
  <si>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</si>
  <si>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</si>
  <si>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</si>
  <si>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</si>
  <si>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</si>
  <si>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</si>
  <si>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</si>
  <si>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</si>
  <si>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</si>
  <si>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</si>
  <si>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</si>
  <si>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</si>
  <si>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</si>
  <si>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</si>
  <si>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</si>
  <si>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</si>
  <si>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</si>
  <si>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</si>
  <si>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</si>
  <si>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</si>
  <si>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</si>
  <si>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</si>
  <si>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</si>
  <si>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</si>
  <si>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</si>
  <si>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</si>
  <si>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</si>
  <si>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</si>
  <si>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</si>
  <si>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</si>
  <si>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</si>
  <si>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</si>
  <si>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</si>
  <si>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</si>
  <si>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</si>
  <si>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</si>
  <si>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</si>
  <si>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</si>
  <si>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</si>
  <si>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</si>
  <si>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</si>
  <si>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</si>
  <si>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</si>
  <si>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</si>
  <si>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</si>
  <si>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</si>
  <si>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</si>
  <si>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</si>
  <si>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</si>
  <si>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</si>
  <si>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</si>
  <si>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</si>
  <si>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</si>
  <si>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</si>
  <si>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</si>
  <si>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</si>
  <si>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</si>
  <si>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</si>
  <si>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</si>
  <si>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</si>
  <si>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</si>
  <si>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</si>
  <si>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</si>
  <si>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</si>
  <si>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</si>
  <si>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</si>
  <si>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</si>
  <si>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</si>
  <si>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</si>
  <si>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</si>
  <si>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</si>
  <si>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</si>
  <si>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</si>
  <si>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</si>
  <si>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</si>
  <si>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</si>
  <si>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</si>
  <si>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</si>
  <si>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</si>
  <si>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</si>
  <si>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</si>
  <si>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</si>
  <si>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</si>
  <si>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</si>
  <si>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</si>
  <si>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</si>
  <si>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</si>
  <si>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</si>
  <si>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</si>
  <si>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</si>
  <si>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</si>
  <si>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</si>
  <si>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</si>
  <si>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</si>
  <si>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</si>
  <si>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</si>
  <si>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</si>
  <si>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</si>
  <si>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</si>
  <si>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</si>
  <si>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</si>
  <si>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</si>
  <si>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</si>
  <si>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</si>
  <si>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</si>
  <si>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</si>
  <si>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</si>
  <si>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</si>
  <si>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</si>
  <si>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</si>
  <si>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</si>
  <si>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</si>
  <si>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</si>
  <si>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</si>
  <si>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</si>
  <si>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</si>
  <si>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</si>
  <si>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</si>
  <si>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</si>
  <si>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</si>
  <si>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</si>
  <si>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</si>
  <si>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</si>
  <si>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</si>
  <si>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</si>
  <si>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</si>
  <si>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</si>
  <si>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</si>
  <si>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</si>
  <si>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</si>
  <si>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</si>
  <si>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</si>
  <si>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</si>
  <si>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</si>
  <si>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</si>
  <si>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</si>
  <si>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</si>
  <si>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</si>
  <si>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</si>
  <si>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</si>
  <si>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</si>
  <si>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</si>
  <si>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</si>
  <si>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</si>
  <si>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</si>
  <si>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</si>
  <si>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</si>
  <si>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</si>
  <si>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</si>
  <si>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</si>
  <si>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</si>
  <si>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</si>
  <si>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</si>
  <si>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</si>
  <si>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</si>
  <si>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</si>
  <si>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</si>
  <si>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</si>
  <si>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</si>
  <si>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</si>
  <si>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</si>
  <si>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</si>
  <si>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</si>
  <si>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</si>
  <si>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</si>
  <si>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</si>
  <si>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</si>
  <si>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</si>
  <si>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</si>
  <si>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</si>
  <si>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</si>
  <si>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</si>
  <si>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</si>
  <si>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</si>
  <si>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</si>
  <si>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</si>
  <si>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</si>
  <si>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</si>
  <si>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</si>
  <si>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</si>
  <si>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</si>
  <si>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</si>
  <si>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</si>
  <si>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</si>
  <si>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</si>
  <si>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</si>
  <si>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</si>
  <si>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</si>
  <si>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</si>
  <si>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</si>
  <si>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</si>
  <si>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</si>
  <si>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</si>
  <si>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</si>
  <si>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</si>
  <si>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</si>
  <si>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</si>
  <si>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</si>
  <si>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</si>
  <si>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</si>
  <si>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</si>
  <si>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</si>
  <si>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</si>
  <si>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</si>
  <si>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</si>
  <si>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</si>
  <si>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</si>
  <si>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</si>
  <si>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</si>
  <si>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</si>
  <si>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</si>
  <si>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</si>
  <si>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</si>
  <si>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</si>
  <si>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</si>
  <si>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</si>
  <si>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</si>
  <si>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</si>
  <si>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</si>
  <si>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</si>
  <si>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</si>
  <si>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</si>
  <si>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</si>
  <si>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</si>
  <si>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</si>
  <si>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</si>
  <si>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</si>
  <si>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</si>
  <si>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</si>
  <si>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</si>
  <si>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</si>
  <si>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</si>
  <si>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</si>
  <si>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</si>
  <si>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</si>
  <si>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</si>
  <si>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</si>
  <si>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</si>
  <si>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</si>
  <si>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</si>
  <si>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</si>
  <si>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</si>
  <si>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</si>
  <si>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</si>
  <si>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</si>
  <si>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</si>
  <si>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</si>
  <si>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</si>
  <si>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</si>
  <si>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</si>
  <si>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</si>
  <si>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</si>
  <si>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</si>
  <si>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</si>
  <si>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</si>
  <si>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</si>
  <si>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</si>
  <si>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</si>
  <si>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</si>
  <si>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</si>
  <si>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</si>
  <si>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</si>
  <si>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</si>
  <si>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</si>
  <si>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</si>
  <si>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</si>
  <si>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</si>
  <si>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</si>
  <si>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</si>
  <si>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</si>
  <si>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</si>
  <si>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</si>
  <si>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</si>
  <si>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</si>
  <si>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</si>
  <si>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</si>
  <si>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</si>
  <si>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</si>
  <si>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</si>
  <si>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</si>
  <si>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</si>
  <si>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</si>
  <si>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</si>
  <si>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</si>
  <si>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</si>
  <si>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</si>
  <si>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</si>
  <si>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</si>
  <si>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</si>
  <si>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</si>
  <si>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</si>
  <si>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</si>
  <si>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</si>
  <si>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</si>
  <si>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</si>
  <si>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</si>
  <si>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</si>
  <si>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</si>
  <si>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</si>
  <si>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</si>
  <si>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</si>
  <si>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</si>
  <si>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</si>
  <si>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</si>
  <si>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</si>
  <si>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</si>
  <si>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</si>
  <si>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</si>
  <si>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</si>
  <si>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</si>
  <si>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</si>
  <si>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</si>
  <si>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</si>
  <si>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</si>
  <si>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</si>
  <si>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</si>
  <si>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</si>
  <si>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</si>
  <si>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</si>
  <si>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</si>
  <si>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</si>
  <si>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</si>
  <si>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</si>
  <si>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</si>
  <si>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</si>
  <si>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</si>
  <si>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</si>
  <si>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</si>
  <si>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</si>
  <si>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</si>
  <si>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</si>
  <si>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</si>
  <si>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</si>
  <si>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</si>
  <si>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</si>
  <si>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</si>
  <si>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</si>
  <si>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</si>
  <si>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</si>
  <si>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</si>
  <si>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</si>
  <si>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</si>
  <si>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</si>
  <si>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</si>
  <si>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</si>
  <si>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</si>
  <si>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</si>
  <si>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</si>
  <si>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</si>
  <si>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</si>
  <si>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</si>
  <si>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</si>
  <si>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</si>
  <si>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</si>
  <si>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</si>
  <si>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</si>
  <si>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</si>
  <si>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</si>
  <si>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</si>
  <si>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</si>
  <si>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</si>
  <si>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</si>
  <si>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</si>
  <si>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</si>
  <si>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</si>
  <si>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</si>
  <si>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</si>
  <si>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</si>
  <si>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</si>
  <si>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</si>
  <si>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</si>
  <si>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</si>
  <si>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</si>
  <si>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</si>
  <si>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</si>
  <si>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</si>
  <si>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</si>
  <si>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</si>
  <si>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</si>
  <si>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</si>
  <si>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</si>
  <si>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</si>
  <si>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</si>
  <si>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</si>
  <si>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</si>
  <si>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</si>
  <si>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</si>
  <si>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</si>
  <si>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</si>
  <si>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</si>
  <si>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</si>
  <si>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</si>
  <si>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</si>
  <si>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</si>
  <si>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</si>
  <si>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</si>
  <si>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</si>
  <si>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</si>
  <si>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</si>
  <si>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</si>
  <si>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</si>
  <si>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</si>
  <si>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</si>
  <si>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</si>
  <si>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</si>
  <si>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</si>
  <si>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</si>
  <si>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</si>
  <si>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</si>
  <si>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</si>
  <si>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</si>
  <si>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</si>
  <si>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</si>
  <si>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</si>
  <si>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</si>
  <si>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</si>
  <si>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</si>
  <si>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</si>
  <si>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</si>
  <si>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</si>
  <si>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</si>
  <si>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</si>
  <si>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</si>
  <si>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</si>
  <si>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</si>
  <si>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</si>
  <si>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</si>
  <si>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</si>
  <si>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</si>
  <si>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</si>
  <si>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</si>
  <si>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</si>
  <si>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</si>
  <si>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</si>
  <si>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</si>
  <si>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</si>
  <si>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</si>
  <si>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</si>
  <si>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</si>
  <si>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</si>
  <si>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</si>
  <si>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</si>
  <si>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</si>
  <si>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</si>
  <si>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</si>
  <si>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</si>
  <si>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</si>
  <si>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</si>
  <si>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</si>
  <si>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</si>
  <si>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</si>
  <si>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</si>
  <si>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</si>
  <si>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</si>
  <si>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</si>
  <si>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</si>
  <si>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</si>
  <si>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</si>
  <si>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</si>
  <si>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</si>
  <si>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</si>
  <si>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</si>
  <si>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</si>
  <si>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</si>
  <si>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</si>
  <si>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</si>
  <si>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</si>
  <si>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</si>
  <si>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</si>
  <si>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</si>
  <si>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</si>
  <si>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</si>
  <si>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</si>
  <si>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</si>
  <si>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</si>
  <si>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</si>
  <si>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</si>
  <si>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</si>
  <si>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</si>
  <si>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</si>
  <si>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</si>
  <si>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</si>
  <si>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</si>
  <si>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</si>
  <si>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</si>
  <si>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</si>
  <si>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</si>
  <si>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</si>
  <si>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</si>
  <si>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</si>
  <si>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</si>
  <si>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</si>
  <si>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</si>
  <si>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</si>
  <si>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</si>
  <si>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</si>
  <si>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</si>
  <si>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</si>
  <si>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</si>
  <si>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</si>
  <si>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</si>
  <si>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</si>
  <si>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</si>
  <si>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</si>
  <si>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</si>
  <si>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</si>
  <si>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</si>
  <si>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</si>
  <si>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</si>
  <si>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</si>
  <si>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</si>
  <si>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</si>
  <si>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</si>
  <si>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</si>
  <si>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</si>
  <si>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</si>
  <si>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</si>
  <si>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</si>
  <si>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</si>
  <si>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</si>
  <si>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</si>
  <si>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</si>
  <si>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</si>
  <si>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</si>
  <si>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</si>
  <si>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</si>
  <si>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</si>
  <si>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</si>
  <si>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</si>
  <si>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</si>
  <si>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</si>
  <si>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</si>
  <si>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</si>
  <si>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</si>
  <si>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</si>
  <si>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</si>
  <si>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</si>
  <si>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</si>
  <si>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</si>
  <si>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</si>
  <si>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</si>
  <si>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</si>
  <si>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</si>
  <si>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</si>
  <si>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</si>
  <si>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</si>
  <si>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</si>
  <si>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</si>
  <si>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</si>
  <si>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</si>
  <si>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</si>
  <si>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</si>
  <si>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</si>
  <si>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</si>
  <si>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</si>
  <si>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</si>
  <si>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</si>
  <si>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</si>
  <si>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</si>
  <si>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</si>
  <si>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</si>
  <si>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</si>
  <si>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</si>
  <si>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</si>
  <si>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</si>
  <si>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</si>
  <si>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</si>
  <si>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</si>
  <si>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</si>
  <si>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</si>
  <si>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</si>
  <si>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</si>
  <si>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</si>
  <si>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</si>
  <si>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</si>
  <si>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</si>
  <si>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</si>
  <si>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</si>
  <si>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</si>
  <si>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</si>
  <si>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</si>
  <si>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</si>
  <si>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</si>
  <si>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</si>
  <si>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</si>
  <si>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</si>
  <si>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</si>
  <si>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</si>
  <si>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</si>
  <si>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</si>
  <si>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</si>
  <si>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</si>
  <si>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</si>
  <si>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</si>
  <si>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</si>
  <si>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</si>
  <si>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</si>
  <si>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</si>
  <si>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</si>
  <si>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</si>
  <si>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</si>
  <si>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</si>
  <si>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</si>
  <si>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</si>
  <si>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</si>
  <si>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</si>
  <si>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</si>
  <si>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</si>
  <si>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</si>
  <si>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</si>
  <si>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</si>
  <si>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</si>
  <si>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</si>
  <si>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</si>
  <si>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</si>
  <si>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</si>
  <si>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</si>
  <si>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</si>
  <si>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</si>
  <si>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</si>
  <si>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</si>
  <si>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</si>
  <si>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</si>
  <si>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</si>
  <si>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</si>
  <si>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</si>
  <si>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</si>
  <si>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</si>
  <si>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</si>
  <si>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</si>
  <si>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</si>
  <si>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</si>
  <si>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</si>
  <si>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</si>
  <si>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</si>
  <si>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</si>
  <si>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</si>
  <si>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</si>
  <si>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</si>
  <si>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</si>
  <si>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</si>
  <si>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</si>
  <si>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</si>
  <si>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</si>
  <si>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</si>
  <si>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</si>
  <si>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</si>
  <si>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</si>
  <si>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</si>
  <si>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</si>
  <si>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</si>
  <si>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</si>
  <si>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</si>
  <si>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</si>
  <si>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</si>
  <si>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</si>
  <si>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</si>
  <si>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</si>
  <si>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</si>
  <si>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</si>
  <si>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</si>
  <si>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</si>
  <si>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</si>
  <si>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</si>
  <si>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</si>
  <si>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</si>
  <si>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</si>
  <si>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</si>
  <si>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</si>
  <si>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</si>
  <si>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</si>
  <si>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</si>
  <si>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</si>
  <si>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</si>
  <si>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</si>
  <si>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</si>
  <si>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</si>
  <si>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</si>
  <si>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</si>
  <si>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</si>
  <si>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</si>
  <si>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</si>
  <si>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</si>
  <si>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</si>
  <si>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</si>
  <si>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</si>
  <si>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</si>
  <si>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</si>
  <si>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</si>
  <si>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</si>
  <si>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</si>
  <si>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</si>
  <si>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</si>
  <si>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</si>
  <si>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</si>
  <si>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</si>
  <si>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</si>
  <si>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</si>
  <si>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</si>
  <si>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</si>
  <si>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</si>
  <si>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</si>
  <si>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</si>
  <si>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</si>
  <si>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</si>
  <si>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</si>
  <si>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</si>
  <si>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</si>
  <si>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</si>
  <si>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</si>
  <si>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</si>
  <si>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</si>
  <si>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</si>
  <si>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</si>
  <si>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</si>
  <si>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</si>
  <si>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</si>
  <si>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</si>
  <si>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</si>
  <si>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</si>
  <si>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</si>
  <si>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</si>
  <si>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</si>
  <si>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</si>
  <si>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</si>
  <si>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</si>
  <si>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</si>
  <si>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</si>
  <si>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</si>
  <si>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</si>
  <si>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</si>
  <si>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</si>
  <si>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</si>
  <si>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</si>
  <si>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</si>
  <si>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</si>
  <si>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</si>
  <si>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</si>
  <si>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</si>
  <si>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</si>
  <si>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</si>
  <si>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</si>
  <si>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</si>
  <si>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</si>
  <si>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</si>
  <si>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</si>
  <si>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</si>
  <si>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</si>
  <si>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</si>
  <si>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</si>
  <si>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</si>
  <si>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</si>
  <si>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</si>
  <si>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</si>
  <si>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</si>
  <si>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</si>
  <si>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</si>
  <si>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</si>
  <si>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</si>
  <si>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</si>
  <si>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</si>
  <si>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</si>
  <si>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</si>
  <si>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</si>
  <si>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</si>
  <si>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</si>
  <si>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</si>
  <si>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</si>
  <si>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</si>
  <si>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</si>
  <si>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</si>
  <si>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</si>
  <si>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</si>
  <si>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</si>
  <si>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</si>
  <si>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</si>
  <si>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</si>
  <si>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</si>
  <si>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</si>
  <si>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</si>
  <si>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</si>
  <si>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</si>
  <si>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</si>
  <si>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</si>
  <si>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</si>
  <si>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</si>
  <si>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</si>
  <si>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</si>
  <si>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</si>
  <si>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</si>
  <si>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</si>
  <si>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</si>
  <si>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</si>
  <si>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</si>
  <si>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</si>
  <si>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</si>
  <si>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</si>
  <si>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</si>
  <si>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</si>
  <si>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</si>
  <si>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</si>
  <si>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</si>
  <si>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</si>
  <si>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</si>
  <si>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</si>
  <si>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</si>
  <si>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</si>
  <si>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</si>
  <si>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</si>
  <si>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</si>
  <si>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</si>
  <si>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</si>
  <si>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</si>
  <si>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</si>
  <si>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</si>
  <si>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</si>
  <si>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</si>
  <si>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</si>
  <si>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</si>
  <si>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</si>
  <si>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</si>
  <si>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</si>
  <si>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</si>
  <si>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</si>
  <si>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</si>
  <si>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</si>
  <si>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</si>
  <si>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</si>
  <si>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</si>
  <si>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</si>
  <si>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</si>
  <si>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</si>
  <si>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</si>
  <si>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</si>
  <si>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</si>
  <si>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</si>
  <si>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</si>
  <si>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</si>
  <si>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</si>
  <si>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</si>
  <si>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</si>
  <si>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</si>
  <si>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</si>
  <si>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</si>
  <si>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</si>
  <si>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</si>
  <si>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</si>
  <si>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</si>
  <si>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</si>
  <si>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</si>
  <si>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</si>
  <si>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</si>
  <si>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</si>
  <si>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</si>
  <si>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</si>
  <si>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</si>
  <si>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</si>
  <si>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</si>
  <si>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</si>
  <si>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</si>
  <si>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</si>
  <si>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</si>
  <si>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</si>
  <si>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</si>
  <si>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</si>
  <si>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</si>
  <si>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</si>
  <si>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</si>
  <si>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</si>
  <si>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</si>
  <si>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</si>
  <si>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</si>
  <si>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</si>
  <si>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</si>
  <si>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</si>
  <si>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</si>
  <si>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</si>
  <si>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</si>
  <si>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</si>
  <si>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</si>
  <si>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</si>
  <si>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</si>
  <si>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</si>
  <si>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</si>
  <si>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</si>
  <si>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</si>
  <si>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</si>
  <si>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</si>
  <si>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</si>
  <si>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</si>
  <si>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</si>
  <si>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</si>
  <si>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</si>
  <si>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</si>
  <si>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</si>
  <si>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</si>
  <si>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</si>
  <si>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</si>
  <si>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</si>
  <si>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</si>
  <si>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</si>
  <si>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</si>
  <si>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</si>
  <si>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</si>
  <si>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</si>
  <si>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</si>
  <si>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</si>
  <si>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</si>
  <si>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</si>
  <si>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</si>
  <si>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</si>
  <si>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</si>
  <si>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</si>
  <si>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</si>
  <si>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</si>
  <si>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</si>
  <si>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</si>
  <si>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</si>
  <si>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</si>
  <si>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</si>
  <si>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</si>
  <si>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</si>
  <si>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</si>
  <si>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</si>
  <si>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</si>
  <si>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</si>
  <si>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</si>
  <si>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</si>
  <si>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</si>
  <si>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</si>
  <si>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</si>
  <si>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</si>
  <si>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</si>
  <si>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</si>
  <si>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</si>
  <si>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</si>
  <si>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</si>
  <si>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</si>
  <si>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</si>
  <si>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</si>
  <si>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</si>
  <si>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</si>
  <si>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</si>
  <si>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</si>
  <si>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</si>
  <si>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</si>
  <si>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</si>
  <si>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</si>
  <si>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</si>
  <si>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</si>
  <si>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</si>
  <si>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</si>
  <si>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</si>
  <si>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</si>
  <si>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</si>
  <si>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</si>
  <si>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</si>
  <si>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</si>
  <si>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</si>
  <si>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</si>
  <si>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</si>
  <si>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</si>
  <si>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</si>
  <si>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</si>
  <si>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</si>
  <si>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</si>
  <si>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</si>
  <si>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</si>
  <si>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</si>
  <si>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</si>
  <si>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</si>
  <si>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</si>
  <si>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</si>
  <si>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</si>
  <si>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</si>
  <si>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</si>
  <si>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</si>
  <si>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</si>
  <si>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</si>
  <si>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</si>
  <si>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</si>
  <si>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</si>
  <si>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</si>
  <si>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</si>
  <si>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</si>
  <si>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</si>
  <si>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</si>
  <si>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</si>
  <si>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</si>
  <si>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</si>
  <si>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</si>
  <si>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</si>
  <si>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</si>
  <si>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</si>
  <si>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</si>
  <si>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</si>
  <si>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</si>
  <si>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</si>
  <si>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</si>
  <si>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</si>
  <si>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</si>
  <si>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</si>
  <si>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</si>
  <si>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</si>
  <si>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</si>
  <si>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</si>
  <si>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</si>
  <si>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</si>
  <si>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</si>
  <si>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</si>
  <si>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</si>
  <si>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</si>
  <si>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</si>
  <si>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</si>
  <si>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</si>
  <si>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</si>
  <si>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</si>
  <si>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</si>
  <si>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</si>
  <si>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</si>
  <si>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</si>
  <si>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</si>
  <si>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</si>
  <si>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</si>
  <si>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</si>
  <si>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</si>
  <si>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</si>
  <si>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</si>
  <si>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</si>
  <si>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</si>
  <si>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</si>
  <si>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</si>
  <si>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</si>
  <si>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</si>
  <si>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</si>
  <si>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</si>
  <si>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</si>
  <si>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</si>
  <si>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</si>
  <si>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</si>
  <si>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</si>
  <si>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</si>
  <si>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</si>
  <si>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</si>
  <si>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</si>
  <si>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</si>
  <si>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</si>
  <si>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</si>
  <si>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</si>
  <si>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</si>
  <si>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</si>
  <si>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</si>
  <si>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</si>
  <si>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</si>
  <si>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</si>
  <si>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</si>
  <si>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</si>
  <si>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</si>
  <si>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</si>
  <si>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</si>
  <si>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</si>
  <si>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</si>
  <si>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</si>
  <si>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</si>
  <si>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</si>
  <si>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</si>
  <si>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</si>
  <si>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</si>
  <si>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</si>
  <si>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</si>
  <si>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</si>
  <si>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</si>
  <si>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</si>
  <si>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</si>
  <si>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</si>
  <si>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</si>
  <si>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</si>
  <si>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</si>
  <si>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</si>
  <si>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</si>
  <si>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</si>
  <si>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</si>
  <si>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</si>
  <si>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</si>
  <si>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</si>
  <si>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</si>
  <si>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</si>
  <si>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</si>
  <si>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</si>
  <si>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</si>
  <si>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</si>
  <si>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</si>
  <si>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</si>
  <si>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</si>
  <si>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</si>
  <si>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</si>
  <si>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</si>
  <si>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</si>
  <si>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</si>
  <si>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</si>
  <si>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</si>
  <si>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</si>
  <si>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</si>
  <si>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</si>
  <si>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</si>
  <si>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</si>
  <si>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</si>
  <si>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</si>
  <si>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</si>
  <si>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</si>
  <si>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</si>
  <si>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</si>
  <si>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</si>
  <si>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</si>
  <si>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</si>
  <si>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</si>
  <si>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</si>
  <si>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</si>
  <si>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</si>
  <si>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</si>
  <si>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</si>
  <si>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</si>
  <si>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</si>
  <si>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</si>
  <si>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</si>
  <si>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</si>
  <si>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</si>
  <si>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</si>
  <si>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</si>
  <si>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</si>
  <si>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</si>
  <si>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</si>
  <si>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</si>
  <si>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</si>
  <si>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</si>
  <si>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</si>
  <si>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</si>
  <si>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</si>
  <si>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</si>
  <si>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</si>
  <si>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</si>
  <si>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</si>
  <si>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</si>
  <si>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</si>
  <si>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</si>
  <si>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</si>
  <si>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</si>
  <si>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</si>
  <si>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</si>
  <si>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</si>
  <si>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</si>
  <si>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</si>
  <si>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</si>
  <si>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</si>
  <si>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</si>
  <si>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</si>
  <si>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</si>
  <si>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</si>
  <si>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</si>
  <si>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</si>
  <si>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</si>
  <si>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</si>
  <si>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</si>
  <si>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</si>
  <si>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</si>
  <si>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</si>
  <si>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</si>
  <si>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</si>
  <si>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</si>
  <si>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</si>
  <si>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</si>
  <si>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</si>
  <si>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</si>
  <si>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</si>
  <si>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</si>
  <si>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</si>
  <si>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</si>
  <si>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</si>
  <si>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</si>
  <si>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</si>
  <si>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</si>
  <si>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</si>
  <si>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</si>
  <si>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</si>
  <si>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</si>
  <si>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</si>
  <si>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</si>
  <si>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</si>
  <si>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</si>
  <si>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</si>
  <si>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</si>
  <si>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</si>
  <si>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</si>
  <si>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</si>
  <si>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</si>
  <si>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</si>
  <si>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</si>
  <si>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</si>
  <si>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</si>
  <si>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</si>
  <si>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</si>
  <si>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</si>
  <si>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</si>
  <si>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</si>
  <si>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</si>
  <si>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</si>
  <si>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</si>
  <si>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</si>
  <si>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</si>
  <si>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</si>
  <si>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</si>
  <si>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</si>
  <si>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</si>
  <si>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</si>
  <si>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</si>
  <si>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</si>
  <si>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</si>
  <si>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</si>
  <si>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</si>
  <si>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</si>
  <si>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</si>
  <si>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</si>
  <si>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</si>
  <si>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</si>
  <si>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</si>
  <si>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</si>
  <si>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</si>
  <si>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</si>
  <si>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</si>
  <si>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</si>
  <si>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</si>
  <si>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</si>
  <si>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</si>
  <si>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</si>
  <si>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</si>
  <si>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</si>
  <si>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</si>
  <si>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</si>
  <si>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</si>
  <si>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</si>
  <si>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</si>
  <si>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</si>
  <si>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</si>
  <si>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</si>
  <si>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</si>
  <si>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</si>
  <si>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</si>
  <si>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</si>
  <si>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</si>
  <si>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</si>
  <si>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</si>
  <si>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</si>
  <si>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</si>
  <si>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</si>
  <si>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</si>
  <si>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</si>
  <si>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</si>
  <si>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</si>
  <si>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</si>
  <si>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</si>
  <si>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</si>
  <si>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</si>
  <si>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</si>
  <si>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</si>
  <si>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</si>
  <si>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</si>
  <si>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</si>
  <si>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</si>
  <si>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</si>
  <si>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</si>
  <si>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</si>
  <si>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</si>
  <si>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</si>
  <si>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</si>
  <si>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</si>
  <si>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</si>
  <si>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</si>
  <si>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</si>
  <si>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</si>
  <si>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</si>
  <si>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</si>
  <si>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</si>
  <si>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</si>
  <si>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</si>
  <si>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</si>
  <si>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</si>
  <si>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</si>
  <si>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</si>
  <si>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</si>
  <si>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</si>
  <si>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</si>
  <si>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</si>
  <si>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</si>
  <si>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</si>
  <si>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</si>
  <si>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</si>
  <si>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</si>
  <si>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</si>
  <si>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</si>
  <si>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</si>
  <si>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</si>
  <si>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</si>
  <si>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</si>
  <si>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</si>
  <si>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</si>
  <si>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</si>
  <si>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</si>
  <si>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</si>
  <si>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</si>
  <si>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</si>
  <si>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</si>
  <si>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</si>
  <si>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</si>
  <si>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</si>
  <si>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</si>
  <si>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</si>
  <si>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</si>
  <si>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</si>
  <si>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</si>
  <si>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</si>
  <si>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</si>
  <si>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</si>
  <si>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</si>
  <si>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</si>
  <si>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</si>
  <si>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</si>
  <si>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</si>
  <si>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</si>
  <si>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</si>
  <si>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</si>
  <si>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</si>
  <si>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</si>
  <si>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</si>
  <si>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</si>
  <si>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</si>
  <si>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</si>
  <si>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</si>
  <si>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</si>
  <si>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</si>
  <si>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</si>
  <si>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</si>
  <si>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</si>
  <si>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</si>
  <si>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</si>
  <si>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</si>
  <si>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</si>
  <si>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</si>
  <si>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</si>
  <si>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</si>
  <si>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</si>
  <si>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</si>
  <si>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</si>
  <si>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</si>
  <si>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</si>
  <si>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</si>
  <si>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</si>
  <si>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</si>
  <si>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</si>
  <si>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</si>
  <si>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</si>
  <si>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</si>
  <si>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</si>
  <si>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</si>
  <si>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</si>
  <si>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</si>
  <si>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</si>
  <si>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</si>
  <si>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</si>
  <si>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</si>
  <si>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</si>
  <si>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</si>
  <si>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</si>
  <si>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</si>
  <si>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</si>
  <si>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</si>
  <si>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</si>
  <si>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</si>
  <si>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</si>
  <si>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</si>
  <si>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</si>
  <si>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</si>
  <si>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</si>
  <si>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</si>
  <si>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</si>
  <si>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</si>
  <si>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</si>
  <si>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</si>
  <si>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</si>
  <si>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</si>
  <si>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</si>
  <si>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</si>
  <si>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</si>
  <si>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</si>
  <si>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</si>
  <si>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</si>
  <si>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</si>
  <si>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</si>
  <si>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</si>
  <si>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</si>
  <si>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</si>
  <si>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</si>
  <si>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</si>
  <si>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</si>
  <si>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</si>
  <si>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</si>
  <si>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</si>
  <si>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</si>
  <si>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</si>
  <si>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</si>
  <si>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</si>
  <si>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</si>
  <si>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</si>
  <si>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</si>
  <si>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</si>
  <si>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</si>
  <si>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</si>
  <si>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</si>
  <si>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</si>
  <si>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</si>
  <si>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</si>
  <si>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</si>
  <si>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</si>
  <si>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</si>
  <si>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</si>
  <si>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</si>
  <si>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</si>
  <si>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</si>
  <si>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</si>
  <si>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</si>
  <si>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</si>
  <si>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</si>
  <si>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</si>
  <si>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</si>
  <si>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</si>
  <si>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</si>
  <si>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</si>
  <si>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</si>
  <si>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</si>
  <si>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</si>
  <si>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</si>
  <si>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</si>
  <si>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</si>
  <si>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</si>
  <si>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</si>
  <si>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</si>
  <si>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</si>
  <si>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</si>
  <si>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</si>
  <si>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</si>
  <si>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</si>
  <si>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</si>
  <si>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</si>
  <si>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</si>
  <si>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</si>
  <si>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</si>
  <si>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</si>
  <si>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</si>
  <si>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</si>
  <si>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</si>
  <si>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</si>
  <si>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</si>
  <si>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</si>
  <si>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</si>
  <si>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</si>
  <si>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</si>
  <si>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</si>
  <si>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</si>
  <si>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</si>
  <si>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</si>
  <si>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</si>
  <si>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</si>
  <si>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</si>
  <si>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</si>
  <si>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</si>
  <si>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</si>
  <si>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</si>
  <si>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</si>
  <si>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</si>
  <si>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</si>
  <si>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</si>
  <si>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</si>
  <si>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</si>
  <si>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</si>
  <si>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</si>
  <si>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</si>
  <si>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</si>
  <si>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</si>
  <si>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</si>
  <si>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</si>
  <si>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</si>
  <si>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</si>
  <si>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</si>
  <si>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</si>
  <si>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</si>
  <si>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</si>
  <si>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</si>
  <si>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</si>
  <si>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</si>
  <si>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</si>
  <si>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</si>
  <si>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</si>
  <si>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</si>
  <si>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</si>
  <si>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</si>
  <si>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</si>
  <si>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</si>
  <si>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</si>
  <si>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</si>
  <si>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</si>
  <si>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</si>
  <si>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</si>
  <si>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</si>
  <si>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</si>
  <si>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</si>
  <si>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</si>
  <si>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</si>
  <si>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</si>
  <si>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</si>
  <si>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</si>
  <si>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</si>
  <si>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</si>
  <si>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</si>
  <si>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</si>
  <si>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</si>
  <si>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</si>
  <si>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</si>
  <si>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</si>
  <si>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</si>
  <si>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</si>
  <si>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</si>
  <si>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</si>
  <si>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</si>
  <si>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</si>
  <si>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</si>
  <si>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</si>
  <si>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</si>
  <si>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</si>
  <si>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</si>
  <si>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</si>
  <si>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</si>
  <si>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</si>
  <si>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</si>
  <si>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</si>
  <si>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</si>
  <si>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</si>
  <si>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</si>
  <si>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</si>
  <si>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</si>
  <si>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</si>
  <si>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</si>
  <si>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</si>
  <si>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</si>
  <si>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</si>
  <si>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</si>
  <si>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</si>
  <si>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</si>
  <si>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</si>
  <si>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</si>
  <si>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</si>
  <si>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</si>
  <si>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</si>
  <si>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</si>
  <si>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</si>
  <si>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</si>
  <si>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</si>
  <si>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</si>
  <si>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</si>
  <si>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</si>
  <si>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</si>
  <si>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</si>
  <si>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</si>
  <si>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</si>
  <si>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</si>
  <si>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</si>
  <si>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</si>
  <si>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</si>
  <si>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</si>
  <si>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</si>
  <si>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</si>
  <si>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</si>
  <si>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</si>
  <si>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</si>
  <si>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</si>
  <si>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</si>
  <si>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</si>
  <si>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</si>
  <si>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</si>
  <si>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</si>
  <si>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</si>
  <si>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</si>
  <si>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</si>
  <si>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</si>
  <si>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</si>
  <si>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</si>
  <si>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</si>
  <si>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</si>
  <si>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</si>
  <si>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</si>
  <si>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</si>
  <si>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</si>
  <si>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</si>
  <si>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</si>
  <si>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</si>
  <si>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</si>
  <si>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</si>
  <si>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</si>
  <si>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</si>
  <si>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</si>
  <si>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</si>
  <si>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</si>
  <si>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</si>
  <si>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</si>
  <si>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</si>
  <si>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</si>
  <si>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</si>
  <si>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</si>
  <si>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</si>
  <si>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</si>
  <si>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</si>
  <si>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</si>
  <si>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</si>
  <si>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</si>
  <si>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</si>
  <si>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</si>
  <si>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</si>
  <si>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</si>
  <si>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</si>
  <si>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</si>
  <si>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</si>
  <si>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</si>
  <si>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</si>
  <si>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</si>
  <si>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</si>
  <si>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</si>
  <si>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</si>
  <si>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</si>
  <si>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</si>
  <si>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</si>
  <si>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</si>
  <si>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</si>
  <si>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</si>
  <si>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</si>
  <si>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</si>
  <si>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</si>
  <si>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</si>
  <si>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</si>
  <si>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</si>
  <si>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</si>
  <si>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</si>
  <si>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</si>
  <si>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</si>
  <si>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</si>
  <si>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</si>
  <si>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</si>
  <si>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</si>
  <si>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</si>
  <si>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</si>
  <si>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</si>
  <si>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</si>
  <si>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</si>
  <si>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</si>
  <si>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</si>
  <si>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</si>
  <si>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</si>
  <si>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</si>
  <si>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</si>
  <si>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</si>
  <si>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</si>
  <si>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</si>
  <si>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</si>
  <si>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</si>
  <si>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</si>
  <si>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</si>
  <si>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</si>
  <si>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</si>
  <si>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</si>
  <si>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</si>
  <si>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</si>
  <si>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</si>
  <si>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</si>
  <si>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</si>
  <si>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</si>
  <si>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</si>
  <si>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</si>
  <si>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</si>
  <si>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</si>
  <si>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</si>
  <si>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</si>
  <si>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</si>
  <si>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</si>
  <si>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</si>
  <si>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</si>
  <si>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</si>
  <si>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</si>
  <si>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</si>
  <si>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</si>
  <si>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</si>
  <si>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</si>
  <si>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</si>
  <si>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</si>
  <si>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</si>
  <si>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</si>
  <si>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</si>
  <si>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</si>
  <si>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</si>
  <si>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</si>
  <si>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</si>
  <si>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</si>
  <si>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</si>
  <si>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</si>
  <si>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</si>
  <si>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</si>
  <si>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</si>
  <si>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</si>
  <si>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</si>
  <si>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</si>
  <si>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</si>
  <si>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</si>
  <si>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</si>
  <si>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</si>
  <si>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</si>
  <si>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</si>
  <si>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</si>
  <si>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</si>
  <si>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</si>
  <si>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</si>
  <si>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</si>
  <si>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</si>
  <si>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</si>
  <si>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</si>
  <si>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</si>
  <si>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</si>
  <si>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</si>
  <si>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</si>
  <si>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</si>
  <si>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</si>
  <si>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</si>
  <si>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</si>
  <si>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</si>
  <si>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</si>
  <si>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</si>
  <si>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</si>
  <si>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</si>
  <si>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</si>
  <si>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</si>
  <si>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</si>
  <si>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</si>
  <si>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</si>
  <si>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</si>
  <si>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</si>
  <si>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</si>
  <si>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</si>
  <si>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</si>
  <si>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</si>
  <si>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</si>
  <si>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</si>
  <si>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</si>
  <si>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</si>
  <si>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</si>
  <si>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</si>
  <si>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</si>
  <si>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</si>
  <si>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</si>
  <si>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</si>
  <si>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</si>
  <si>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</si>
  <si>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</si>
  <si>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</si>
  <si>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</si>
  <si>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</si>
  <si>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</si>
  <si>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</si>
  <si>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</si>
  <si>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</si>
  <si>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</si>
  <si>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</si>
  <si>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</si>
  <si>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</si>
  <si>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</si>
  <si>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</si>
  <si>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</si>
  <si>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</si>
  <si>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</si>
  <si>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</si>
  <si>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</si>
  <si>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</si>
  <si>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</si>
  <si>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</si>
  <si>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</si>
  <si>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</si>
  <si>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</si>
  <si>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</si>
  <si>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</si>
  <si>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</si>
  <si>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</si>
  <si>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</si>
  <si>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</si>
  <si>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</si>
  <si>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</si>
  <si>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</si>
  <si>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</si>
  <si>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</si>
  <si>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</si>
  <si>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</si>
  <si>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</si>
  <si>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</si>
  <si>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</si>
  <si>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</si>
  <si>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</si>
  <si>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</si>
  <si>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</si>
  <si>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</si>
  <si>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</si>
  <si>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</si>
  <si>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</si>
  <si>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</si>
  <si>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</si>
  <si>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</si>
  <si>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</si>
  <si>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</si>
  <si>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</si>
  <si>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</si>
  <si>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</si>
  <si>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</si>
  <si>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</si>
  <si>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</si>
  <si>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</si>
  <si>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</si>
  <si>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</si>
  <si>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</si>
  <si>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</si>
  <si>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</si>
  <si>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</si>
  <si>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</si>
  <si>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</si>
  <si>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</si>
  <si>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</si>
  <si>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</si>
  <si>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</si>
  <si>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</si>
  <si>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</si>
  <si>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</si>
  <si>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</si>
  <si>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</si>
  <si>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</si>
  <si>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</si>
  <si>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</si>
  <si>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</si>
  <si>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</si>
  <si>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</si>
  <si>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</si>
  <si>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</si>
  <si>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</si>
  <si>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</si>
  <si>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</si>
  <si>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</si>
  <si>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</si>
  <si>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</si>
  <si>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</si>
  <si>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</si>
  <si>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</si>
  <si>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</si>
  <si>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</si>
  <si>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</si>
  <si>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</si>
  <si>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</si>
  <si>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</si>
  <si>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</si>
  <si>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</si>
  <si>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</si>
  <si>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</si>
  <si>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</si>
  <si>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</si>
  <si>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</si>
  <si>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</si>
  <si>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</si>
  <si>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</si>
  <si>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</si>
  <si>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</si>
  <si>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</si>
  <si>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</si>
  <si>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</si>
  <si>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</si>
  <si>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</si>
  <si>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</si>
  <si>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</si>
  <si>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</si>
  <si>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</si>
  <si>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</si>
  <si>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</si>
  <si>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</si>
  <si>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</si>
  <si>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</si>
  <si>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</si>
  <si>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</si>
  <si>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</si>
  <si>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</si>
  <si>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</si>
  <si>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</si>
  <si>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</si>
  <si>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</si>
  <si>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</si>
  <si>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</si>
  <si>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</si>
  <si>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</si>
  <si>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</si>
  <si>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</si>
  <si>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</si>
  <si>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</si>
  <si>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</si>
  <si>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</si>
  <si>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</si>
  <si>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</si>
  <si>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</si>
  <si>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</si>
  <si>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</si>
  <si>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</si>
  <si>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</si>
  <si>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</si>
  <si>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</si>
  <si>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</si>
  <si>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</si>
  <si>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</si>
  <si>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</si>
  <si>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</si>
  <si>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</si>
  <si>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</si>
  <si>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</si>
  <si>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</si>
  <si>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</si>
  <si>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</si>
  <si>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</si>
  <si>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</si>
  <si>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</si>
  <si>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</si>
  <si>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</si>
  <si>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</si>
  <si>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</si>
  <si>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</si>
  <si>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</si>
  <si>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</si>
  <si>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</si>
  <si>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</si>
  <si>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</si>
  <si>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</si>
  <si>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</si>
  <si>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</si>
  <si>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</si>
  <si>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</si>
  <si>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</si>
  <si>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</si>
  <si>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</si>
  <si>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</si>
  <si>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</si>
  <si>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</si>
  <si>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</si>
  <si>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</si>
  <si>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</si>
  <si>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</si>
  <si>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</si>
  <si>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</si>
  <si>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</si>
  <si>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</si>
  <si>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</si>
  <si>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</si>
  <si>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</si>
  <si>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</si>
  <si>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</si>
  <si>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</si>
  <si>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</si>
  <si>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</si>
  <si>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</si>
  <si>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</si>
  <si>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</si>
  <si>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</si>
  <si>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</si>
  <si>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</si>
  <si>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</si>
  <si>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</si>
  <si>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</si>
  <si>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</si>
  <si>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</si>
  <si>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</si>
  <si>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</si>
  <si>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</si>
  <si>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</si>
  <si>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</si>
  <si>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</si>
  <si>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</si>
  <si>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</si>
  <si>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</si>
  <si>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</si>
  <si>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</si>
  <si>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</si>
  <si>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</si>
  <si>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</si>
  <si>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</si>
  <si>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</si>
  <si>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</si>
  <si>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</si>
  <si>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</si>
  <si>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</si>
  <si>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</si>
  <si>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</si>
  <si>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</si>
  <si>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</si>
  <si>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</si>
  <si>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</si>
  <si>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</si>
  <si>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</si>
  <si>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</si>
  <si>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</si>
  <si>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</si>
  <si>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</si>
  <si>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</si>
  <si>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</si>
  <si>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</si>
  <si>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</si>
  <si>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</si>
  <si>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</si>
  <si>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</si>
  <si>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</si>
  <si>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</si>
  <si>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</si>
  <si>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</si>
  <si>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</si>
  <si>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</si>
  <si>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</si>
  <si>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</si>
  <si>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</si>
  <si>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</si>
  <si>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</si>
  <si>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</si>
  <si>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</si>
  <si>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</si>
  <si>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</si>
  <si>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</si>
  <si>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</si>
  <si>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</si>
  <si>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</si>
  <si>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</si>
  <si>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</si>
  <si>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</si>
  <si>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</si>
  <si>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</si>
  <si>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</si>
  <si>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</si>
  <si>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</si>
  <si>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</si>
  <si>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</si>
  <si>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</si>
  <si>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</si>
  <si>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</si>
  <si>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</si>
  <si>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</si>
  <si>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</si>
  <si>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</si>
  <si>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</si>
  <si>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</si>
  <si>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</si>
  <si>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</si>
  <si>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</si>
  <si>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</si>
  <si>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</si>
  <si>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</si>
  <si>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</si>
  <si>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</si>
  <si>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</si>
  <si>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</si>
  <si>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</si>
  <si>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</si>
  <si>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</si>
  <si>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</si>
  <si>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</si>
  <si>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</si>
  <si>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</si>
  <si>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</si>
  <si>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</si>
  <si>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</si>
  <si>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</si>
  <si>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</si>
  <si>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</si>
  <si>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</si>
  <si>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</si>
  <si>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</si>
  <si>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</si>
  <si>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</si>
  <si>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</si>
  <si>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</si>
  <si>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</si>
  <si>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</si>
  <si>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</si>
  <si>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</si>
  <si>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</si>
  <si>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</si>
  <si>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</si>
  <si>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</si>
  <si>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</si>
  <si>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</si>
  <si>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</si>
  <si>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</si>
  <si>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</si>
  <si>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</si>
  <si>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</si>
  <si>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</si>
  <si>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</si>
  <si>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</si>
  <si>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</si>
  <si>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</si>
  <si>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</si>
  <si>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</si>
  <si>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</si>
  <si>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</si>
  <si>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</si>
  <si>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</si>
  <si>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</si>
  <si>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</si>
  <si>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</si>
  <si>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</si>
  <si>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</si>
  <si>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</si>
  <si>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</si>
  <si>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</si>
  <si>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</si>
  <si>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</si>
  <si>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</si>
  <si>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</si>
  <si>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</si>
  <si>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</si>
  <si>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</si>
  <si>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</si>
  <si>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</si>
  <si>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</si>
  <si>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</si>
  <si>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</si>
  <si>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</si>
  <si>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</si>
  <si>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</si>
  <si>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</si>
  <si>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</si>
  <si>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</si>
  <si>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</si>
  <si>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</si>
  <si>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</si>
  <si>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</si>
  <si>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</si>
  <si>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</si>
  <si>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</si>
  <si>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</si>
  <si>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</si>
  <si>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</si>
  <si>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</si>
  <si>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</si>
  <si>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</si>
  <si>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</si>
  <si>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</si>
  <si>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</si>
  <si>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</si>
  <si>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</si>
  <si>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</si>
  <si>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</si>
  <si>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</si>
  <si>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</si>
  <si>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</si>
  <si>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</si>
  <si>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</si>
  <si>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</si>
  <si>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</si>
  <si>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</si>
  <si>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</si>
  <si>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</si>
  <si>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</si>
  <si>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</si>
  <si>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</si>
  <si>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</si>
  <si>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</si>
  <si>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</si>
  <si>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</si>
  <si>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</si>
  <si>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</si>
  <si>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</si>
  <si>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</si>
  <si>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</si>
  <si>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</si>
  <si>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</si>
  <si>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</si>
  <si>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</si>
  <si>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</si>
  <si>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</si>
  <si>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</si>
  <si>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</si>
  <si>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</si>
  <si>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</si>
  <si>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</si>
  <si>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</si>
  <si>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</si>
  <si>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</si>
  <si>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</si>
  <si>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</si>
  <si>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</si>
  <si>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</si>
  <si>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</si>
  <si>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</si>
  <si>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</si>
  <si>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</si>
  <si>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</si>
  <si>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</si>
  <si>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</si>
  <si>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</si>
  <si>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</si>
  <si>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</si>
  <si>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</si>
  <si>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</si>
  <si>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</si>
  <si>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</si>
  <si>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</si>
  <si>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</si>
  <si>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</si>
  <si>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</si>
  <si>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</si>
  <si>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</si>
  <si>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</si>
  <si>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</si>
  <si>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</si>
  <si>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</si>
  <si>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</si>
  <si>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</si>
  <si>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</si>
  <si>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</si>
  <si>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</si>
  <si>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</si>
  <si>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</si>
  <si>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</si>
  <si>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</si>
  <si>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</si>
  <si>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</si>
  <si>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</si>
  <si>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</si>
  <si>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</si>
  <si>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</si>
  <si>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</si>
  <si>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</si>
  <si>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</si>
  <si>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</si>
  <si>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</si>
  <si>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</si>
  <si>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</si>
  <si>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</si>
  <si>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</si>
  <si>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</si>
  <si>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</si>
  <si>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</si>
  <si>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</si>
  <si>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</si>
  <si>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</si>
  <si>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</si>
  <si>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</si>
  <si>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</si>
  <si>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</si>
  <si>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</si>
  <si>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</si>
  <si>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</si>
  <si>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</si>
  <si>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</si>
  <si>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</si>
  <si>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</si>
  <si>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</si>
  <si>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</si>
  <si>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</si>
  <si>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</si>
  <si>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</si>
  <si>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</si>
  <si>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</si>
  <si>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</si>
  <si>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</si>
  <si>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</si>
  <si>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</si>
  <si>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</si>
  <si>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</si>
  <si>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</si>
  <si>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</si>
  <si>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</si>
  <si>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</si>
  <si>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</si>
  <si>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</si>
  <si>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</si>
  <si>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</si>
  <si>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</si>
  <si>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</si>
  <si>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</si>
  <si>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</si>
  <si>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</si>
  <si>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</si>
  <si>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</si>
  <si>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</si>
  <si>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</si>
  <si>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</si>
  <si>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</si>
  <si>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</si>
  <si>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</si>
  <si>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</si>
  <si>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</si>
  <si>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</si>
  <si>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</si>
  <si>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</si>
  <si>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</si>
  <si>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</si>
  <si>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</si>
  <si>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</si>
  <si>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</si>
  <si>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</si>
  <si>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</si>
  <si>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</si>
  <si>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</si>
  <si>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</si>
  <si>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</si>
  <si>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</si>
  <si>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</si>
  <si>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</si>
  <si>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</si>
  <si>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</si>
  <si>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</si>
  <si>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</si>
  <si>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</si>
  <si>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</si>
  <si>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</si>
  <si>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</si>
  <si>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</si>
  <si>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</si>
  <si>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</si>
  <si>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</si>
  <si>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</si>
  <si>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</si>
  <si>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</si>
  <si>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</si>
  <si>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</si>
  <si>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</si>
  <si>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</si>
  <si>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</si>
  <si>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</si>
  <si>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</si>
  <si>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</si>
  <si>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</si>
  <si>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</si>
  <si>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</si>
  <si>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</si>
  <si>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</si>
  <si>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</si>
  <si>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</si>
  <si>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</si>
  <si>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</si>
  <si>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</si>
  <si>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</si>
  <si>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</si>
  <si>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</si>
  <si>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</si>
  <si>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</si>
  <si>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</si>
  <si>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</si>
  <si>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</si>
  <si>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</si>
  <si>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</si>
  <si>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</si>
  <si>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</si>
  <si>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</si>
  <si>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</si>
  <si>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</si>
  <si>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</si>
  <si>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</si>
  <si>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</si>
  <si>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</si>
  <si>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</si>
  <si>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</si>
  <si>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</si>
  <si>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</si>
  <si>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</si>
  <si>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</si>
  <si>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</si>
  <si>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</si>
  <si>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</si>
  <si>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</si>
  <si>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</si>
  <si>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</si>
  <si>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</si>
  <si>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</si>
  <si>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</si>
  <si>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</si>
  <si>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</si>
  <si>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</si>
  <si>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</si>
  <si>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</si>
  <si>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</si>
  <si>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</si>
  <si>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</si>
  <si>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</si>
  <si>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</si>
  <si>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</si>
  <si>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</si>
  <si>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</si>
  <si>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</si>
  <si>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</si>
  <si>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</si>
  <si>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</si>
  <si>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</si>
  <si>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</si>
  <si>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</si>
  <si>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</si>
  <si>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</si>
  <si>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</si>
  <si>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</si>
  <si>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</si>
  <si>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</si>
  <si>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</si>
  <si>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</si>
  <si>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</si>
  <si>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</si>
  <si>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</si>
  <si>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</si>
  <si>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</si>
  <si>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</si>
  <si>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</si>
  <si>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</si>
  <si>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</si>
  <si>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</si>
  <si>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</si>
  <si>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</si>
  <si>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</si>
  <si>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</si>
  <si>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</si>
  <si>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</si>
  <si>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</si>
  <si>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</si>
  <si>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</si>
  <si>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</si>
  <si>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</si>
  <si>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</si>
  <si>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</si>
  <si>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</si>
  <si>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</si>
  <si>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</si>
  <si>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</si>
  <si>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</si>
  <si>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</si>
  <si>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</si>
  <si>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</si>
  <si>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</si>
  <si>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</si>
  <si>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</si>
  <si>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</si>
  <si>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</si>
  <si>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</si>
  <si>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</si>
  <si>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</si>
  <si>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</si>
  <si>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</si>
  <si>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</si>
  <si>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</si>
  <si>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</si>
  <si>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</si>
  <si>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</si>
  <si>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</si>
  <si>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</si>
  <si>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</si>
  <si>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</si>
  <si>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</si>
  <si>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</si>
  <si>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</si>
  <si>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</si>
  <si>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</si>
  <si>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</si>
  <si>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</si>
  <si>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</si>
  <si>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</si>
  <si>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</si>
  <si>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</si>
  <si>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</si>
  <si>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</si>
  <si>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</si>
  <si>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</si>
  <si>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</si>
  <si>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</si>
  <si>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</si>
  <si>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</si>
  <si>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</si>
  <si>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</si>
  <si>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</si>
  <si>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</si>
  <si>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</si>
  <si>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</si>
  <si>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</si>
  <si>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</si>
  <si>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</si>
  <si>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</si>
  <si>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</si>
  <si>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</si>
  <si>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</si>
  <si>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</si>
  <si>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</si>
  <si>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</si>
  <si>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</si>
  <si>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</si>
  <si>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</si>
  <si>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</si>
  <si>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</si>
  <si>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</si>
  <si>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</si>
  <si>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</si>
  <si>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</si>
  <si>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</si>
  <si>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</si>
  <si>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</si>
  <si>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</si>
  <si>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</si>
  <si>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</si>
  <si>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</si>
  <si>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</si>
  <si>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</si>
  <si>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</si>
  <si>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</si>
  <si>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</si>
  <si>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</si>
  <si>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</si>
  <si>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</si>
  <si>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</si>
  <si>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</si>
  <si>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</si>
  <si>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</si>
  <si>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</si>
  <si>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</si>
  <si>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</si>
  <si>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</si>
  <si>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</si>
  <si>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</si>
  <si>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</si>
  <si>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</si>
  <si>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</si>
  <si>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</si>
  <si>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</si>
  <si>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</si>
  <si>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</si>
  <si>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</si>
  <si>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</si>
  <si>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</si>
  <si>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</si>
  <si>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</si>
  <si>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</si>
  <si>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</si>
  <si>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</si>
  <si>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</si>
  <si>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</si>
  <si>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</si>
  <si>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</si>
  <si>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</si>
  <si>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</si>
  <si>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</si>
  <si>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</si>
  <si>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</si>
  <si>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</si>
  <si>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</si>
  <si>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</si>
  <si>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</si>
  <si>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</si>
  <si>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</si>
  <si>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</si>
  <si>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</si>
  <si>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</si>
  <si>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</si>
  <si>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</si>
  <si>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</si>
  <si>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</si>
  <si>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</si>
  <si>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</si>
  <si>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</si>
  <si>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</si>
  <si>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</si>
  <si>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</si>
  <si>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</si>
  <si>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</si>
  <si>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</si>
  <si>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</si>
  <si>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</si>
  <si>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</si>
  <si>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</si>
  <si>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</si>
  <si>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</si>
  <si>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</si>
  <si>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</si>
  <si>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</si>
  <si>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</si>
  <si>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</si>
  <si>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</si>
  <si>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</si>
  <si>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</si>
  <si>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</si>
  <si>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</si>
  <si>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</si>
  <si>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</si>
  <si>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</si>
  <si>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</si>
  <si>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</si>
  <si>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</si>
  <si>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</si>
  <si>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</si>
  <si>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</si>
  <si>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</si>
  <si>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</si>
  <si>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</si>
  <si>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</si>
  <si>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</si>
  <si>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</si>
  <si>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</si>
  <si>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</si>
  <si>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</si>
  <si>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</si>
  <si>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</si>
  <si>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</si>
  <si>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</si>
  <si>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</si>
  <si>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</si>
  <si>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</si>
  <si>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</si>
  <si>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</si>
  <si>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</si>
  <si>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</si>
  <si>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</si>
  <si>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</si>
  <si>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</si>
  <si>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</si>
  <si>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</si>
  <si>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</si>
  <si>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</si>
  <si>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</si>
  <si>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</si>
  <si>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</si>
  <si>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</si>
  <si>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</si>
  <si>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</si>
  <si>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</si>
  <si>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</si>
  <si>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</si>
  <si>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</si>
  <si>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</si>
  <si>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</si>
  <si>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</si>
  <si>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</si>
  <si>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</si>
  <si>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</si>
  <si>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</si>
  <si>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</si>
  <si>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</si>
  <si>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</si>
  <si>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</si>
  <si>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</si>
  <si>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</si>
  <si>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</si>
  <si>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</si>
  <si>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</si>
  <si>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</si>
  <si>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</si>
  <si>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</si>
  <si>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</si>
  <si>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</si>
  <si>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</si>
  <si>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</si>
  <si>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</si>
  <si>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</si>
  <si>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</si>
  <si>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</si>
  <si>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</si>
  <si>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</si>
  <si>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</si>
  <si>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</si>
  <si>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</si>
  <si>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</si>
  <si>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</si>
  <si>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</si>
  <si>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</si>
  <si>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</si>
  <si>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</si>
  <si>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</si>
  <si>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</si>
  <si>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</si>
  <si>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</si>
  <si>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</si>
  <si>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</si>
  <si>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</si>
  <si>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</si>
  <si>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</si>
  <si>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</si>
  <si>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</si>
  <si>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</si>
  <si>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</si>
  <si>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</si>
  <si>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</si>
  <si>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</si>
  <si>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</si>
  <si>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</si>
  <si>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</si>
  <si>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</si>
  <si>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</si>
  <si>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</si>
  <si>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</si>
  <si>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</si>
  <si>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</si>
  <si>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</si>
  <si>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</si>
  <si>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</si>
  <si>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</si>
  <si>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</si>
  <si>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</si>
  <si>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</si>
  <si>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</si>
  <si>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</si>
  <si>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</si>
  <si>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</si>
  <si>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</si>
  <si>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</si>
  <si>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</si>
  <si>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</si>
  <si>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</si>
  <si>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</si>
  <si>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</si>
  <si>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</si>
  <si>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</si>
  <si>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</si>
  <si>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</si>
  <si>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</si>
  <si>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</si>
  <si>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</si>
  <si>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</si>
  <si>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</si>
  <si>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</si>
  <si>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</si>
  <si>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</si>
  <si>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</si>
  <si>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</si>
  <si>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</si>
  <si>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</si>
  <si>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</si>
  <si>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</si>
  <si>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</si>
  <si>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</si>
  <si>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</si>
  <si>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</si>
  <si>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</si>
  <si>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</si>
  <si>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</si>
  <si>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</si>
  <si>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</si>
  <si>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</si>
  <si>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</si>
  <si>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</si>
  <si>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</si>
  <si>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</si>
  <si>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</si>
  <si>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</si>
  <si>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</si>
  <si>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</si>
  <si>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</si>
  <si>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</si>
  <si>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</si>
  <si>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</si>
  <si>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</si>
  <si>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</si>
  <si>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</si>
  <si>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</si>
  <si>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</si>
  <si>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</si>
  <si>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</si>
  <si>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</si>
  <si>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</si>
  <si>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</si>
  <si>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</si>
  <si>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</si>
  <si>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</si>
  <si>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</si>
  <si>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</si>
  <si>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</si>
  <si>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</si>
  <si>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</si>
  <si>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</si>
  <si>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</si>
  <si>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</si>
  <si>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</si>
  <si>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</si>
  <si>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</si>
  <si>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</si>
  <si>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</si>
  <si>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</si>
  <si>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</si>
  <si>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</si>
  <si>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</si>
  <si>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</si>
  <si>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</si>
  <si>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</si>
  <si>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</si>
  <si>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</si>
  <si>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</si>
  <si>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</si>
  <si>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</si>
  <si>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</si>
  <si>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</si>
  <si>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</si>
  <si>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</si>
  <si>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</si>
  <si>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</si>
  <si>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</si>
  <si>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</si>
  <si>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</si>
  <si>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</si>
  <si>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</si>
  <si>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</si>
  <si>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</si>
  <si>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</si>
  <si>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</si>
  <si>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</si>
  <si>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</si>
  <si>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</si>
  <si>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</si>
  <si>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</si>
  <si>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</si>
  <si>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</si>
  <si>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</si>
  <si>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</si>
  <si>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</si>
  <si>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</si>
  <si>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</si>
  <si>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</si>
  <si>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</si>
  <si>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</si>
  <si>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</si>
  <si>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</si>
  <si>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</si>
  <si>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</si>
  <si>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</si>
  <si>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</si>
  <si>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</si>
  <si>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</si>
  <si>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</si>
  <si>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</si>
  <si>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</si>
  <si>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</si>
  <si>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</si>
  <si>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</si>
  <si>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</si>
  <si>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</si>
  <si>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</si>
  <si>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</si>
  <si>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</si>
  <si>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</si>
  <si>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</si>
  <si>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</si>
  <si>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</si>
  <si>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</si>
  <si>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</si>
  <si>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</si>
  <si>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</si>
  <si>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</si>
  <si>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</si>
  <si>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</si>
  <si>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</si>
  <si>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</si>
  <si>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</si>
  <si>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</si>
  <si>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</si>
  <si>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</si>
  <si>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</si>
  <si>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</si>
  <si>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</si>
  <si>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</si>
  <si>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</si>
  <si>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</si>
  <si>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</si>
  <si>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</si>
  <si>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</si>
  <si>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</si>
  <si>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</si>
  <si>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</si>
  <si>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</si>
  <si>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</si>
  <si>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</si>
  <si>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</si>
  <si>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</si>
  <si>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</si>
  <si>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</si>
  <si>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</si>
  <si>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</si>
  <si>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</si>
  <si>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</si>
  <si>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</si>
  <si>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</si>
  <si>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</si>
  <si>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</si>
  <si>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</si>
  <si>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</si>
  <si>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</si>
  <si>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</si>
  <si>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</si>
  <si>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</si>
  <si>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</si>
  <si>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</si>
  <si>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</si>
  <si>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</si>
  <si>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</si>
  <si>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</si>
  <si>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</si>
  <si>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</si>
  <si>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</si>
  <si>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</si>
  <si>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</si>
  <si>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</si>
  <si>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</si>
  <si>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</si>
  <si>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</si>
  <si>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</si>
  <si>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</si>
  <si>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</si>
  <si>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</si>
  <si>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</si>
  <si>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</si>
  <si>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</si>
  <si>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</si>
  <si>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</si>
  <si>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</si>
  <si>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</si>
  <si>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</si>
  <si>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</si>
  <si>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</si>
  <si>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</si>
  <si>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</si>
  <si>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</si>
  <si>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</si>
  <si>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</si>
  <si>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</si>
  <si>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</si>
  <si>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</si>
  <si>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</si>
  <si>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</si>
  <si>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</si>
  <si>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</si>
  <si>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</si>
  <si>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</si>
  <si>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</si>
  <si>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</si>
  <si>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</si>
  <si>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</si>
  <si>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</si>
  <si>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</si>
  <si>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</si>
  <si>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</si>
  <si>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</si>
  <si>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</si>
  <si>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</si>
  <si>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</si>
  <si>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</si>
  <si>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</si>
  <si>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</si>
  <si>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</si>
  <si>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</si>
  <si>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</si>
  <si>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</si>
  <si>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</si>
  <si>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</si>
  <si>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</si>
  <si>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</si>
  <si>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</si>
  <si>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</si>
  <si>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</si>
  <si>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</si>
  <si>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</si>
  <si>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</si>
  <si>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</si>
  <si>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</si>
  <si>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</si>
  <si>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</si>
  <si>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</si>
  <si>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</si>
  <si>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</si>
  <si>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</si>
  <si>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</si>
  <si>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</si>
  <si>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</si>
  <si>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</si>
  <si>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</si>
  <si>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</si>
  <si>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</si>
  <si>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</si>
  <si>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</si>
  <si>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</si>
  <si>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</si>
  <si>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</si>
  <si>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</si>
  <si>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</si>
  <si>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</si>
  <si>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</si>
  <si>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</si>
  <si>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</si>
  <si>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</si>
  <si>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</si>
  <si>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</si>
  <si>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</si>
  <si>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</si>
  <si>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</si>
  <si>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</si>
  <si>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</si>
  <si>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</si>
  <si>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</si>
  <si>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</si>
  <si>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</si>
  <si>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</si>
  <si>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</si>
  <si>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</si>
  <si>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</si>
  <si>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</si>
  <si>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</si>
  <si>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</si>
  <si>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</si>
  <si>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</si>
  <si>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</si>
  <si>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</si>
  <si>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</si>
  <si>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</si>
  <si>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</si>
  <si>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</si>
  <si>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</si>
  <si>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</si>
  <si>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</si>
  <si>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</si>
  <si>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</si>
  <si>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</si>
  <si>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</si>
  <si>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</si>
  <si>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</si>
  <si>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</si>
  <si>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</si>
  <si>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</si>
  <si>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</si>
  <si>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</si>
  <si>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</si>
  <si>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</si>
  <si>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</si>
  <si>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</si>
  <si>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</si>
  <si>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</si>
  <si>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</si>
  <si>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</si>
  <si>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</si>
  <si>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</si>
  <si>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</si>
  <si>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</si>
  <si>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</si>
  <si>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</si>
  <si>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</si>
  <si>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</si>
  <si>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</si>
  <si>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</si>
  <si>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</si>
  <si>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</si>
  <si>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</si>
  <si>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</si>
  <si>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</si>
  <si>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</si>
  <si>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</si>
  <si>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</si>
  <si>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</si>
  <si>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</si>
  <si>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</si>
  <si>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</si>
  <si>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</si>
  <si>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</si>
  <si>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</si>
  <si>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</si>
  <si>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</si>
  <si>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</si>
  <si>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</si>
  <si>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</si>
  <si>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</si>
  <si>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</si>
  <si>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</si>
  <si>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</si>
  <si>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</si>
  <si>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</si>
  <si>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</si>
  <si>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</si>
  <si>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</si>
  <si>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</si>
  <si>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</si>
  <si>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</si>
  <si>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</si>
  <si>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</si>
  <si>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</si>
  <si>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</si>
  <si>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</si>
  <si>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</si>
  <si>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</si>
  <si>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</si>
  <si>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</si>
  <si>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</si>
  <si>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</si>
  <si>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</si>
  <si>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</si>
  <si>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</si>
  <si>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</si>
  <si>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</si>
  <si>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</si>
  <si>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</si>
  <si>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</si>
  <si>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</si>
  <si>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</si>
  <si>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</si>
  <si>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</si>
  <si>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</si>
  <si>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</si>
  <si>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</si>
  <si>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</si>
  <si>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</si>
  <si>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</si>
  <si>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</si>
  <si>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</si>
  <si>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</si>
  <si>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</si>
  <si>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</si>
  <si>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</si>
  <si>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</si>
  <si>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</si>
  <si>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</si>
  <si>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</si>
  <si>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</si>
  <si>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</si>
  <si>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</si>
  <si>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</si>
  <si>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</si>
  <si>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</si>
  <si>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</si>
  <si>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</si>
  <si>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</si>
  <si>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</si>
  <si>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</si>
  <si>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</si>
  <si>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</si>
  <si>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</si>
  <si>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</si>
  <si>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</si>
  <si>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</si>
  <si>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</si>
  <si>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</si>
  <si>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</si>
  <si>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</si>
  <si>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</si>
  <si>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</si>
  <si>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</si>
  <si>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</si>
  <si>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</si>
  <si>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</si>
  <si>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</si>
  <si>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</si>
  <si>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</si>
  <si>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</si>
  <si>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</si>
  <si>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</si>
  <si>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</si>
  <si>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</si>
  <si>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</si>
  <si>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</si>
  <si>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</si>
  <si>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</si>
  <si>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</si>
  <si>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</si>
  <si>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</si>
  <si>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</si>
  <si>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</si>
  <si>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</si>
  <si>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</si>
  <si>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</si>
  <si>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</si>
  <si>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</si>
  <si>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</si>
  <si>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</si>
  <si>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</si>
  <si>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</si>
  <si>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</si>
  <si>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</si>
  <si>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</si>
  <si>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</si>
  <si>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</si>
  <si>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</si>
  <si>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</si>
  <si>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</si>
  <si>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</si>
  <si>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</si>
  <si>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</si>
  <si>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</si>
  <si>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</si>
  <si>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</si>
  <si>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</si>
  <si>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</si>
  <si>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</si>
  <si>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</si>
  <si>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</si>
  <si>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</si>
  <si>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</si>
  <si>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</si>
  <si>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</si>
  <si>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</si>
  <si>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</si>
  <si>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</si>
  <si>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</si>
  <si>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</si>
  <si>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</si>
  <si>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</si>
  <si>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</si>
  <si>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</si>
  <si>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</si>
  <si>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</si>
  <si>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</si>
  <si>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</si>
  <si>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</si>
  <si>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</si>
  <si>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</si>
  <si>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</si>
  <si>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</si>
  <si>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</si>
  <si>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</si>
  <si>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</si>
  <si>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</si>
  <si>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</si>
  <si>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</si>
  <si>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</si>
  <si>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</si>
  <si>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</si>
  <si>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</si>
  <si>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</si>
  <si>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</si>
  <si>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</si>
  <si>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</si>
  <si>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</si>
  <si>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</si>
  <si>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</si>
  <si>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</si>
  <si>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</si>
  <si>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</si>
  <si>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</si>
  <si>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</si>
  <si>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</si>
  <si>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</si>
  <si>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</si>
  <si>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</si>
  <si>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</si>
  <si>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</si>
  <si>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</si>
  <si>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</si>
  <si>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</si>
  <si>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</si>
  <si>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</si>
  <si>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</si>
  <si>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</si>
  <si>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</si>
  <si>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</si>
  <si>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</si>
  <si>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</si>
  <si>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</si>
  <si>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</si>
  <si>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</si>
  <si>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</si>
  <si>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</si>
  <si>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</si>
  <si>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</si>
  <si>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</si>
  <si>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</si>
  <si>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</si>
  <si>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</si>
  <si>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</si>
  <si>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</si>
  <si>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</si>
  <si>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</si>
  <si>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</si>
  <si>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</si>
  <si>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</si>
  <si>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</si>
  <si>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</si>
  <si>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</si>
  <si>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</si>
  <si>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</si>
  <si>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</si>
  <si>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</si>
  <si>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</si>
  <si>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</si>
  <si>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</si>
  <si>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</si>
  <si>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</si>
  <si>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</si>
  <si>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</si>
  <si>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</si>
  <si>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</si>
  <si>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</si>
  <si>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</si>
  <si>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</si>
  <si>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</si>
  <si>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</si>
  <si>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</si>
  <si>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</si>
  <si>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</si>
  <si>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</si>
  <si>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</si>
  <si>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</si>
  <si>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</si>
  <si>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</si>
  <si>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</si>
  <si>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</si>
  <si>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</si>
  <si>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</si>
  <si>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</si>
  <si>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</si>
  <si>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</si>
  <si>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</si>
  <si>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</si>
  <si>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</si>
  <si>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</si>
  <si>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</si>
  <si>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</si>
  <si>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</si>
  <si>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</si>
  <si>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</si>
  <si>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</si>
  <si>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</si>
  <si>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</si>
  <si>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</si>
  <si>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</si>
  <si>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</si>
  <si>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</si>
  <si>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</si>
  <si>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</si>
  <si>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</si>
  <si>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</si>
  <si>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</si>
  <si>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</si>
  <si>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</si>
  <si>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</si>
  <si>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</si>
  <si>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</si>
  <si>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</si>
  <si>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</si>
  <si>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</si>
  <si>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</si>
  <si>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</si>
  <si>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</si>
  <si>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</si>
  <si>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</si>
  <si>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</si>
  <si>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</si>
  <si>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</si>
  <si>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</si>
  <si>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</si>
  <si>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</si>
  <si>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</si>
  <si>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</si>
  <si>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</si>
  <si>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</si>
  <si>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</si>
  <si>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</si>
  <si>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</si>
  <si>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</si>
  <si>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</si>
  <si>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</si>
  <si>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</si>
  <si>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</si>
  <si>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</si>
  <si>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</si>
  <si>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</si>
  <si>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</si>
  <si>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</si>
  <si>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</si>
  <si>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</si>
  <si>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</si>
  <si>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</si>
  <si>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</si>
  <si>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</si>
  <si>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</si>
  <si>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</si>
  <si>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</si>
  <si>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</si>
  <si>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</si>
  <si>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</si>
  <si>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</si>
  <si>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</si>
  <si>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</si>
  <si>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</si>
  <si>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</si>
  <si>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</si>
  <si>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</si>
  <si>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</si>
  <si>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</si>
  <si>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</si>
  <si>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</si>
  <si>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</si>
  <si>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</si>
  <si>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</si>
  <si>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</si>
  <si>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</si>
  <si>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</si>
  <si>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</si>
  <si>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</si>
  <si>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</si>
  <si>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</si>
  <si>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</si>
  <si>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</si>
  <si>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</si>
  <si>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</si>
  <si>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</si>
  <si>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</si>
  <si>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</si>
  <si>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</si>
  <si>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</si>
  <si>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</si>
  <si>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</si>
  <si>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</si>
  <si>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</si>
  <si>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</si>
  <si>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</si>
  <si>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</si>
  <si>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</si>
  <si>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</si>
  <si>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</si>
  <si>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</si>
  <si>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</si>
  <si>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</si>
  <si>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</si>
  <si>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</si>
  <si>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</si>
  <si>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</si>
  <si>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</si>
  <si>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</si>
  <si>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</si>
  <si>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</si>
  <si>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</si>
  <si>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</si>
  <si>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</si>
  <si>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</si>
  <si>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</si>
  <si>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</si>
  <si>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</si>
  <si>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</si>
  <si>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</si>
  <si>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</si>
  <si>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</si>
  <si>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</si>
  <si>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</si>
  <si>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</si>
  <si>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</si>
  <si>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</si>
  <si>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</si>
  <si>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</si>
  <si>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</si>
  <si>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</si>
  <si>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</si>
  <si>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</si>
  <si>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</si>
  <si>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</si>
  <si>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</si>
  <si>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</si>
  <si>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</si>
  <si>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</si>
  <si>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</si>
  <si>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</si>
  <si>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</si>
  <si>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</si>
  <si>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</si>
  <si>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</si>
  <si>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</si>
  <si>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</si>
  <si>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</si>
  <si>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</si>
  <si>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</si>
  <si>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</si>
  <si>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</si>
  <si>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</si>
  <si>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</si>
  <si>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</si>
  <si>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</si>
  <si>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</si>
  <si>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</si>
  <si>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</si>
  <si>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</si>
  <si>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</si>
  <si>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</si>
  <si>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</si>
  <si>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</si>
  <si>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</si>
  <si>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</si>
  <si>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</si>
  <si>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</si>
  <si>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</si>
  <si>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</si>
  <si>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</si>
  <si>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</si>
  <si>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</si>
  <si>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</si>
  <si>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</si>
  <si>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</si>
  <si>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</si>
  <si>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</si>
  <si>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</si>
  <si>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</si>
  <si>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</si>
  <si>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</si>
  <si>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</si>
  <si>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</si>
  <si>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</si>
  <si>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</si>
  <si>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</si>
  <si>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</si>
  <si>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</si>
  <si>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</si>
  <si>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</si>
  <si>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</si>
  <si>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</si>
  <si>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</si>
  <si>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</si>
  <si>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</si>
  <si>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</si>
  <si>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</si>
  <si>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</si>
  <si>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</si>
  <si>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</si>
  <si>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</si>
  <si>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</si>
  <si>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</si>
  <si>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</si>
  <si>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</si>
  <si>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</si>
  <si>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</si>
  <si>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</si>
  <si>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</si>
  <si>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</si>
  <si>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</si>
  <si>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</si>
  <si>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</si>
  <si>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</si>
  <si>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</si>
  <si>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</si>
  <si>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</si>
  <si>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</si>
  <si>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</si>
  <si>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</si>
  <si>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</si>
  <si>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</si>
  <si>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</si>
  <si>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</si>
  <si>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</si>
  <si>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</si>
  <si>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</si>
  <si>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</si>
  <si>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</si>
  <si>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</si>
  <si>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</si>
  <si>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</si>
  <si>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</si>
  <si>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</si>
  <si>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</si>
  <si>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</si>
  <si>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</si>
  <si>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</si>
  <si>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</si>
  <si>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</si>
  <si>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</si>
  <si>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</si>
  <si>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</si>
  <si>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</si>
  <si>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</si>
  <si>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</si>
  <si>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</si>
  <si>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</si>
  <si>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</si>
  <si>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</si>
  <si>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</si>
  <si>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</si>
  <si>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</si>
  <si>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</si>
  <si>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</si>
  <si>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</si>
  <si>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</si>
  <si>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</si>
  <si>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</si>
  <si>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</si>
  <si>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</si>
  <si>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</si>
  <si>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</si>
  <si>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</si>
  <si>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</si>
  <si>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</si>
  <si>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</si>
  <si>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</si>
  <si>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</si>
  <si>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</si>
  <si>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</si>
  <si>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</si>
  <si>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</si>
  <si>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</si>
  <si>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</si>
  <si>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</si>
  <si>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</si>
  <si>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</si>
  <si>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</si>
  <si>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</si>
  <si>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</si>
  <si>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</si>
  <si>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</si>
  <si>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</si>
  <si>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</si>
  <si>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</si>
  <si>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</si>
  <si>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</si>
  <si>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</si>
  <si>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</si>
  <si>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</si>
  <si>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</si>
  <si>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</si>
  <si>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</si>
  <si>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</si>
  <si>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</si>
  <si>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</si>
  <si>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</si>
  <si>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</si>
  <si>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</si>
  <si>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</si>
  <si>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</si>
  <si>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</si>
  <si>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</si>
  <si>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</si>
  <si>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</si>
  <si>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</si>
  <si>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</si>
  <si>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</si>
  <si>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</si>
  <si>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</si>
  <si>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</si>
  <si>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</si>
  <si>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</si>
  <si>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</si>
  <si>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</si>
  <si>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</si>
  <si>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</si>
  <si>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</si>
  <si>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</si>
  <si>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</si>
  <si>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</si>
  <si>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</si>
  <si>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</si>
  <si>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</si>
  <si>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</si>
  <si>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</si>
  <si>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</si>
  <si>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</si>
  <si>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</si>
  <si>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</si>
  <si>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</si>
  <si>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</si>
  <si>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</si>
  <si>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</si>
  <si>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</si>
  <si>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</si>
  <si>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</si>
  <si>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</si>
  <si>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</si>
  <si>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</si>
  <si>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</si>
  <si>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</si>
  <si>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</si>
  <si>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</si>
  <si>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</si>
  <si>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</si>
  <si>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</si>
  <si>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</si>
  <si>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</si>
  <si>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</si>
  <si>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</si>
  <si>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</si>
  <si>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</si>
  <si>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</si>
  <si>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</si>
  <si>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</si>
  <si>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</si>
  <si>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</si>
  <si>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</si>
  <si>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</si>
  <si>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</si>
  <si>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</si>
  <si>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</si>
  <si>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</si>
  <si>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</si>
  <si>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</si>
  <si>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</si>
  <si>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</si>
  <si>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</si>
  <si>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</si>
  <si>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</si>
  <si>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</si>
  <si>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</si>
  <si>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</si>
  <si>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</si>
  <si>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</si>
  <si>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</si>
  <si>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</si>
  <si>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</si>
  <si>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</si>
  <si>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</si>
  <si>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</si>
  <si>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</si>
  <si>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</si>
  <si>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</si>
  <si>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</si>
  <si>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</si>
  <si>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</si>
  <si>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</si>
  <si>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</si>
  <si>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</si>
  <si>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</si>
  <si>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</si>
  <si>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</si>
  <si>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</si>
  <si>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</si>
  <si>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</si>
  <si>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</si>
  <si>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</si>
  <si>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</si>
  <si>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</si>
  <si>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</si>
  <si>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</si>
  <si>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</si>
  <si>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</si>
  <si>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</si>
  <si>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</si>
  <si>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</si>
  <si>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</si>
  <si>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</si>
  <si>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</si>
  <si>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</si>
  <si>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</si>
  <si>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</si>
  <si>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</si>
  <si>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</si>
  <si>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</si>
  <si>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</si>
  <si>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</si>
  <si>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</si>
  <si>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</si>
  <si>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</si>
  <si>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</si>
  <si>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</si>
  <si>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</si>
  <si>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</si>
  <si>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</si>
  <si>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</si>
  <si>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</si>
  <si>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</si>
  <si>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</si>
  <si>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</si>
  <si>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</si>
  <si>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</si>
  <si>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</si>
  <si>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</si>
  <si>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</si>
  <si>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</si>
  <si>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</si>
  <si>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</si>
  <si>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</si>
  <si>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</si>
  <si>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</si>
  <si>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</si>
  <si>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</si>
  <si>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</si>
  <si>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</si>
  <si>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</si>
  <si>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</si>
  <si>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</si>
  <si>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</si>
  <si>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</si>
  <si>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</si>
  <si>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</si>
  <si>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</si>
  <si>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</si>
  <si>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</si>
  <si>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</si>
  <si>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</si>
  <si>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</si>
  <si>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</si>
  <si>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</si>
  <si>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</si>
  <si>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</si>
  <si>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</si>
  <si>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</si>
  <si>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</si>
  <si>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</si>
  <si>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</si>
  <si>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</si>
  <si>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</si>
  <si>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</si>
  <si>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</si>
  <si>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</si>
  <si>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</si>
  <si>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</si>
  <si>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</si>
  <si>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</si>
  <si>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</si>
  <si>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</si>
  <si>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</si>
  <si>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</si>
  <si>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</si>
  <si>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</si>
  <si>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</si>
  <si>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</si>
  <si>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</si>
  <si>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</si>
  <si>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</si>
  <si>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</si>
  <si>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</si>
  <si>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</si>
  <si>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</si>
  <si>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</si>
  <si>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</si>
  <si>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</si>
  <si>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</si>
  <si>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</si>
  <si>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</si>
  <si>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</si>
  <si>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</si>
  <si>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</si>
  <si>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</si>
  <si>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</si>
  <si>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</si>
  <si>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</si>
  <si>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</si>
  <si>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</si>
  <si>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</si>
  <si>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</si>
  <si>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</si>
  <si>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</si>
  <si>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</si>
  <si>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</si>
  <si>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</si>
  <si>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</si>
  <si>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</si>
  <si>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</si>
  <si>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</si>
  <si>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</si>
  <si>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</si>
  <si>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</si>
  <si>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</si>
  <si>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</si>
  <si>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</si>
  <si>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</si>
  <si>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</si>
  <si>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</si>
  <si>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</si>
  <si>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</si>
  <si>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</si>
  <si>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</si>
  <si>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</si>
  <si>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</si>
  <si>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</si>
  <si>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</si>
  <si>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</si>
  <si>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</si>
  <si>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</si>
  <si>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</si>
  <si>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</si>
  <si>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</si>
  <si>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</si>
  <si>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</si>
  <si>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</si>
  <si>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</si>
  <si>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</si>
  <si>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</si>
  <si>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</si>
  <si>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</si>
  <si>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</si>
  <si>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</si>
  <si>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</si>
  <si>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</si>
  <si>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</si>
  <si>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</si>
  <si>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</si>
  <si>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</si>
  <si>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</si>
  <si>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</si>
  <si>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</si>
  <si>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</si>
  <si>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</si>
  <si>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</si>
  <si>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</si>
  <si>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</si>
  <si>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</si>
  <si>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</si>
  <si>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</si>
  <si>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</si>
  <si>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</si>
  <si>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</si>
  <si>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</si>
  <si>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</si>
  <si>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</si>
  <si>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</si>
  <si>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</si>
  <si>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</si>
  <si>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</si>
  <si>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</si>
  <si>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</si>
  <si>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</si>
  <si>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</si>
  <si>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</si>
  <si>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</si>
  <si>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</si>
  <si>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</si>
  <si>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</si>
  <si>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</si>
  <si>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</si>
  <si>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</si>
  <si>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</si>
  <si>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</si>
  <si>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</si>
  <si>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</si>
  <si>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</si>
  <si>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</si>
  <si>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</si>
  <si>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</si>
  <si>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</si>
  <si>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</si>
  <si>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</si>
  <si>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</si>
  <si>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</si>
  <si>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</si>
  <si>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</si>
  <si>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</si>
  <si>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</si>
  <si>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</si>
  <si>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</si>
  <si>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</si>
  <si>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</si>
  <si>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</si>
  <si>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</si>
  <si>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</si>
  <si>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</si>
  <si>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</si>
  <si>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</si>
  <si>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</si>
  <si>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</si>
  <si>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</si>
  <si>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</si>
  <si>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</si>
  <si>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</si>
  <si>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</si>
  <si>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</si>
  <si>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</si>
  <si>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</si>
  <si>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</si>
  <si>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</si>
  <si>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</si>
  <si>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</si>
  <si>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</si>
  <si>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</si>
  <si>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</si>
  <si>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</si>
  <si>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</si>
  <si>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</si>
  <si>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</si>
  <si>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</si>
  <si>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</si>
  <si>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</si>
  <si>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</si>
  <si>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</si>
  <si>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</si>
  <si>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</si>
  <si>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</si>
  <si>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</si>
  <si>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</si>
  <si>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</si>
  <si>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</si>
  <si>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</si>
  <si>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</si>
  <si>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</si>
  <si>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</si>
  <si>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</si>
  <si>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</si>
  <si>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</si>
  <si>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</si>
  <si>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</si>
  <si>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</si>
  <si>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</si>
  <si>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</si>
  <si>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</si>
  <si>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</si>
  <si>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</si>
  <si>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</si>
  <si>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</si>
  <si>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</si>
  <si>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</si>
  <si>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</si>
  <si>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</si>
  <si>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</si>
  <si>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</si>
  <si>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</si>
  <si>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</si>
  <si>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</si>
  <si>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</si>
  <si>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</si>
  <si>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</si>
  <si>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</si>
  <si>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</si>
  <si>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</si>
  <si>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</si>
  <si>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</si>
  <si>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</si>
  <si>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</si>
  <si>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</si>
  <si>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</si>
  <si>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</si>
  <si>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</si>
  <si>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</si>
  <si>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</si>
  <si>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</si>
  <si>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</si>
  <si>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</si>
  <si>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</si>
  <si>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</si>
  <si>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</si>
  <si>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</si>
  <si>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</si>
  <si>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</si>
  <si>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</si>
  <si>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</si>
  <si>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</si>
  <si>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</si>
  <si>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</si>
  <si>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</si>
  <si>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</si>
  <si>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</si>
  <si>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</si>
  <si>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</si>
  <si>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</si>
  <si>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</si>
  <si>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</si>
  <si>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</si>
  <si>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</si>
  <si>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</si>
  <si>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</si>
  <si>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</si>
  <si>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</si>
  <si>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</si>
  <si>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</si>
  <si>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</si>
  <si>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</si>
  <si>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</si>
  <si>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</si>
  <si>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</si>
  <si>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</si>
  <si>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</si>
  <si>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</si>
  <si>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</si>
  <si>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</si>
  <si>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</si>
  <si>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</si>
  <si>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</si>
  <si>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</si>
  <si>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</si>
  <si>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</si>
  <si>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</si>
  <si>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</si>
  <si>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</si>
  <si>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</si>
  <si>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</si>
  <si>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</si>
  <si>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</si>
  <si>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</si>
  <si>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</si>
  <si>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</si>
  <si>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</si>
  <si>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</si>
  <si>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</si>
  <si>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</si>
  <si>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</si>
  <si>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</si>
  <si>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</si>
  <si>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</si>
  <si>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</si>
  <si>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</si>
  <si>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</si>
  <si>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</si>
  <si>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</si>
  <si>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</si>
  <si>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</si>
  <si>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</si>
  <si>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</si>
  <si>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</si>
  <si>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</si>
  <si>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</si>
  <si>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</si>
  <si>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</si>
  <si>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</si>
  <si>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</si>
  <si>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</si>
  <si>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</si>
  <si>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</si>
  <si>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</si>
  <si>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</si>
  <si>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</si>
  <si>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</si>
  <si>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</si>
  <si>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</si>
  <si>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</si>
  <si>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</si>
  <si>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</si>
  <si>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</si>
  <si>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</si>
  <si>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</si>
  <si>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</si>
  <si>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</si>
  <si>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</si>
  <si>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</si>
  <si>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</si>
  <si>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</si>
  <si>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</si>
  <si>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</si>
  <si>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</si>
  <si>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</si>
  <si>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</si>
  <si>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</si>
  <si>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</si>
  <si>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</si>
  <si>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</si>
  <si>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</si>
  <si>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</si>
  <si>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</si>
  <si>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</si>
  <si>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</si>
  <si>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</si>
  <si>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</si>
  <si>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</si>
  <si>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</si>
  <si>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</si>
  <si>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</si>
  <si>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</si>
  <si>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</si>
  <si>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</si>
  <si>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</si>
  <si>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</si>
  <si>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</si>
  <si>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</si>
  <si>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</si>
  <si>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</si>
  <si>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</si>
  <si>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</si>
  <si>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</si>
  <si>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</si>
  <si>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</si>
  <si>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</si>
  <si>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</si>
  <si>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</si>
  <si>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</si>
  <si>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</si>
  <si>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</si>
  <si>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</si>
  <si>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</si>
  <si>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</si>
  <si>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</si>
  <si>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</si>
  <si>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</si>
  <si>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</si>
  <si>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</si>
  <si>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</si>
  <si>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</si>
  <si>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</si>
  <si>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</si>
  <si>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</si>
  <si>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</si>
  <si>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</si>
  <si>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</si>
  <si>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</si>
  <si>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</si>
  <si>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</si>
  <si>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</si>
  <si>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</si>
  <si>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</si>
  <si>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</si>
  <si>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</si>
  <si>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</si>
  <si>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</si>
  <si>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</si>
  <si>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</si>
  <si>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</si>
  <si>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</si>
  <si>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</si>
  <si>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</si>
  <si>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</si>
  <si>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</si>
  <si>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</si>
  <si>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</si>
  <si>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</si>
  <si>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</si>
  <si>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</si>
  <si>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</si>
  <si>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</si>
  <si>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</si>
  <si>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</si>
  <si>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</si>
  <si>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</si>
  <si>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</si>
  <si>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</si>
  <si>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</si>
  <si>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</si>
  <si>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</si>
  <si>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</si>
  <si>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</si>
  <si>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</si>
  <si>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</si>
  <si>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</si>
  <si>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</si>
  <si>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</si>
  <si>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</si>
  <si>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</si>
  <si>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</si>
  <si>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</si>
  <si>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</si>
  <si>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</si>
  <si>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</si>
  <si>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</si>
  <si>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</si>
  <si>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</si>
  <si>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</si>
  <si>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</si>
  <si>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</si>
  <si>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</si>
  <si>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</si>
  <si>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</si>
  <si>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</si>
  <si>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</si>
  <si>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</si>
  <si>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</si>
  <si>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</si>
  <si>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</si>
  <si>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</si>
  <si>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</si>
  <si>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</si>
  <si>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</si>
  <si>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</si>
  <si>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</si>
  <si>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</si>
  <si>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</si>
  <si>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</si>
  <si>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</si>
  <si>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</si>
  <si>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</si>
  <si>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</si>
  <si>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</si>
  <si>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</si>
  <si>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</si>
  <si>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</si>
  <si>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</si>
  <si>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</si>
  <si>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</si>
  <si>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</si>
  <si>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</si>
  <si>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</si>
  <si>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</si>
  <si>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</si>
  <si>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</si>
  <si>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</si>
  <si>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</si>
  <si>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</si>
  <si>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</si>
  <si>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</si>
  <si>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</si>
  <si>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</si>
  <si>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</si>
  <si>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</si>
  <si>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</si>
  <si>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</si>
  <si>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</si>
  <si>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</si>
  <si>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</si>
  <si>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</si>
  <si>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</si>
  <si>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</si>
  <si>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</si>
  <si>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</si>
  <si>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</si>
  <si>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</si>
  <si>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</si>
  <si>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</si>
  <si>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</si>
  <si>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</si>
  <si>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</si>
  <si>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</si>
  <si>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</si>
  <si>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</si>
  <si>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</si>
  <si>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</si>
  <si>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</si>
  <si>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</si>
  <si>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</si>
  <si>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</si>
  <si>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</si>
  <si>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</si>
  <si>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</si>
  <si>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</si>
  <si>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</si>
  <si>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</si>
  <si>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</si>
  <si>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</si>
  <si>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</si>
  <si>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</si>
  <si>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</si>
  <si>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</si>
  <si>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</si>
  <si>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</si>
  <si>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</si>
  <si>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</si>
  <si>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</si>
  <si>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</si>
  <si>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</si>
  <si>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</si>
  <si>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</si>
  <si>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</si>
  <si>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</si>
  <si>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</si>
  <si>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</si>
  <si>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</si>
  <si>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</si>
  <si>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</si>
  <si>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</si>
  <si>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</si>
  <si>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</si>
  <si>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</si>
  <si>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</si>
  <si>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</si>
  <si>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</si>
  <si>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</si>
  <si>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</si>
  <si>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</si>
  <si>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</si>
  <si>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</si>
  <si>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</si>
  <si>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</si>
  <si>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</si>
  <si>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</si>
  <si>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</si>
  <si>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</si>
  <si>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</si>
  <si>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</si>
  <si>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</si>
  <si>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</si>
  <si>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</si>
  <si>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</si>
  <si>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</si>
  <si>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</si>
  <si>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</si>
  <si>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</si>
  <si>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</si>
  <si>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</si>
  <si>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</si>
  <si>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</si>
  <si>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</si>
  <si>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</si>
  <si>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</si>
  <si>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</si>
  <si>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</si>
  <si>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</si>
  <si>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</si>
  <si>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</si>
  <si>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</si>
  <si>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</si>
  <si>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</si>
  <si>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</si>
  <si>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</si>
  <si>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</si>
  <si>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</si>
  <si>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</si>
  <si>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</si>
  <si>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</si>
  <si>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</si>
  <si>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</si>
  <si>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</si>
  <si>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</si>
  <si>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</si>
  <si>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</si>
  <si>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</si>
  <si>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</si>
  <si>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</si>
  <si>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</si>
  <si>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</si>
  <si>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</si>
  <si>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</si>
  <si>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</si>
  <si>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</si>
  <si>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</si>
  <si>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</si>
  <si>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</si>
  <si>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</si>
  <si>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</si>
  <si>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</si>
  <si>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</si>
  <si>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</si>
  <si>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</si>
  <si>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</si>
  <si>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</si>
  <si>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</si>
  <si>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</si>
  <si>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</si>
  <si>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</si>
  <si>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</si>
  <si>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</si>
  <si>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</si>
  <si>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</si>
  <si>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</si>
  <si>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</si>
  <si>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</si>
  <si>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</si>
  <si>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</si>
  <si>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</si>
  <si>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</si>
  <si>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</si>
  <si>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</si>
  <si>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</si>
  <si>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</si>
  <si>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</si>
  <si>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</si>
  <si>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</si>
  <si>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</si>
  <si>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</si>
  <si>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</si>
  <si>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</si>
  <si>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</si>
  <si>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</si>
  <si>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</si>
  <si>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</si>
  <si>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</si>
  <si>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</si>
  <si>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</si>
  <si>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</si>
  <si>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</si>
  <si>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</si>
  <si>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</si>
  <si>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</si>
  <si>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</si>
  <si>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</si>
  <si>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</si>
  <si>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</si>
  <si>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</si>
  <si>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</si>
  <si>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</si>
  <si>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</si>
  <si>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</si>
  <si>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</si>
  <si>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</si>
  <si>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</si>
  <si>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</si>
  <si>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</si>
  <si>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</si>
  <si>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</si>
  <si>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</si>
  <si>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</si>
  <si>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</si>
  <si>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</si>
  <si>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</si>
  <si>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</si>
  <si>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</si>
  <si>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</si>
  <si>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</si>
  <si>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</si>
  <si>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</si>
  <si>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</si>
  <si>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</si>
  <si>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</si>
  <si>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</si>
  <si>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</si>
  <si>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</si>
  <si>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</si>
  <si>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</si>
  <si>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</si>
  <si>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</si>
  <si>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</si>
  <si>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</si>
  <si>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</si>
  <si>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</si>
  <si>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</si>
  <si>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</si>
  <si>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</si>
  <si>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</si>
  <si>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</si>
  <si>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</si>
  <si>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</si>
  <si>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</si>
  <si>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</si>
  <si>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</si>
  <si>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</si>
  <si>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</si>
  <si>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</si>
  <si>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</si>
  <si>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</si>
  <si>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</si>
  <si>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</si>
  <si>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</si>
  <si>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</si>
  <si>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</si>
  <si>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</si>
  <si>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</si>
  <si>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</si>
  <si>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</si>
  <si>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</si>
  <si>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</si>
  <si>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</si>
  <si>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</si>
  <si>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</si>
  <si>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</si>
  <si>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</si>
  <si>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</si>
  <si>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</si>
  <si>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</si>
  <si>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</si>
  <si>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</si>
  <si>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</si>
  <si>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</si>
  <si>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</si>
  <si>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</si>
  <si>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</si>
  <si>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</si>
  <si>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</si>
  <si>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</si>
  <si>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</si>
  <si>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</si>
  <si>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</si>
  <si>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</si>
  <si>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</si>
  <si>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</si>
  <si>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</si>
  <si>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</si>
  <si>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</si>
  <si>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</si>
  <si>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</si>
  <si>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</si>
  <si>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</si>
  <si>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</si>
  <si>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</si>
  <si>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</si>
  <si>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</si>
  <si>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</si>
  <si>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</si>
  <si>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</si>
  <si>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</si>
  <si>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</si>
  <si>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</si>
  <si>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</si>
  <si>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</si>
  <si>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</si>
  <si>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</si>
  <si>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</si>
  <si>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</si>
  <si>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</si>
  <si>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</si>
  <si>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</si>
  <si>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</si>
  <si>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</si>
  <si>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</si>
  <si>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</si>
  <si>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</si>
  <si>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</si>
  <si>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</si>
  <si>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</si>
  <si>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</si>
  <si>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</si>
  <si>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</si>
  <si>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</si>
  <si>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</si>
  <si>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</si>
  <si>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</si>
  <si>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</si>
  <si>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</si>
  <si>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</si>
  <si>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</si>
  <si>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</si>
  <si>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</si>
  <si>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</si>
  <si>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</si>
  <si>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</si>
  <si>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</si>
  <si>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</si>
  <si>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</si>
  <si>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</si>
  <si>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</si>
  <si>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</si>
  <si>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</si>
  <si>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</si>
  <si>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</si>
  <si>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</si>
  <si>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</si>
  <si>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</si>
  <si>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</si>
  <si>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</si>
  <si>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</si>
  <si>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</si>
  <si>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</si>
  <si>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</si>
  <si>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</si>
  <si>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</si>
  <si>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</si>
  <si>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</si>
  <si>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</si>
  <si>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</si>
  <si>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</si>
  <si>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</si>
  <si>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</si>
  <si>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</si>
  <si>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</si>
  <si>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</si>
  <si>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</si>
  <si>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</si>
  <si>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</si>
  <si>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</si>
  <si>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</si>
  <si>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</si>
  <si>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</si>
  <si>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</si>
  <si>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</si>
  <si>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</si>
  <si>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</si>
  <si>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</si>
  <si>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</si>
  <si>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</si>
  <si>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</si>
  <si>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</si>
  <si>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</si>
  <si>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</si>
  <si>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</si>
  <si>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</si>
  <si>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</si>
  <si>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</si>
  <si>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</si>
  <si>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</si>
  <si>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</si>
  <si>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</si>
  <si>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</si>
  <si>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</si>
  <si>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</si>
  <si>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</si>
  <si>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</si>
  <si>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</si>
  <si>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</si>
  <si>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</si>
  <si>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</si>
  <si>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</si>
  <si>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</si>
  <si>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</si>
  <si>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</si>
  <si>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</si>
  <si>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</si>
  <si>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</si>
  <si>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</si>
  <si>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</si>
  <si>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</si>
  <si>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</si>
  <si>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</si>
  <si>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</si>
  <si>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</si>
  <si>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</si>
  <si>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</si>
  <si>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</si>
  <si>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</si>
  <si>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</si>
  <si>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</si>
  <si>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</si>
  <si>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</si>
  <si>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</si>
  <si>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</si>
  <si>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</si>
  <si>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</si>
  <si>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</si>
  <si>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</si>
  <si>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</si>
  <si>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</si>
  <si>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</si>
  <si>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</si>
  <si>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</si>
  <si>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</si>
  <si>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</si>
  <si>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</si>
  <si>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</si>
  <si>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</si>
  <si>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</si>
  <si>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</si>
  <si>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</si>
  <si>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</si>
  <si>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</si>
  <si>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</si>
  <si>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</si>
  <si>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</si>
  <si>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</si>
  <si>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</si>
  <si>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</si>
  <si>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</si>
  <si>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</si>
  <si>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</si>
  <si>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</si>
  <si>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</si>
  <si>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</si>
  <si>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</si>
  <si>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</si>
  <si>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</si>
  <si>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</si>
  <si>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</si>
  <si>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</si>
  <si>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</si>
  <si>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</si>
  <si>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</si>
  <si>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</si>
  <si>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</si>
  <si>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</si>
  <si>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</si>
  <si>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</si>
  <si>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</si>
  <si>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</si>
  <si>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</si>
  <si>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</si>
  <si>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</si>
  <si>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</si>
  <si>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</si>
  <si>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</si>
  <si>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</si>
  <si>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</si>
  <si>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</si>
  <si>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</si>
  <si>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</si>
  <si>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</si>
  <si>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</si>
  <si>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</si>
  <si>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</si>
  <si>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</si>
  <si>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</si>
  <si>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</si>
  <si>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</si>
  <si>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</si>
  <si>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</si>
  <si>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</si>
  <si>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</si>
  <si>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</si>
  <si>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</si>
  <si>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</si>
  <si>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</si>
  <si>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</si>
  <si>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</si>
  <si>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</si>
  <si>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</si>
  <si>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</si>
  <si>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</si>
  <si>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</si>
  <si>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</si>
  <si>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</si>
  <si>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</si>
  <si>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</si>
  <si>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</si>
  <si>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</si>
  <si>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</si>
  <si>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</si>
  <si>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</si>
  <si>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</si>
  <si>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</si>
  <si>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</si>
  <si>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</si>
  <si>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</si>
  <si>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</si>
  <si>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</si>
  <si>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</si>
  <si>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</si>
  <si>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</si>
  <si>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</si>
  <si>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</si>
  <si>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</si>
  <si>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</si>
  <si>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</si>
  <si>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</si>
  <si>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</si>
  <si>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</si>
  <si>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</si>
  <si>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</si>
  <si>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</si>
  <si>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</si>
  <si>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</si>
  <si>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</si>
  <si>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</si>
  <si>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</si>
  <si>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</si>
  <si>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</si>
  <si>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</si>
  <si>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</si>
  <si>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</si>
  <si>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</si>
  <si>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</si>
  <si>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</si>
  <si>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</si>
  <si>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</si>
  <si>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</si>
  <si>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</si>
  <si>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</si>
  <si>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</si>
  <si>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</si>
  <si>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</si>
  <si>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</si>
  <si>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</si>
  <si>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</si>
  <si>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</si>
  <si>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</si>
  <si>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</si>
  <si>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</si>
  <si>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</si>
  <si>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</si>
  <si>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</si>
  <si>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</si>
  <si>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</si>
  <si>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</si>
  <si>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</si>
  <si>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</si>
  <si>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</si>
  <si>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</si>
  <si>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</si>
  <si>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</si>
  <si>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</si>
  <si>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</si>
  <si>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</si>
  <si>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</si>
  <si>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</si>
  <si>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</si>
  <si>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</si>
  <si>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</si>
  <si>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</si>
  <si>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</si>
  <si>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</si>
  <si>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</si>
  <si>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</si>
  <si>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</si>
  <si>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</si>
  <si>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</si>
  <si>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</si>
  <si>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</si>
  <si>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</si>
  <si>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</si>
  <si>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</si>
  <si>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</si>
  <si>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</si>
  <si>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</si>
  <si>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</si>
  <si>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</si>
  <si>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</si>
  <si>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</si>
  <si>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</si>
  <si>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</si>
  <si>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</si>
  <si>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</si>
  <si>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</si>
  <si>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</si>
  <si>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</si>
  <si>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</si>
  <si>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</si>
  <si>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</si>
  <si>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</si>
  <si>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</si>
  <si>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</si>
  <si>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</si>
  <si>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</si>
  <si>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</si>
  <si>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</si>
  <si>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</si>
  <si>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</si>
  <si>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</si>
  <si>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</si>
  <si>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</si>
  <si>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</si>
  <si>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</si>
  <si>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</si>
  <si>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</si>
  <si>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</si>
  <si>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</si>
  <si>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</si>
  <si>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</si>
  <si>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</si>
  <si>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</si>
  <si>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</si>
  <si>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</si>
  <si>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</si>
  <si>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</si>
  <si>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</si>
  <si>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</si>
  <si>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</si>
  <si>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</si>
  <si>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</si>
  <si>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</si>
  <si>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</si>
  <si>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</si>
  <si>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</si>
  <si>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</si>
  <si>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</si>
  <si>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</si>
  <si>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</si>
  <si>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</si>
  <si>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</si>
  <si>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</si>
  <si>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</si>
  <si>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</si>
  <si>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</si>
  <si>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</si>
  <si>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</si>
  <si>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</si>
  <si>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</si>
  <si>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</si>
  <si>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</si>
  <si>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</si>
  <si>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</si>
  <si>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</si>
  <si>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</si>
  <si>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</si>
  <si>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</si>
  <si>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</si>
  <si>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</si>
  <si>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</si>
  <si>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</si>
  <si>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</si>
  <si>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</si>
  <si>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</si>
  <si>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</si>
  <si>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</si>
  <si>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</si>
  <si>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</si>
  <si>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</si>
  <si>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</si>
  <si>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</si>
  <si>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</si>
  <si>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</si>
  <si>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</si>
  <si>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</si>
  <si>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</si>
  <si>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</si>
  <si>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</si>
  <si>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</si>
  <si>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</si>
  <si>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</si>
  <si>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</si>
  <si>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</si>
  <si>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</si>
  <si>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</si>
  <si>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</si>
  <si>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</si>
  <si>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</si>
  <si>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</si>
  <si>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</si>
  <si>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</si>
  <si>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</si>
  <si>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</si>
  <si>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</si>
  <si>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</si>
  <si>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</si>
  <si>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</si>
  <si>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</si>
  <si>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</si>
  <si>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</si>
  <si>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</si>
  <si>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</si>
  <si>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</si>
  <si>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</si>
  <si>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</si>
  <si>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</si>
  <si>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</si>
  <si>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</si>
  <si>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</si>
  <si>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</si>
  <si>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</si>
  <si>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</si>
  <si>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</si>
  <si>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</si>
  <si>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</si>
  <si>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</si>
  <si>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</si>
  <si>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</si>
  <si>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</si>
  <si>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</si>
  <si>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</si>
  <si>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</si>
  <si>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</si>
  <si>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</si>
  <si>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</si>
  <si>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</si>
  <si>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</si>
  <si>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</si>
  <si>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</si>
  <si>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</si>
  <si>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</si>
  <si>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</si>
  <si>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</si>
  <si>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</si>
  <si>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</si>
  <si>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</si>
  <si>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</si>
  <si>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</si>
  <si>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</si>
  <si>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</si>
  <si>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</si>
  <si>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</si>
  <si>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</si>
  <si>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</si>
  <si>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</si>
  <si>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</si>
  <si>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</si>
  <si>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</si>
  <si>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</si>
  <si>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</si>
  <si>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</si>
  <si>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</si>
  <si>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</si>
  <si>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</si>
  <si>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</si>
  <si>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</si>
  <si>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</si>
  <si>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</si>
  <si>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</si>
  <si>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</si>
  <si>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</si>
  <si>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</si>
  <si>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</si>
  <si>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</si>
  <si>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</si>
  <si>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</si>
  <si>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</si>
  <si>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</si>
  <si>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</si>
  <si>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</si>
  <si>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</si>
  <si>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</si>
  <si>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</si>
  <si>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</si>
  <si>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</si>
  <si>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</si>
  <si>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</si>
  <si>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</si>
  <si>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</si>
  <si>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</si>
  <si>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</si>
  <si>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</si>
  <si>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</si>
  <si>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</si>
  <si>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</si>
  <si>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</si>
  <si>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</si>
  <si>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</si>
  <si>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</si>
  <si>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</si>
  <si>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</si>
  <si>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</si>
  <si>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</si>
  <si>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</si>
  <si>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</si>
  <si>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</si>
  <si>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</si>
  <si>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</si>
  <si>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</si>
  <si>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</si>
  <si>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</si>
  <si>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</si>
  <si>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</si>
  <si>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</si>
  <si>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</si>
  <si>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</si>
  <si>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</si>
  <si>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</si>
  <si>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</si>
  <si>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</si>
  <si>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</si>
  <si>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</si>
  <si>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</si>
  <si>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</si>
  <si>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</si>
  <si>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</si>
  <si>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</si>
  <si>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</si>
  <si>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</si>
  <si>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</si>
  <si>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</si>
  <si>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</si>
  <si>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</si>
  <si>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</si>
  <si>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</si>
  <si>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</si>
  <si>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</si>
  <si>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</si>
  <si>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</si>
  <si>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</si>
  <si>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</si>
  <si>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</si>
  <si>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</si>
  <si>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</si>
  <si>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</si>
  <si>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</si>
  <si>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</si>
  <si>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</si>
  <si>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</si>
  <si>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</si>
  <si>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</si>
  <si>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</si>
  <si>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</si>
  <si>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</si>
  <si>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</si>
  <si>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</si>
  <si>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</si>
  <si>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</si>
  <si>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</si>
  <si>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</si>
  <si>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</si>
  <si>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</si>
  <si>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</si>
  <si>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</si>
  <si>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</si>
  <si>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</si>
  <si>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</si>
  <si>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</si>
  <si>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</si>
  <si>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</si>
  <si>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</si>
  <si>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</si>
  <si>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</si>
  <si>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</si>
  <si>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</si>
  <si>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</si>
  <si>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</si>
  <si>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</si>
  <si>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</si>
  <si>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</si>
  <si>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</si>
  <si>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</si>
  <si>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</si>
  <si>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</si>
  <si>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</si>
  <si>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</si>
  <si>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</si>
  <si>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</si>
  <si>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</si>
  <si>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</si>
  <si>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</si>
  <si>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</si>
  <si>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</si>
  <si>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</si>
  <si>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</si>
  <si>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</si>
  <si>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</si>
  <si>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</si>
  <si>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</si>
  <si>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</si>
  <si>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</si>
  <si>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</si>
  <si>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</si>
  <si>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</si>
  <si>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</si>
  <si>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</si>
  <si>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</si>
  <si>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</si>
  <si>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</si>
  <si>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</si>
  <si>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</si>
  <si>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</si>
  <si>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</si>
  <si>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</si>
  <si>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</si>
  <si>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</si>
  <si>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</si>
  <si>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</si>
  <si>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</si>
  <si>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</si>
  <si>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</si>
  <si>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</si>
  <si>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</si>
  <si>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</si>
  <si>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</si>
  <si>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</si>
  <si>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</si>
  <si>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</si>
  <si>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</si>
  <si>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</si>
  <si>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</si>
  <si>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</si>
  <si>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</si>
  <si>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</si>
  <si>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</si>
  <si>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</si>
  <si>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</si>
  <si>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</si>
  <si>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</si>
  <si>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</si>
  <si>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</si>
  <si>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</si>
  <si>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</si>
  <si>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</si>
  <si>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</si>
  <si>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</si>
  <si>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</si>
  <si>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</si>
  <si>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</si>
  <si>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</si>
  <si>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</si>
  <si>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</si>
  <si>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</si>
  <si>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</si>
  <si>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</si>
  <si>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</si>
  <si>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</si>
  <si>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</si>
  <si>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</si>
  <si>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</si>
  <si>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</si>
  <si>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</si>
  <si>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</si>
  <si>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</si>
  <si>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</si>
  <si>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</si>
  <si>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</si>
  <si>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</si>
  <si>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</si>
  <si>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</si>
  <si>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</si>
  <si>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</si>
  <si>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</si>
  <si>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</si>
  <si>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</si>
  <si>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</si>
  <si>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</si>
  <si>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</si>
  <si>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</si>
  <si>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</si>
  <si>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</si>
  <si>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</si>
  <si>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</si>
  <si>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</si>
  <si>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</si>
  <si>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</si>
  <si>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</si>
  <si>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</si>
  <si>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</si>
  <si>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</si>
  <si>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</si>
  <si>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</si>
  <si>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</si>
  <si>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</si>
  <si>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</si>
  <si>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</si>
  <si>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</si>
  <si>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</si>
  <si>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</si>
  <si>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</si>
  <si>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</si>
  <si>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</si>
  <si>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</si>
  <si>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</si>
  <si>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</si>
  <si>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</si>
  <si>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</si>
  <si>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</si>
  <si>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</si>
  <si>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</si>
  <si>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</si>
  <si>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</si>
  <si>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</si>
  <si>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</si>
  <si>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</si>
  <si>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</si>
  <si>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</si>
  <si>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</si>
  <si>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</si>
  <si>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</si>
  <si>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</si>
  <si>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</si>
  <si>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</si>
  <si>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</si>
  <si>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</si>
  <si>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</si>
  <si>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</si>
  <si>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</si>
  <si>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</si>
  <si>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</si>
  <si>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</si>
  <si>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</si>
  <si>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</si>
  <si>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</si>
  <si>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</si>
  <si>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</si>
  <si>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</si>
  <si>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</si>
  <si>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</si>
  <si>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</si>
  <si>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</si>
  <si>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</si>
  <si>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</si>
  <si>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</si>
  <si>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</si>
  <si>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</si>
  <si>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</si>
  <si>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</si>
  <si>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</si>
  <si>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</si>
  <si>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</si>
  <si>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</si>
  <si>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</si>
  <si>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</si>
  <si>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</si>
  <si>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</si>
  <si>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</si>
  <si>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</si>
  <si>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</si>
  <si>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</si>
  <si>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</si>
  <si>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</si>
  <si>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</si>
  <si>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</si>
  <si>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</si>
  <si>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</si>
  <si>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</si>
  <si>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</si>
  <si>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</si>
  <si>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</si>
  <si>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</si>
  <si>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</si>
  <si>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</si>
  <si>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</si>
  <si>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</si>
  <si>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</si>
  <si>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</si>
  <si>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</si>
  <si>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</si>
  <si>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</si>
  <si>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</si>
  <si>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</si>
  <si>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</si>
  <si>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</si>
  <si>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</si>
  <si>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</si>
  <si>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</si>
  <si>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</si>
  <si>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</si>
  <si>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</si>
  <si>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</si>
  <si>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</si>
  <si>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</si>
  <si>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</si>
  <si>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</si>
  <si>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</si>
  <si>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</si>
  <si>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</si>
  <si>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</si>
  <si>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</si>
  <si>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</si>
  <si>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</si>
  <si>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</si>
  <si>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</si>
  <si>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</si>
  <si>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</si>
  <si>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</si>
  <si>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</si>
  <si>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</si>
  <si>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</si>
  <si>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</si>
  <si>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</si>
  <si>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</si>
  <si>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</si>
  <si>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</si>
  <si>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</si>
  <si>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</si>
  <si>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</si>
  <si>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</si>
  <si>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</si>
  <si>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</si>
  <si>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</si>
  <si>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</si>
  <si>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</si>
  <si>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</si>
  <si>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</si>
  <si>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</si>
  <si>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</si>
  <si>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</si>
  <si>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</si>
  <si>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</si>
  <si>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</si>
  <si>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</si>
  <si>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</si>
  <si>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</si>
  <si>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</si>
  <si>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</si>
  <si>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</si>
  <si>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</si>
  <si>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</si>
  <si>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</si>
  <si>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</si>
  <si>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</si>
  <si>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</si>
  <si>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</si>
  <si>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</si>
  <si>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</si>
  <si>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</si>
  <si>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</si>
  <si>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</si>
  <si>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</si>
  <si>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</si>
  <si>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</si>
  <si>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</si>
  <si>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</si>
  <si>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</si>
  <si>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</si>
  <si>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</si>
  <si>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</si>
  <si>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</si>
  <si>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</si>
  <si>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</si>
  <si>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</si>
  <si>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</si>
  <si>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</si>
  <si>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</si>
  <si>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</si>
  <si>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</si>
  <si>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</si>
  <si>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</si>
  <si>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</si>
  <si>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</si>
  <si>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</si>
  <si>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</si>
  <si>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</si>
  <si>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</si>
  <si>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</si>
  <si>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</si>
  <si>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</si>
  <si>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</si>
  <si>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</si>
  <si>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</si>
  <si>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</si>
  <si>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</si>
  <si>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</si>
  <si>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</si>
  <si>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</si>
  <si>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</si>
  <si>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</si>
  <si>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</si>
  <si>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</si>
  <si>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</si>
  <si>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</si>
  <si>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</si>
  <si>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</si>
  <si>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</si>
  <si>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</si>
  <si>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</si>
  <si>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</si>
  <si>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</si>
  <si>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</si>
  <si>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</si>
  <si>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</si>
  <si>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</si>
  <si>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</si>
  <si>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</si>
  <si>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</si>
  <si>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</si>
  <si>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</si>
  <si>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</si>
  <si>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</si>
  <si>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</si>
  <si>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</si>
  <si>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</si>
  <si>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</si>
  <si>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</si>
  <si>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</si>
  <si>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</si>
  <si>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</si>
  <si>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</si>
  <si>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</si>
  <si>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</si>
  <si>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</si>
  <si>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</si>
  <si>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</si>
  <si>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</si>
  <si>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</si>
  <si>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</si>
  <si>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</si>
  <si>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</si>
  <si>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</si>
  <si>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</si>
  <si>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</si>
  <si>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</si>
  <si>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</si>
  <si>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</si>
  <si>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</si>
  <si>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</si>
  <si>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</si>
  <si>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</si>
  <si>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</si>
  <si>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</si>
  <si>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</si>
  <si>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</si>
  <si>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</si>
  <si>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</si>
  <si>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</si>
  <si>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</si>
  <si>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</si>
  <si>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</si>
  <si>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</si>
  <si>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</si>
  <si>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</si>
  <si>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</si>
  <si>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</si>
  <si>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</si>
  <si>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</si>
  <si>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</si>
  <si>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</si>
  <si>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</si>
  <si>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</si>
  <si>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</si>
  <si>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</si>
  <si>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</si>
  <si>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</si>
  <si>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</si>
  <si>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</si>
  <si>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</si>
  <si>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</si>
  <si>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</si>
  <si>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</si>
  <si>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</si>
  <si>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</si>
  <si>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</si>
  <si>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</si>
  <si>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</si>
  <si>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</si>
  <si>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</si>
  <si>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</si>
  <si>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</si>
  <si>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</si>
  <si>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</si>
  <si>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</si>
  <si>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</si>
  <si>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</si>
  <si>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</si>
  <si>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</si>
  <si>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</si>
  <si>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</si>
  <si>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</si>
  <si>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</si>
  <si>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</si>
  <si>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</si>
  <si>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</si>
  <si>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</si>
  <si>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</si>
  <si>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</si>
  <si>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</si>
  <si>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</si>
  <si>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</si>
  <si>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</si>
  <si>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</si>
  <si>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</si>
  <si>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</si>
  <si>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</si>
  <si>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</si>
  <si>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</si>
  <si>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</si>
  <si>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</si>
  <si>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</si>
  <si>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</si>
  <si>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</si>
  <si>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</si>
  <si>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</si>
  <si>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</si>
  <si>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</si>
  <si>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</si>
  <si>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</si>
  <si>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</si>
  <si>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</si>
  <si>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</si>
  <si>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</si>
  <si>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</si>
  <si>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</si>
  <si>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</si>
  <si>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</si>
  <si>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</si>
  <si>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</si>
  <si>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</si>
  <si>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</si>
  <si>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</si>
  <si>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</si>
  <si>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</si>
  <si>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</si>
  <si>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</si>
  <si>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</si>
  <si>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</si>
  <si>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</si>
  <si>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</si>
  <si>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</si>
  <si>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</si>
  <si>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</si>
  <si>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</si>
  <si>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</si>
  <si>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</si>
  <si>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</si>
  <si>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</si>
  <si>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</si>
  <si>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</si>
  <si>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</si>
  <si>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</si>
  <si>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</si>
  <si>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</si>
  <si>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</si>
  <si>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</si>
  <si>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</si>
  <si>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</si>
  <si>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</si>
  <si>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</si>
  <si>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</si>
  <si>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</si>
  <si>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</si>
  <si>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</si>
  <si>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</si>
  <si>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</si>
  <si>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</si>
  <si>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</si>
  <si>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</si>
  <si>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</si>
  <si>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</si>
  <si>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</si>
  <si>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</si>
  <si>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</si>
  <si>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</si>
  <si>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</si>
  <si>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</si>
  <si>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</si>
  <si>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</si>
  <si>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</si>
  <si>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</si>
  <si>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</si>
  <si>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</si>
  <si>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</si>
  <si>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</si>
  <si>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</si>
  <si>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</si>
  <si>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</si>
  <si>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</si>
  <si>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</si>
  <si>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</si>
  <si>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</si>
  <si>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</si>
  <si>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</si>
  <si>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</si>
  <si>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</si>
  <si>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</si>
  <si>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</si>
  <si>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</si>
  <si>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</si>
  <si>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</si>
  <si>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</si>
  <si>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</si>
  <si>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</si>
  <si>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</si>
  <si>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</si>
  <si>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</si>
  <si>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</si>
  <si>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</si>
  <si>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</si>
  <si>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</si>
  <si>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</si>
  <si>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</si>
  <si>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</si>
  <si>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</si>
  <si>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</si>
  <si>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</si>
  <si>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</si>
  <si>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</si>
  <si>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</si>
  <si>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</si>
  <si>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</si>
  <si>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</si>
  <si>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</si>
  <si>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</si>
  <si>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</si>
  <si>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</si>
  <si>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</si>
  <si>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</si>
  <si>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</si>
  <si>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</si>
  <si>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</si>
  <si>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</si>
  <si>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</si>
  <si>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</si>
  <si>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</si>
  <si>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</si>
  <si>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</si>
  <si>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</si>
  <si>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</si>
  <si>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</si>
  <si>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</si>
  <si>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</si>
  <si>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</si>
  <si>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</si>
  <si>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</si>
  <si>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</si>
  <si>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</si>
  <si>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</si>
  <si>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</si>
  <si>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</si>
  <si>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</si>
  <si>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</si>
  <si>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</si>
  <si>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</si>
  <si>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</si>
  <si>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</si>
  <si>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</si>
  <si>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</si>
  <si>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</si>
  <si>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</si>
  <si>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</si>
  <si>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</si>
  <si>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</si>
  <si>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</si>
  <si>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</si>
  <si>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</si>
  <si>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</si>
  <si>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</si>
  <si>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</si>
  <si>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</si>
  <si>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</si>
  <si>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</si>
  <si>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</si>
  <si>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</si>
  <si>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</si>
  <si>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</si>
  <si>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</si>
  <si>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</si>
  <si>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</si>
  <si>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</si>
  <si>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</si>
  <si>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</si>
  <si>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</si>
  <si>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</si>
  <si>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</si>
  <si>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</si>
  <si>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</si>
  <si>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</si>
  <si>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</si>
  <si>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</si>
  <si>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</si>
  <si>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</si>
  <si>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</si>
  <si>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</si>
  <si>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</si>
  <si>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</si>
  <si>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</si>
  <si>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</si>
  <si>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</si>
  <si>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</si>
  <si>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</si>
  <si>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</si>
  <si>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</si>
  <si>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</si>
  <si>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</si>
  <si>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</si>
  <si>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</si>
  <si>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</si>
  <si>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</si>
  <si>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</si>
  <si>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</si>
  <si>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</si>
  <si>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</si>
  <si>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</si>
  <si>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</si>
  <si>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</si>
  <si>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</si>
  <si>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</si>
  <si>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</si>
  <si>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</si>
  <si>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</si>
  <si>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</si>
  <si>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</si>
  <si>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</si>
  <si>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</si>
  <si>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</si>
  <si>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</si>
  <si>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</si>
  <si>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</si>
  <si>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</si>
  <si>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</si>
  <si>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</si>
  <si>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</si>
  <si>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</si>
  <si>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</si>
  <si>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</si>
  <si>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</si>
  <si>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</si>
  <si>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</si>
  <si>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</si>
  <si>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</si>
  <si>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</si>
  <si>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</si>
  <si>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</si>
  <si>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</si>
  <si>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</si>
  <si>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</si>
  <si>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</si>
  <si>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</si>
  <si>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</si>
  <si>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</si>
  <si>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</si>
  <si>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</si>
  <si>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</si>
  <si>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</si>
  <si>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</si>
  <si>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</si>
  <si>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</si>
  <si>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</si>
  <si>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</si>
  <si>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</si>
  <si>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</si>
  <si>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</si>
  <si>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</si>
  <si>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</si>
  <si>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</si>
  <si>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</si>
  <si>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</si>
  <si>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</si>
  <si>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</si>
  <si>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</si>
  <si>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</si>
  <si>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</si>
  <si>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</si>
  <si>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</si>
  <si>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</si>
  <si>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</si>
  <si>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</si>
  <si>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</si>
  <si>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</si>
  <si>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</si>
  <si>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</si>
  <si>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</si>
  <si>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</si>
  <si>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</si>
  <si>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</si>
  <si>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</si>
  <si>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</si>
  <si>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</si>
  <si>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</si>
  <si>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</si>
  <si>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</si>
  <si>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</si>
  <si>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</si>
  <si>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</si>
  <si>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</si>
  <si>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</si>
  <si>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</si>
  <si>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</si>
  <si>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</si>
  <si>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</si>
  <si>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</si>
  <si>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</si>
  <si>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</si>
  <si>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</si>
  <si>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</si>
  <si>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</si>
  <si>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</si>
  <si>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</si>
  <si>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</si>
  <si>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</si>
  <si>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</si>
  <si>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</si>
  <si>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</si>
  <si>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</si>
  <si>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</si>
  <si>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</si>
  <si>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</si>
  <si>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</si>
  <si>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</si>
  <si>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</si>
  <si>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</si>
  <si>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</si>
  <si>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</si>
  <si>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</si>
  <si>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</si>
  <si>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</si>
  <si>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</si>
  <si>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</si>
  <si>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</si>
  <si>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</si>
  <si>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</si>
  <si>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</si>
  <si>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</si>
  <si>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</si>
  <si>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</si>
  <si>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</si>
  <si>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</si>
  <si>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</si>
  <si>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</si>
  <si>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</si>
  <si>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</si>
  <si>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</si>
  <si>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</si>
  <si>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</si>
  <si>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</si>
  <si>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</si>
  <si>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</si>
  <si>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</si>
  <si>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</si>
  <si>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</si>
  <si>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</si>
  <si>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</si>
  <si>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</si>
  <si>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</si>
  <si>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</si>
  <si>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</si>
  <si>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</si>
  <si>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</si>
  <si>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</si>
  <si>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</si>
  <si>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</si>
  <si>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</si>
  <si>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</si>
  <si>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</si>
  <si>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</si>
  <si>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</si>
  <si>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</si>
  <si>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</si>
  <si>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</si>
  <si>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</si>
  <si>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</si>
  <si>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</si>
  <si>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</si>
  <si>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</si>
  <si>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</si>
  <si>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</si>
  <si>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</si>
  <si>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</si>
  <si>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</si>
  <si>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</si>
  <si>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</si>
  <si>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</si>
  <si>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</si>
  <si>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</si>
  <si>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</si>
  <si>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</si>
  <si>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</si>
  <si>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</si>
  <si>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</si>
  <si>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</si>
  <si>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</si>
  <si>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</si>
  <si>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</si>
  <si>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</si>
  <si>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</si>
  <si>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</si>
  <si>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</si>
  <si>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</si>
  <si>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</si>
  <si>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</si>
  <si>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</si>
  <si>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</si>
  <si>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</si>
  <si>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</si>
  <si>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</si>
  <si>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</si>
  <si>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</si>
  <si>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</si>
  <si>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</si>
  <si>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</si>
  <si>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</si>
  <si>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</si>
  <si>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</si>
  <si>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</si>
  <si>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</si>
  <si>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</si>
  <si>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</si>
  <si>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</si>
  <si>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</si>
  <si>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</si>
  <si>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</si>
  <si>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</si>
  <si>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</si>
  <si>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</si>
  <si>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</si>
  <si>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</si>
  <si>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</si>
  <si>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</si>
  <si>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</si>
  <si>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</si>
  <si>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</si>
  <si>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</si>
  <si>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</si>
  <si>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</si>
  <si>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</si>
  <si>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</si>
  <si>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</si>
  <si>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</si>
  <si>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</si>
  <si>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</si>
  <si>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</si>
  <si>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</si>
  <si>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</si>
  <si>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</si>
  <si>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</si>
  <si>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</si>
  <si>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</si>
  <si>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</si>
  <si>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</si>
  <si>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</si>
  <si>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</si>
  <si>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</si>
  <si>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</si>
  <si>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</si>
  <si>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</si>
  <si>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</si>
  <si>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</si>
  <si>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</si>
  <si>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</si>
  <si>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</si>
  <si>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</si>
  <si>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</si>
  <si>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</si>
  <si>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</si>
  <si>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</si>
  <si>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</si>
  <si>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</si>
  <si>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</si>
  <si>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</si>
  <si>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</si>
  <si>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</si>
  <si>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</si>
  <si>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</si>
  <si>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</si>
  <si>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</si>
  <si>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</si>
  <si>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</si>
  <si>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</si>
  <si>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</si>
  <si>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</si>
  <si>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</si>
  <si>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</si>
  <si>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</si>
  <si>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</si>
  <si>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</si>
  <si>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</si>
  <si>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</si>
  <si>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</si>
  <si>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</si>
  <si>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</si>
  <si>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</si>
  <si>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</si>
  <si>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</si>
  <si>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</si>
  <si>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</si>
  <si>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</si>
  <si>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</si>
  <si>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</si>
  <si>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</si>
  <si>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</si>
  <si>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</si>
  <si>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</si>
  <si>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</si>
  <si>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</si>
  <si>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</si>
  <si>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</si>
  <si>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</si>
  <si>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</si>
  <si>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</si>
  <si>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</si>
  <si>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</si>
  <si>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</si>
  <si>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</si>
  <si>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</si>
  <si>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</si>
  <si>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</si>
  <si>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</si>
  <si>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</si>
  <si>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</si>
  <si>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</si>
  <si>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</si>
  <si>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</si>
  <si>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</si>
  <si>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</si>
  <si>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</si>
  <si>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</si>
  <si>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</si>
  <si>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</si>
  <si>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</si>
  <si>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</si>
  <si>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</si>
  <si>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</si>
  <si>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</si>
  <si>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</si>
  <si>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</si>
  <si>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</si>
  <si>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</si>
  <si>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</si>
  <si>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</si>
  <si>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</si>
  <si>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</si>
  <si>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</si>
  <si>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</si>
  <si>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</si>
  <si>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</si>
  <si>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</si>
  <si>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</si>
  <si>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</si>
  <si>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</si>
  <si>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</si>
  <si>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</si>
  <si>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</si>
  <si>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</si>
  <si>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</si>
  <si>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</si>
  <si>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</si>
  <si>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</si>
  <si>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</si>
  <si>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</si>
  <si>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</si>
  <si>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</si>
  <si>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</si>
  <si>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</si>
  <si>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</si>
  <si>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</si>
  <si>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</si>
  <si>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</si>
  <si>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</si>
  <si>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</si>
  <si>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</si>
  <si>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</si>
  <si>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</si>
  <si>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</si>
  <si>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</si>
  <si>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</si>
  <si>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</si>
  <si>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</si>
  <si>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</si>
  <si>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</si>
  <si>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</si>
  <si>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</si>
  <si>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</si>
  <si>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</si>
  <si>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</si>
  <si>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</si>
  <si>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</si>
  <si>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</si>
  <si>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</si>
  <si>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</si>
  <si>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</si>
  <si>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</si>
  <si>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</si>
  <si>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</si>
  <si>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</si>
  <si>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</si>
  <si>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</si>
  <si>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</si>
  <si>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</si>
  <si>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</si>
  <si>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</si>
  <si>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</si>
  <si>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</si>
  <si>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</si>
  <si>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</si>
  <si>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</si>
  <si>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</si>
  <si>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</si>
  <si>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</si>
  <si>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</si>
  <si>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</si>
  <si>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</si>
  <si>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</si>
  <si>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</si>
  <si>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</si>
  <si>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</si>
  <si>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</si>
  <si>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</si>
  <si>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</si>
  <si>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</si>
  <si>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</si>
  <si>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</si>
  <si>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</si>
  <si>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</si>
  <si>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</si>
  <si>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</si>
  <si>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</si>
  <si>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</si>
  <si>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</si>
  <si>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</si>
  <si>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</si>
  <si>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</si>
  <si>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</si>
  <si>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</si>
  <si>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</si>
  <si>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</si>
  <si>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</si>
  <si>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</si>
  <si>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</si>
  <si>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</si>
  <si>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</si>
  <si>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</si>
  <si>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</si>
  <si>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</si>
  <si>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</si>
  <si>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</si>
  <si>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</si>
  <si>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</si>
  <si>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</si>
  <si>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</si>
  <si>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</si>
  <si>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</si>
  <si>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</si>
  <si>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</si>
  <si>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</si>
  <si>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</si>
  <si>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</si>
  <si>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</si>
  <si>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</si>
  <si>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</si>
  <si>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</si>
  <si>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</si>
  <si>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</si>
  <si>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</si>
  <si>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</si>
  <si>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</si>
  <si>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</si>
  <si>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</si>
  <si>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</si>
  <si>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</si>
  <si>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</si>
  <si>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</si>
  <si>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</si>
  <si>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</si>
  <si>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</si>
  <si>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</si>
  <si>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</si>
  <si>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</si>
  <si>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</si>
  <si>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</si>
  <si>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</si>
  <si>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</si>
  <si>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</si>
  <si>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</si>
  <si>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</si>
  <si>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</si>
  <si>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</si>
  <si>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</si>
  <si>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</si>
  <si>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</si>
  <si>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</si>
  <si>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</si>
  <si>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</si>
  <si>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</si>
  <si>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</si>
  <si>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</si>
  <si>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</si>
  <si>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</si>
  <si>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</si>
  <si>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</si>
  <si>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</si>
  <si>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</si>
  <si>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</si>
  <si>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</si>
  <si>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</si>
  <si>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</si>
  <si>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</si>
  <si>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</si>
  <si>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</si>
  <si>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</si>
  <si>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</si>
  <si>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</si>
  <si>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</si>
  <si>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</si>
  <si>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</si>
  <si>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</si>
  <si>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</si>
  <si>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</si>
  <si>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</si>
  <si>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</si>
  <si>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</si>
  <si>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</si>
  <si>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</si>
  <si>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</si>
  <si>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</si>
  <si>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</si>
  <si>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</si>
  <si>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</si>
  <si>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</si>
  <si>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</si>
  <si>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</si>
  <si>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</si>
  <si>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</si>
  <si>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</si>
  <si>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</si>
  <si>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</si>
  <si>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</si>
  <si>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</si>
  <si>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</si>
  <si>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</si>
  <si>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</si>
  <si>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</si>
  <si>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</si>
  <si>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</si>
  <si>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</si>
  <si>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</si>
  <si>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</si>
  <si>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</si>
  <si>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</si>
  <si>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</si>
  <si>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</si>
  <si>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</si>
  <si>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</si>
  <si>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</si>
  <si>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</si>
  <si>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</si>
  <si>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</si>
  <si>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</si>
  <si>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</si>
  <si>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</si>
  <si>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</si>
  <si>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</si>
  <si>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</si>
  <si>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</si>
  <si>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</si>
  <si>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</si>
  <si>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</si>
  <si>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</si>
  <si>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</si>
  <si>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</si>
  <si>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</si>
  <si>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</si>
  <si>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</si>
  <si>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</si>
  <si>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</si>
  <si>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</si>
  <si>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</si>
  <si>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</si>
  <si>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</si>
  <si>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</si>
  <si>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</si>
  <si>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</si>
  <si>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</si>
  <si>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</si>
  <si>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</si>
  <si>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</si>
  <si>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</si>
  <si>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</si>
  <si>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</si>
  <si>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</si>
  <si>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</si>
  <si>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</si>
  <si>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</si>
  <si>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</si>
  <si>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</si>
  <si>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</si>
  <si>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</si>
  <si>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</si>
  <si>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</si>
  <si>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</si>
  <si>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</si>
  <si>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</si>
  <si>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</si>
  <si>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</si>
  <si>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</si>
  <si>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</si>
  <si>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</si>
  <si>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</si>
  <si>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</si>
  <si>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</si>
  <si>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</si>
  <si>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</si>
  <si>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</si>
  <si>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</si>
  <si>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</si>
  <si>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</si>
  <si>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</si>
  <si>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</si>
  <si>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</si>
  <si>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</si>
  <si>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</si>
  <si>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</si>
  <si>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</si>
  <si>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</si>
  <si>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</si>
  <si>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</si>
  <si>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</si>
  <si>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</si>
  <si>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</si>
  <si>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</si>
  <si>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</si>
  <si>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</si>
  <si>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</si>
  <si>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</si>
  <si>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</si>
  <si>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</si>
  <si>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</si>
  <si>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</si>
  <si>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</si>
  <si>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</si>
  <si>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</si>
  <si>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</si>
  <si>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</si>
  <si>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</si>
  <si>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</si>
  <si>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</si>
  <si>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</si>
  <si>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</si>
  <si>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</si>
  <si>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</si>
  <si>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</si>
  <si>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</si>
  <si>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</si>
  <si>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</si>
  <si>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</si>
  <si>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</si>
  <si>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</si>
  <si>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</si>
  <si>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</si>
  <si>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</si>
  <si>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</si>
  <si>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</si>
  <si>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</si>
  <si>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</si>
  <si>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</si>
  <si>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</si>
  <si>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</si>
  <si>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</si>
  <si>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</si>
  <si>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</si>
  <si>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</si>
  <si>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</si>
  <si>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</si>
  <si>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</si>
  <si>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</si>
  <si>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</si>
  <si>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</si>
  <si>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</si>
  <si>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</si>
  <si>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</si>
  <si>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</si>
  <si>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</si>
  <si>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</si>
  <si>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</si>
  <si>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</si>
  <si>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</si>
  <si>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</si>
  <si>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</si>
  <si>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</si>
  <si>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</si>
  <si>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</si>
  <si>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</si>
  <si>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</si>
  <si>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</si>
  <si>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</si>
  <si>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</si>
  <si>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</si>
  <si>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</si>
  <si>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</si>
  <si>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</si>
  <si>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</si>
  <si>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</si>
  <si>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</si>
  <si>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</si>
  <si>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</si>
  <si>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</si>
  <si>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</si>
  <si>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</si>
  <si>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</si>
  <si>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</si>
  <si>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</si>
  <si>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</si>
  <si>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</si>
  <si>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</si>
  <si>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</si>
  <si>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</si>
  <si>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</si>
  <si>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</si>
  <si>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</si>
  <si>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</si>
  <si>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</si>
  <si>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</si>
  <si>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</si>
  <si>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</si>
  <si>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</si>
  <si>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</si>
  <si>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</si>
  <si>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</si>
  <si>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</si>
  <si>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</si>
  <si>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</si>
  <si>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</si>
  <si>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</si>
  <si>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</si>
  <si>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</si>
  <si>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</si>
  <si>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</si>
  <si>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</si>
  <si>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</si>
  <si>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</si>
  <si>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</si>
  <si>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</si>
  <si>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</si>
  <si>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</si>
  <si>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</si>
  <si>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</si>
  <si>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</si>
  <si>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</si>
  <si>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</si>
  <si>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</si>
  <si>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</si>
  <si>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</si>
  <si>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</si>
  <si>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</si>
  <si>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</si>
  <si>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</si>
  <si>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</si>
  <si>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</si>
  <si>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</si>
  <si>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</si>
  <si>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</si>
  <si>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</si>
  <si>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</si>
  <si>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</si>
  <si>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</si>
  <si>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</si>
  <si>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</si>
  <si>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</si>
  <si>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</si>
  <si>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</si>
  <si>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</si>
  <si>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</si>
  <si>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</si>
  <si>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</si>
  <si>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</si>
  <si>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</si>
  <si>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</si>
  <si>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</si>
  <si>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</si>
  <si>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</si>
  <si>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</si>
  <si>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</si>
  <si>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</si>
  <si>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</si>
  <si>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</si>
  <si>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</si>
  <si>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</si>
  <si>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</si>
  <si>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</si>
  <si>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</si>
  <si>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</si>
  <si>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</si>
  <si>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</si>
  <si>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</si>
  <si>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</si>
  <si>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</si>
  <si>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</si>
  <si>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</si>
  <si>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</si>
  <si>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</si>
  <si>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</si>
  <si>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</si>
  <si>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</si>
  <si>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</si>
  <si>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</si>
  <si>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</si>
  <si>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</si>
  <si>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</si>
  <si>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</si>
  <si>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</si>
  <si>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</si>
  <si>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</si>
  <si>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</si>
  <si>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</si>
  <si>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</si>
  <si>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</si>
  <si>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</si>
  <si>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</si>
  <si>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</si>
  <si>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</si>
  <si>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</si>
  <si>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</si>
  <si>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</si>
  <si>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</si>
  <si>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</si>
  <si>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</si>
  <si>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</si>
  <si>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</si>
  <si>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</si>
  <si>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</si>
  <si>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</si>
  <si>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</si>
  <si>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</si>
  <si>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</si>
  <si>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</si>
  <si>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</si>
  <si>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</si>
  <si>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</si>
  <si>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</si>
  <si>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</si>
  <si>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</si>
  <si>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</si>
  <si>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</si>
  <si>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</si>
  <si>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</si>
  <si>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</si>
  <si>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</si>
  <si>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</si>
  <si>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</si>
  <si>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</si>
  <si>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</si>
  <si>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</si>
  <si>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</si>
  <si>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</si>
  <si>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</si>
  <si>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</si>
  <si>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</si>
  <si>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</si>
  <si>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</si>
  <si>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</si>
  <si>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</si>
  <si>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</si>
  <si>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</si>
  <si>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</si>
  <si>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</si>
  <si>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</si>
  <si>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</si>
  <si>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</si>
  <si>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</si>
  <si>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</si>
  <si>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</si>
  <si>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</si>
  <si>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</si>
  <si>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</si>
  <si>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</si>
  <si>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</si>
  <si>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</si>
  <si>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</si>
  <si>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</si>
  <si>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</si>
  <si>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</si>
  <si>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</si>
  <si>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</si>
  <si>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</si>
  <si>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</si>
  <si>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</si>
  <si>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</si>
  <si>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</si>
  <si>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</si>
  <si>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</si>
  <si>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</si>
  <si>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</si>
  <si>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</si>
  <si>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</si>
  <si>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</si>
  <si>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</si>
  <si>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</si>
  <si>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</si>
  <si>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</si>
  <si>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</si>
  <si>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</si>
  <si>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</si>
  <si>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</si>
  <si>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</si>
  <si>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</si>
  <si>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</si>
  <si>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</si>
  <si>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</si>
  <si>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</si>
  <si>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</si>
  <si>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</si>
  <si>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</si>
  <si>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</si>
  <si>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</si>
  <si>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</si>
  <si>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</si>
  <si>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</si>
  <si>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</si>
  <si>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</si>
  <si>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</si>
  <si>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</si>
  <si>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</si>
  <si>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</si>
  <si>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</si>
  <si>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</si>
  <si>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</si>
  <si>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</si>
  <si>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</si>
  <si>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</si>
  <si>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</si>
  <si>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</si>
  <si>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</si>
  <si>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</si>
  <si>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</si>
  <si>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</si>
  <si>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</si>
  <si>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</si>
  <si>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</si>
  <si>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</si>
  <si>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</si>
  <si>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</si>
  <si>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</si>
  <si>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</si>
  <si>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</si>
  <si>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</si>
  <si>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</si>
  <si>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</si>
  <si>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</si>
  <si>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</si>
  <si>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</si>
  <si>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</si>
  <si>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</si>
  <si>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</si>
  <si>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</si>
  <si>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</si>
  <si>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</si>
  <si>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</si>
  <si>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</si>
  <si>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</si>
  <si>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</si>
  <si>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</si>
  <si>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</si>
  <si>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</si>
  <si>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</si>
  <si>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</si>
  <si>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</si>
  <si>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</si>
  <si>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</si>
  <si>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</si>
  <si>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</si>
  <si>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</si>
  <si>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</si>
  <si>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</si>
  <si>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</si>
  <si>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</si>
  <si>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</si>
  <si>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</si>
  <si>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</si>
  <si>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</si>
  <si>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</si>
  <si>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</si>
  <si>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</si>
  <si>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</si>
  <si>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</si>
  <si>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</si>
  <si>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</si>
  <si>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</si>
  <si>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</si>
  <si>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</si>
  <si>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</si>
  <si>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</si>
  <si>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</si>
  <si>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</si>
  <si>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</si>
  <si>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</si>
  <si>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</si>
  <si>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</si>
  <si>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</si>
  <si>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</si>
  <si>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</si>
  <si>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</si>
  <si>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</si>
  <si>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</si>
  <si>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</si>
  <si>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</si>
  <si>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</si>
  <si>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</si>
  <si>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</si>
  <si>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</si>
  <si>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</si>
  <si>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</si>
  <si>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</si>
  <si>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</si>
  <si>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</si>
  <si>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</si>
  <si>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</si>
  <si>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</si>
  <si>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</si>
  <si>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</si>
  <si>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</si>
  <si>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</si>
  <si>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</si>
  <si>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</si>
  <si>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</si>
  <si>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</si>
  <si>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</si>
  <si>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</si>
  <si>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</si>
  <si>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</si>
  <si>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</si>
  <si>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</si>
  <si>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</si>
  <si>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</si>
  <si>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</si>
  <si>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</si>
  <si>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</si>
  <si>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</si>
  <si>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</si>
  <si>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</si>
  <si>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</si>
  <si>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</si>
  <si>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</si>
  <si>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</si>
  <si>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</si>
  <si>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</si>
  <si>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</si>
  <si>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</si>
  <si>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</si>
  <si>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</si>
  <si>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</si>
  <si>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</si>
  <si>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</si>
  <si>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</si>
  <si>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</si>
  <si>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</si>
  <si>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</si>
  <si>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</si>
  <si>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</si>
  <si>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</si>
  <si>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</si>
  <si>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</si>
  <si>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</si>
  <si>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</si>
  <si>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</si>
  <si>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</si>
  <si>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</si>
  <si>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</si>
  <si>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</si>
  <si>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</si>
  <si>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</si>
  <si>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</si>
  <si>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</si>
  <si>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</si>
  <si>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</si>
  <si>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</si>
  <si>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</si>
  <si>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</si>
  <si>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</si>
  <si>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</si>
  <si>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</si>
  <si>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</si>
  <si>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</si>
  <si>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</si>
  <si>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</si>
  <si>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</si>
  <si>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</si>
  <si>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</si>
  <si>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</si>
  <si>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</si>
  <si>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</si>
  <si>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</si>
  <si>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</si>
  <si>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</si>
  <si>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</si>
  <si>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</si>
  <si>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</si>
  <si>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</si>
  <si>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</si>
  <si>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</si>
  <si>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</si>
  <si>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</si>
  <si>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</si>
  <si>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</si>
  <si>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</si>
  <si>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</si>
  <si>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</si>
  <si>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</si>
  <si>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</si>
  <si>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</si>
  <si>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</si>
  <si>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</si>
  <si>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</si>
  <si>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</si>
  <si>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</si>
  <si>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</si>
  <si>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</si>
  <si>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</si>
  <si>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</si>
  <si>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</si>
  <si>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</si>
  <si>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</si>
  <si>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</si>
  <si>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</si>
  <si>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</si>
  <si>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</si>
  <si>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</si>
  <si>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</si>
  <si>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</si>
  <si>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</si>
  <si>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</si>
  <si>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</si>
  <si>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</si>
  <si>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</si>
  <si>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</si>
  <si>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</si>
  <si>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</si>
  <si>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</si>
  <si>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</si>
  <si>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</si>
  <si>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</si>
  <si>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</si>
  <si>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</si>
  <si>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</si>
  <si>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</si>
  <si>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</si>
  <si>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</si>
  <si>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</si>
  <si>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</si>
  <si>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</si>
  <si>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</si>
  <si>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</si>
  <si>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</si>
  <si>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</si>
  <si>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</si>
  <si>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</si>
  <si>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</si>
  <si>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</si>
  <si>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</si>
  <si>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</si>
  <si>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</si>
  <si>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</si>
  <si>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</si>
  <si>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</si>
  <si>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</si>
  <si>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</si>
  <si>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</si>
  <si>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</si>
  <si>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</si>
  <si>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</si>
  <si>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</si>
  <si>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</si>
  <si>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</si>
  <si>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</si>
  <si>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</si>
  <si>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</si>
  <si>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</si>
  <si>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</si>
  <si>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</si>
  <si>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</si>
  <si>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</si>
  <si>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</si>
  <si>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</si>
  <si>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</si>
  <si>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</si>
  <si>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</si>
  <si>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</si>
  <si>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</si>
  <si>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</si>
  <si>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</si>
  <si>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</si>
  <si>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</si>
  <si>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</si>
  <si>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</si>
  <si>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</si>
  <si>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</si>
  <si>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</si>
  <si>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</si>
  <si>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</si>
  <si>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</si>
  <si>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</si>
  <si>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</si>
  <si>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</si>
  <si>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</si>
  <si>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</si>
  <si>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</si>
  <si>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</si>
  <si>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</si>
  <si>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</si>
  <si>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</si>
  <si>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</si>
  <si>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</si>
  <si>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</si>
  <si>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</si>
  <si>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</si>
  <si>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</si>
  <si>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</si>
  <si>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</si>
  <si>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</si>
  <si>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</si>
  <si>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</si>
  <si>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</si>
  <si>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</si>
  <si>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</si>
  <si>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</si>
  <si>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</si>
  <si>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</si>
  <si>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</si>
  <si>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</si>
  <si>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</si>
  <si>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</si>
  <si>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</si>
  <si>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</si>
  <si>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</si>
  <si>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</si>
  <si>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</si>
  <si>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</si>
  <si>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</si>
  <si>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</si>
  <si>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</si>
  <si>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</si>
  <si>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</si>
  <si>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</si>
  <si>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</si>
  <si>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</si>
  <si>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</si>
  <si>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</si>
  <si>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</si>
  <si>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</si>
  <si>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</si>
  <si>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</si>
  <si>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</si>
  <si>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</si>
  <si>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</si>
  <si>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</si>
  <si>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</si>
  <si>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</si>
  <si>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</si>
  <si>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</si>
  <si>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</si>
  <si>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</si>
  <si>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</si>
  <si>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</si>
  <si>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</si>
  <si>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</si>
  <si>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</si>
  <si>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</si>
  <si>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</si>
  <si>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</si>
  <si>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</si>
  <si>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</si>
  <si>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</si>
  <si>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</si>
  <si>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</si>
  <si>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</si>
  <si>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</si>
  <si>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</si>
  <si>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</si>
  <si>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</si>
  <si>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</si>
  <si>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</si>
  <si>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</si>
  <si>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</si>
  <si>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</si>
  <si>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</si>
  <si>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</si>
  <si>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</si>
  <si>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</si>
  <si>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</si>
  <si>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</si>
  <si>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</si>
  <si>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</si>
  <si>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</si>
  <si>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</si>
  <si>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</si>
  <si>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</si>
  <si>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</si>
  <si>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</si>
  <si>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</si>
  <si>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</si>
  <si>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</si>
  <si>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</si>
  <si>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</si>
  <si>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</si>
  <si>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</si>
  <si>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</si>
  <si>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</si>
  <si>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</si>
  <si>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</si>
  <si>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</si>
  <si>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</si>
  <si>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</si>
  <si>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</si>
  <si>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</si>
  <si>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</si>
  <si>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</si>
  <si>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</si>
  <si>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</si>
  <si>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</si>
  <si>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</si>
  <si>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</si>
  <si>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</si>
  <si>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</si>
  <si>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</si>
  <si>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</si>
  <si>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</si>
  <si>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</si>
  <si>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</si>
  <si>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</si>
  <si>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</si>
  <si>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</si>
  <si>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</si>
  <si>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</si>
  <si>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</si>
  <si>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</si>
  <si>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</si>
  <si>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</si>
  <si>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</si>
  <si>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</si>
  <si>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</si>
  <si>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</si>
  <si>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</si>
  <si>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</si>
  <si>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</si>
  <si>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</si>
  <si>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</si>
  <si>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</si>
  <si>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</si>
  <si>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</si>
  <si>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</si>
  <si>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</si>
  <si>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</si>
  <si>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</si>
  <si>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</si>
  <si>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</si>
  <si>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</si>
  <si>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</si>
  <si>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</si>
  <si>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</si>
  <si>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</si>
  <si>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</si>
  <si>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</si>
  <si>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</si>
  <si>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</si>
  <si>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</si>
  <si>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</si>
  <si>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</si>
  <si>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</si>
  <si>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</si>
  <si>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</si>
  <si>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</si>
  <si>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</si>
  <si>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</si>
  <si>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</si>
  <si>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</si>
  <si>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</si>
  <si>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</si>
  <si>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</si>
  <si>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</si>
  <si>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</si>
  <si>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</si>
  <si>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</si>
  <si>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</si>
  <si>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</si>
  <si>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</si>
  <si>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</si>
  <si>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</si>
  <si>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</si>
  <si>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</si>
  <si>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</si>
  <si>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</si>
  <si>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</si>
  <si>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</si>
  <si>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</si>
  <si>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</si>
  <si>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</si>
  <si>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</si>
  <si>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</si>
  <si>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</si>
  <si>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</si>
  <si>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</si>
  <si>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</si>
  <si>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</si>
  <si>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</si>
  <si>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</si>
  <si>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</si>
  <si>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</si>
  <si>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</si>
  <si>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</si>
  <si>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</si>
  <si>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</si>
  <si>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</si>
  <si>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</si>
  <si>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</si>
  <si>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</si>
  <si>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</si>
  <si>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</si>
  <si>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</si>
  <si>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</si>
  <si>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</si>
  <si>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</si>
  <si>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</si>
  <si>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</si>
  <si>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</si>
  <si>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</si>
  <si>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</si>
  <si>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</si>
  <si>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</si>
  <si>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</si>
  <si>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</si>
  <si>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</si>
  <si>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</si>
  <si>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</si>
  <si>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</si>
  <si>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</si>
  <si>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</si>
  <si>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</si>
  <si>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</si>
  <si>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</si>
  <si>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</si>
  <si>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</si>
  <si>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</si>
  <si>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</si>
  <si>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</si>
  <si>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</si>
  <si>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</si>
  <si>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</si>
  <si>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</si>
  <si>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</si>
  <si>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</si>
  <si>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</si>
  <si>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</si>
  <si>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</si>
  <si>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</si>
  <si>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</si>
  <si>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</si>
  <si>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</si>
  <si>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</si>
  <si>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</si>
  <si>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</si>
  <si>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</si>
  <si>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</si>
  <si>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</si>
  <si>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</si>
  <si>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</si>
  <si>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</si>
  <si>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</si>
  <si>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</si>
  <si>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</si>
  <si>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</si>
  <si>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</si>
  <si>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</si>
  <si>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</si>
  <si>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</si>
  <si>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</si>
  <si>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</si>
  <si>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</si>
  <si>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</si>
  <si>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</si>
  <si>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</si>
  <si>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</si>
  <si>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</si>
  <si>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</si>
  <si>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</si>
  <si>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</si>
  <si>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</si>
  <si>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</si>
  <si>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</si>
  <si>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</si>
  <si>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</si>
  <si>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</si>
  <si>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</si>
  <si>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</si>
  <si>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</si>
  <si>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</si>
  <si>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</si>
  <si>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</si>
  <si>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</si>
  <si>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</si>
  <si>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</si>
  <si>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</si>
  <si>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</si>
  <si>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</si>
  <si>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</si>
  <si>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</si>
  <si>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</si>
  <si>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</si>
  <si>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</si>
  <si>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</si>
  <si>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</si>
  <si>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</si>
  <si>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</si>
  <si>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</si>
  <si>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</si>
  <si>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</si>
  <si>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</si>
  <si>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</si>
  <si>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</si>
  <si>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</si>
  <si>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</si>
  <si>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</si>
  <si>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</si>
  <si>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</si>
  <si>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</si>
  <si>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</si>
  <si>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</si>
  <si>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</si>
  <si>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</si>
  <si>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</si>
  <si>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</si>
  <si>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</si>
  <si>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</si>
  <si>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</si>
  <si>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</si>
  <si>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</si>
  <si>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</si>
  <si>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</si>
  <si>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</si>
  <si>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</si>
  <si>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</si>
  <si>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</si>
  <si>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</si>
  <si>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</si>
  <si>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</si>
  <si>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</si>
  <si>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</si>
  <si>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</si>
  <si>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</si>
  <si>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</si>
  <si>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</si>
  <si>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</si>
  <si>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</si>
  <si>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</si>
  <si>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</si>
  <si>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</si>
  <si>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</si>
  <si>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</si>
  <si>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</si>
  <si>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</si>
  <si>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</si>
  <si>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</si>
  <si>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</si>
  <si>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</si>
  <si>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</si>
  <si>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</si>
  <si>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</si>
  <si>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</si>
  <si>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</si>
  <si>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</si>
  <si>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</si>
  <si>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</si>
  <si>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</si>
  <si>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</si>
  <si>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</si>
  <si>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</si>
  <si>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</si>
  <si>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</si>
  <si>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</si>
  <si>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</si>
  <si>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</si>
  <si>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</si>
  <si>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</si>
  <si>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</si>
  <si>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</si>
  <si>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</si>
  <si>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</si>
  <si>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</si>
  <si>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</si>
  <si>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</si>
  <si>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</si>
  <si>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</si>
  <si>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</si>
  <si>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</si>
  <si>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</si>
  <si>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</si>
  <si>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</si>
  <si>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</si>
  <si>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</si>
  <si>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</si>
  <si>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</si>
  <si>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</si>
  <si>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</si>
  <si>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</si>
  <si>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</si>
  <si>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</si>
  <si>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</si>
  <si>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</si>
  <si>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</si>
  <si>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</si>
  <si>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</si>
  <si>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</si>
  <si>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</si>
  <si>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</si>
  <si>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</si>
  <si>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</si>
  <si>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</si>
  <si>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</si>
  <si>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</si>
  <si>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</si>
  <si>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</si>
  <si>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</si>
  <si>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</si>
  <si>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</si>
  <si>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</si>
  <si>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</si>
  <si>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</si>
  <si>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</si>
  <si>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</si>
  <si>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</si>
  <si>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</si>
  <si>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</si>
  <si>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</si>
  <si>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</si>
  <si>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</si>
  <si>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</si>
  <si>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</si>
  <si>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</si>
  <si>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</si>
  <si>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</si>
  <si>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</si>
  <si>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</si>
  <si>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</si>
  <si>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</si>
  <si>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</si>
  <si>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</si>
  <si>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</si>
  <si>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</si>
  <si>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</si>
  <si>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</si>
  <si>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</si>
  <si>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</si>
  <si>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</si>
  <si>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</si>
  <si>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</si>
  <si>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</si>
  <si>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</si>
  <si>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</si>
  <si>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</si>
  <si>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</si>
  <si>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</si>
  <si>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</si>
  <si>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</si>
  <si>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</si>
  <si>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</si>
  <si>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</si>
  <si>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</si>
  <si>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</si>
  <si>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</si>
  <si>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</si>
  <si>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</si>
  <si>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</si>
  <si>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</si>
  <si>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</si>
  <si>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</si>
  <si>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</si>
  <si>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</si>
  <si>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</si>
  <si>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</si>
  <si>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</si>
  <si>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</si>
  <si>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</si>
  <si>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</si>
  <si>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</si>
  <si>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</si>
  <si>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</si>
  <si>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</si>
  <si>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</si>
  <si>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</si>
  <si>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</si>
  <si>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</si>
  <si>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</si>
  <si>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</si>
  <si>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</si>
  <si>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</si>
  <si>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</si>
  <si>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</si>
  <si>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</si>
  <si>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</si>
  <si>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</si>
  <si>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</si>
  <si>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</si>
  <si>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</si>
  <si>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</si>
  <si>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</si>
  <si>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</si>
  <si>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</si>
  <si>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</si>
  <si>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</si>
  <si>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</si>
  <si>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</si>
  <si>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</si>
  <si>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</si>
  <si>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</si>
  <si>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</si>
  <si>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</si>
  <si>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</si>
  <si>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</si>
  <si>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</si>
  <si>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</si>
  <si>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</si>
  <si>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</si>
  <si>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</si>
  <si>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</si>
  <si>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</si>
  <si>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</si>
  <si>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</si>
  <si>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</si>
  <si>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</si>
  <si>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</si>
  <si>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</si>
  <si>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</si>
  <si>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</si>
  <si>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</si>
  <si>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</si>
  <si>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</si>
  <si>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</si>
  <si>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</si>
  <si>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</si>
  <si>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</si>
  <si>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</si>
  <si>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</si>
  <si>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</si>
  <si>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</si>
  <si>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</si>
  <si>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</si>
  <si>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</si>
  <si>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</si>
  <si>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</si>
  <si>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</si>
  <si>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</si>
  <si>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</si>
  <si>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</si>
  <si>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</si>
  <si>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</si>
  <si>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</si>
  <si>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</si>
  <si>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</si>
  <si>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</si>
  <si>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</si>
  <si>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</si>
  <si>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</si>
  <si>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</si>
  <si>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</si>
  <si>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</si>
  <si>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</si>
  <si>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</si>
  <si>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</si>
  <si>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</si>
  <si>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</si>
  <si>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</si>
  <si>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</si>
  <si>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</si>
  <si>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</si>
  <si>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</si>
  <si>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</si>
  <si>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</si>
  <si>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</si>
  <si>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</si>
  <si>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</si>
  <si>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</si>
  <si>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</si>
  <si>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</si>
  <si>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</si>
  <si>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</si>
  <si>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</si>
  <si>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</si>
  <si>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</si>
  <si>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</si>
  <si>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</si>
  <si>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</si>
  <si>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</si>
  <si>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</si>
  <si>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</si>
  <si>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</si>
  <si>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</si>
  <si>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</si>
  <si>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</si>
  <si>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</si>
  <si>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</si>
  <si>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</si>
  <si>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</si>
  <si>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</si>
  <si>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</si>
  <si>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</si>
  <si>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</si>
  <si>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</si>
  <si>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</si>
  <si>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</si>
  <si>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</si>
  <si>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</si>
  <si>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</si>
  <si>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</si>
  <si>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</si>
  <si>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</si>
  <si>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</si>
  <si>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</si>
  <si>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</si>
  <si>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</si>
  <si>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</si>
  <si>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</si>
  <si>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</si>
  <si>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</si>
  <si>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</si>
  <si>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</si>
  <si>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</si>
  <si>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</si>
  <si>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</si>
  <si>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</si>
  <si>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</si>
  <si>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</si>
  <si>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</si>
  <si>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</si>
  <si>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</si>
  <si>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</si>
  <si>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</si>
  <si>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</si>
  <si>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</si>
  <si>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</si>
  <si>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</si>
  <si>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</si>
  <si>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</si>
  <si>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</si>
  <si>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</si>
  <si>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</si>
  <si>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</si>
  <si>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</si>
  <si>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</si>
  <si>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</si>
  <si>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</si>
  <si>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</si>
  <si>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</si>
  <si>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</si>
  <si>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</si>
  <si>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</si>
  <si>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</si>
  <si>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</si>
  <si>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</si>
  <si>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</si>
  <si>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</si>
  <si>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</si>
  <si>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</si>
  <si>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</si>
  <si>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</si>
  <si>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</si>
  <si>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</si>
  <si>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</si>
  <si>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</si>
  <si>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</si>
  <si>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</si>
  <si>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</si>
  <si>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</si>
  <si>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</si>
  <si>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</si>
  <si>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</si>
  <si>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</si>
  <si>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</si>
  <si>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</si>
  <si>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</si>
  <si>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</si>
  <si>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</si>
  <si>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</si>
  <si>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</si>
  <si>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</si>
  <si>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</si>
  <si>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</si>
  <si>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</si>
  <si>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</si>
  <si>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</si>
  <si>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</si>
  <si>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</si>
  <si>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</si>
  <si>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</si>
  <si>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</si>
  <si>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</si>
  <si>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</si>
  <si>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</si>
  <si>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</si>
  <si>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</si>
  <si>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</si>
  <si>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</si>
  <si>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</si>
  <si>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</si>
  <si>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</si>
  <si>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</si>
  <si>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</si>
  <si>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</si>
  <si>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</si>
  <si>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</si>
  <si>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</si>
  <si>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</si>
  <si>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</si>
  <si>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</si>
  <si>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</si>
  <si>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</si>
  <si>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</si>
  <si>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</si>
  <si>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</si>
  <si>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</si>
  <si>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</si>
  <si>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</si>
  <si>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</si>
  <si>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</si>
  <si>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</si>
  <si>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</si>
  <si>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</si>
  <si>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</si>
  <si>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</si>
  <si>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</si>
  <si>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</si>
  <si>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</si>
  <si>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</si>
  <si>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</si>
  <si>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</si>
  <si>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</si>
  <si>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</si>
  <si>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</si>
  <si>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</si>
  <si>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</si>
  <si>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</si>
  <si>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</si>
  <si>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</si>
  <si>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</si>
  <si>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</si>
  <si>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</si>
  <si>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</si>
  <si>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</si>
  <si>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</si>
  <si>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</si>
  <si>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</si>
  <si>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</si>
  <si>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</si>
  <si>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</si>
  <si>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</si>
  <si>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</si>
  <si>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</si>
  <si>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</si>
  <si>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</si>
  <si>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</si>
  <si>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</si>
  <si>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</si>
  <si>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</si>
  <si>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</si>
  <si>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</si>
  <si>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</si>
  <si>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</si>
  <si>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</si>
  <si>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</si>
  <si>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</si>
  <si>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</si>
  <si>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</si>
  <si>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</si>
  <si>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</si>
  <si>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</si>
  <si>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</si>
  <si>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</si>
  <si>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</si>
  <si>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</si>
  <si>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</si>
  <si>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</si>
  <si>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</si>
  <si>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</si>
  <si>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</si>
  <si>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</si>
  <si>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</si>
  <si>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</si>
  <si>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</si>
  <si>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</si>
  <si>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</si>
  <si>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</si>
  <si>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</si>
  <si>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</si>
  <si>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</si>
  <si>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</si>
  <si>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</si>
  <si>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</si>
  <si>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</si>
  <si>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</si>
  <si>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</si>
  <si>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</si>
  <si>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</si>
  <si>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</si>
  <si>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</si>
  <si>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</si>
  <si>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</si>
  <si>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</si>
  <si>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</si>
  <si>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</si>
  <si>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</si>
  <si>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</si>
  <si>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</si>
  <si>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</si>
  <si>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</si>
  <si>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</si>
  <si>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</si>
  <si>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</si>
  <si>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</si>
  <si>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</si>
  <si>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</si>
  <si>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</si>
  <si>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</si>
  <si>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</si>
  <si>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</si>
  <si>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</si>
  <si>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</si>
  <si>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</si>
  <si>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</si>
  <si>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</si>
  <si>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</si>
  <si>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</si>
  <si>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</si>
  <si>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</si>
  <si>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</si>
  <si>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</si>
  <si>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</si>
  <si>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</si>
  <si>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</si>
  <si>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</si>
  <si>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</si>
  <si>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</si>
  <si>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</si>
  <si>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</si>
  <si>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</si>
  <si>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</si>
  <si>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</si>
  <si>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</si>
  <si>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</si>
  <si>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</si>
  <si>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</si>
  <si>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</si>
  <si>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</si>
  <si>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</si>
  <si>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</si>
  <si>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</si>
  <si>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</si>
  <si>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</si>
  <si>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</si>
  <si>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</si>
  <si>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</si>
  <si>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</si>
  <si>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</si>
  <si>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</si>
  <si>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</si>
  <si>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</si>
  <si>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</si>
  <si>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</si>
  <si>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</si>
  <si>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</si>
  <si>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</si>
  <si>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</si>
  <si>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</si>
  <si>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</si>
  <si>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</si>
  <si>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</si>
  <si>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</si>
  <si>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</si>
  <si>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</si>
  <si>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</si>
  <si>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</si>
  <si>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</si>
  <si>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</si>
  <si>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</si>
  <si>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</si>
  <si>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</si>
  <si>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</si>
  <si>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</si>
  <si>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</si>
  <si>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</si>
  <si>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</si>
  <si>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</si>
  <si>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</si>
  <si>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</si>
  <si>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</si>
  <si>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</si>
  <si>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</si>
  <si>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</si>
  <si>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</si>
  <si>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</si>
  <si>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</si>
  <si>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</si>
  <si>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</si>
  <si>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</si>
  <si>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</si>
  <si>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</si>
  <si>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</si>
  <si>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</si>
  <si>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</si>
  <si>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</si>
  <si>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</si>
  <si>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</si>
  <si>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</si>
  <si>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</si>
  <si>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</si>
  <si>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</si>
  <si>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</si>
  <si>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</si>
  <si>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</si>
  <si>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</si>
  <si>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</si>
  <si>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</si>
  <si>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</si>
  <si>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</si>
  <si>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</si>
  <si>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</si>
  <si>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</si>
  <si>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</si>
  <si>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</si>
  <si>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</si>
  <si>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</si>
  <si>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</si>
  <si>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</si>
  <si>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</si>
  <si>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</si>
  <si>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</si>
  <si>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</si>
  <si>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</si>
  <si>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</si>
  <si>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</si>
  <si>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</si>
  <si>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</si>
  <si>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</si>
  <si>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</si>
  <si>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</si>
  <si>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</si>
  <si>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</si>
  <si>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</si>
  <si>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</si>
  <si>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</si>
  <si>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</si>
  <si>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</si>
  <si>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</si>
  <si>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</si>
  <si>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</si>
  <si>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</si>
  <si>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</si>
  <si>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</si>
  <si>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</si>
  <si>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</si>
  <si>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</si>
  <si>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</si>
  <si>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</si>
  <si>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</si>
  <si>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</si>
  <si>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</si>
  <si>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</si>
  <si>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</si>
  <si>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</si>
  <si>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</si>
  <si>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</si>
  <si>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</si>
  <si>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</si>
  <si>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</si>
  <si>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</si>
  <si>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</si>
  <si>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</si>
  <si>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</si>
  <si>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</si>
  <si>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</si>
  <si>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</si>
  <si>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</si>
  <si>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</si>
  <si>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</si>
  <si>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</si>
  <si>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</si>
  <si>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</si>
  <si>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</si>
  <si>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</si>
  <si>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</si>
  <si>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</si>
  <si>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</si>
  <si>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</si>
  <si>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</si>
  <si>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</si>
  <si>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</si>
  <si>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</si>
  <si>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</si>
  <si>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</si>
  <si>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</si>
  <si>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</si>
  <si>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</si>
  <si>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</si>
  <si>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</si>
  <si>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</si>
  <si>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</si>
  <si>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</si>
  <si>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</si>
  <si>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</si>
  <si>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</si>
  <si>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</si>
  <si>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</si>
  <si>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</si>
  <si>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</si>
  <si>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</si>
  <si>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</si>
  <si>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</si>
  <si>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</si>
  <si>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</si>
  <si>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</si>
  <si>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</si>
  <si>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</si>
  <si>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</si>
  <si>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</si>
  <si>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</si>
  <si>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</si>
  <si>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</si>
  <si>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</si>
  <si>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</si>
  <si>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</si>
  <si>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</si>
  <si>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</si>
  <si>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</si>
  <si>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</si>
  <si>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</si>
  <si>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</si>
  <si>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</si>
  <si>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</si>
  <si>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</si>
  <si>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</si>
  <si>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</si>
  <si>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</si>
  <si>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</si>
  <si>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</si>
  <si>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</si>
  <si>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</si>
  <si>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</si>
  <si>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</si>
  <si>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</si>
  <si>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</si>
  <si>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</si>
  <si>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</si>
  <si>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</si>
  <si>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</si>
  <si>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</si>
  <si>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</si>
  <si>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</si>
  <si>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</si>
  <si>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</si>
  <si>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</si>
  <si>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</si>
  <si>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</si>
  <si>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</si>
  <si>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</si>
  <si>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</si>
  <si>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</si>
  <si>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</si>
  <si>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</si>
  <si>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</si>
  <si>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</si>
  <si>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</si>
  <si>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</si>
  <si>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</si>
  <si>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</si>
  <si>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</si>
  <si>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</si>
  <si>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</si>
  <si>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</si>
  <si>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</si>
  <si>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</si>
  <si>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</si>
  <si>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</si>
  <si>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</si>
  <si>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</si>
  <si>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</si>
  <si>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</si>
  <si>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</si>
  <si>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</si>
  <si>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</si>
  <si>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</si>
  <si>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</si>
  <si>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</si>
  <si>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</si>
  <si>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</si>
  <si>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</si>
  <si>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</si>
  <si>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</si>
  <si>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</si>
  <si>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</si>
  <si>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</si>
  <si>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</si>
  <si>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</si>
  <si>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</si>
  <si>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</si>
  <si>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</si>
  <si>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</si>
  <si>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</si>
  <si>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</si>
  <si>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</si>
  <si>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</si>
  <si>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</si>
  <si>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</si>
  <si>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</si>
  <si>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</si>
  <si>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</si>
  <si>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</si>
  <si>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</si>
  <si>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</si>
  <si>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</si>
  <si>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</si>
  <si>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</si>
  <si>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</si>
  <si>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</si>
  <si>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</si>
  <si>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</si>
  <si>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</si>
  <si>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</si>
  <si>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</si>
  <si>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</si>
  <si>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</si>
  <si>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</si>
  <si>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</si>
  <si>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</si>
  <si>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</si>
  <si>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</si>
  <si>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</si>
  <si>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</si>
  <si>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</si>
  <si>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</si>
  <si>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</si>
  <si>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</si>
  <si>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</si>
  <si>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</si>
  <si>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</si>
  <si>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</si>
  <si>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</si>
  <si>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</si>
  <si>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</si>
  <si>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</si>
  <si>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</si>
  <si>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</si>
  <si>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</si>
  <si>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</si>
  <si>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</si>
  <si>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</si>
  <si>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</si>
  <si>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</si>
  <si>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</si>
  <si>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</si>
  <si>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</si>
  <si>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</si>
  <si>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</si>
  <si>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</si>
  <si>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</si>
  <si>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</si>
  <si>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</si>
  <si>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</si>
  <si>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</si>
  <si>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</si>
  <si>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</si>
  <si>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</si>
  <si>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</si>
  <si>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</si>
  <si>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</si>
  <si>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</si>
  <si>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</si>
  <si>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</si>
  <si>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</si>
  <si>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</si>
  <si>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</si>
  <si>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</si>
  <si>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</si>
  <si>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</si>
  <si>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</si>
  <si>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</si>
  <si>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</si>
  <si>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</si>
  <si>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</si>
  <si>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</si>
  <si>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</si>
  <si>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</si>
  <si>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</si>
  <si>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</si>
  <si>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</si>
  <si>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</si>
  <si>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</si>
  <si>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</si>
  <si>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</si>
  <si>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</si>
  <si>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</si>
  <si>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</si>
  <si>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</si>
  <si>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</si>
  <si>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</si>
  <si>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</si>
  <si>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</si>
  <si>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</si>
  <si>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</si>
  <si>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</si>
  <si>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</si>
  <si>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</si>
  <si>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</si>
  <si>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</si>
  <si>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</si>
  <si>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</si>
  <si>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</si>
  <si>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</si>
  <si>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</si>
  <si>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</si>
  <si>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</si>
  <si>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</si>
  <si>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</si>
  <si>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</si>
  <si>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</si>
  <si>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</si>
  <si>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</si>
  <si>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</si>
  <si>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</si>
  <si>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</si>
  <si>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</si>
  <si>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</si>
  <si>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</si>
  <si>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</si>
  <si>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</si>
  <si>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</si>
  <si>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</si>
  <si>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</si>
  <si>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</si>
  <si>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</si>
  <si>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</si>
  <si>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</si>
  <si>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</si>
  <si>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</si>
  <si>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</si>
  <si>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</si>
  <si>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</si>
  <si>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</si>
  <si>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</si>
  <si>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</si>
  <si>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</si>
  <si>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</si>
  <si>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</si>
  <si>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</si>
  <si>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</si>
  <si>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</si>
  <si>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</si>
  <si>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</si>
  <si>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</si>
  <si>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</si>
  <si>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</si>
  <si>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</si>
  <si>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</si>
  <si>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</si>
  <si>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</si>
  <si>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</si>
  <si>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</si>
  <si>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</si>
  <si>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</si>
  <si>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</si>
  <si>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</si>
  <si>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</si>
  <si>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</si>
  <si>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</si>
  <si>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</si>
  <si>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</si>
  <si>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</si>
  <si>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</si>
  <si>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</si>
  <si>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</si>
  <si>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</si>
  <si>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</si>
  <si>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</si>
  <si>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</si>
  <si>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</si>
  <si>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</si>
  <si>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</si>
  <si>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</si>
  <si>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</si>
  <si>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</si>
  <si>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</si>
  <si>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</si>
  <si>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</si>
  <si>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</si>
  <si>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</si>
  <si>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</si>
  <si>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</si>
  <si>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</si>
  <si>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</si>
  <si>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</si>
  <si>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</si>
  <si>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</si>
  <si>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</si>
  <si>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</si>
  <si>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</si>
  <si>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</si>
  <si>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</si>
  <si>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</si>
  <si>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</si>
  <si>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</si>
  <si>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</si>
  <si>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</si>
  <si>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</si>
  <si>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</si>
  <si>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</si>
  <si>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</si>
  <si>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</si>
  <si>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</si>
  <si>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</si>
  <si>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</si>
  <si>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</si>
  <si>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</si>
  <si>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</si>
  <si>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</si>
  <si>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</si>
  <si>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</si>
  <si>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</si>
  <si>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</si>
  <si>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</si>
  <si>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</si>
  <si>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</si>
  <si>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</si>
  <si>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</si>
  <si>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</si>
  <si>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</si>
  <si>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</si>
  <si>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</si>
  <si>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</si>
  <si>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</si>
  <si>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</si>
  <si>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</si>
  <si>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</si>
  <si>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</si>
  <si>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</si>
  <si>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</si>
  <si>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</si>
  <si>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</si>
  <si>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</si>
  <si>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</si>
  <si>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</si>
  <si>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</si>
  <si>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</si>
  <si>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</si>
  <si>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</si>
  <si>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</si>
  <si>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</si>
  <si>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</si>
  <si>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</si>
  <si>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</si>
  <si>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</si>
  <si>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</si>
  <si>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</si>
  <si>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</si>
  <si>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</si>
  <si>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</si>
  <si>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</si>
  <si>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</si>
  <si>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</si>
  <si>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</si>
  <si>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</si>
  <si>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</si>
  <si>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</si>
  <si>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</si>
  <si>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</si>
  <si>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</si>
  <si>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</si>
  <si>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</si>
  <si>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</si>
  <si>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</si>
  <si>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</si>
  <si>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</si>
  <si>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</si>
  <si>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</si>
  <si>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</si>
  <si>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</si>
  <si>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</si>
  <si>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</si>
  <si>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</si>
  <si>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</si>
  <si>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</si>
  <si>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</si>
  <si>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</si>
  <si>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</si>
  <si>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</si>
  <si>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</si>
  <si>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</si>
  <si>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</si>
  <si>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</si>
  <si>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</si>
  <si>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</si>
  <si>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</si>
  <si>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</si>
  <si>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</si>
  <si>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</si>
  <si>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</si>
  <si>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</si>
  <si>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</si>
  <si>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</si>
  <si>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</si>
  <si>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</si>
  <si>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</si>
  <si>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</si>
  <si>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</si>
  <si>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</si>
  <si>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</si>
  <si>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</si>
  <si>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</si>
  <si>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</si>
  <si>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</si>
  <si>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</si>
  <si>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</si>
  <si>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</si>
  <si>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</si>
  <si>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</si>
  <si>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</si>
  <si>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</si>
  <si>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</si>
  <si>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</si>
  <si>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</si>
  <si>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</si>
  <si>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</si>
  <si>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</si>
  <si>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</si>
  <si>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</si>
  <si>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</si>
  <si>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</si>
  <si>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</si>
  <si>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</si>
  <si>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</si>
  <si>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</si>
  <si>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</si>
  <si>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</si>
  <si>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</si>
  <si>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</si>
  <si>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</si>
  <si>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</si>
  <si>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</si>
  <si>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</si>
  <si>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</si>
  <si>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</si>
  <si>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</si>
  <si>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</si>
  <si>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</si>
  <si>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</si>
  <si>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</si>
  <si>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</si>
  <si>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</si>
  <si>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</si>
  <si>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</si>
  <si>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</si>
  <si>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</si>
  <si>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</si>
  <si>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</si>
  <si>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</si>
  <si>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</si>
  <si>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</si>
  <si>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</si>
  <si>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</si>
  <si>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</si>
  <si>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</si>
  <si>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</si>
  <si>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</si>
  <si>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</si>
  <si>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</si>
  <si>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</si>
  <si>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</si>
  <si>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</si>
  <si>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</si>
  <si>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</si>
  <si>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</si>
  <si>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</si>
  <si>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</si>
  <si>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</si>
  <si>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</si>
  <si>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</si>
  <si>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</si>
  <si>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</si>
  <si>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</si>
  <si>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</si>
  <si>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</si>
  <si>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</si>
  <si>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</si>
  <si>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</si>
  <si>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</si>
  <si>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</si>
  <si>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</si>
  <si>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</si>
  <si>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</si>
  <si>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</si>
  <si>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</si>
  <si>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</si>
  <si>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</si>
  <si>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</si>
  <si>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</si>
  <si>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</si>
  <si>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</si>
  <si>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</si>
  <si>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</si>
  <si>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</si>
  <si>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</si>
  <si>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</si>
  <si>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</si>
  <si>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</si>
  <si>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</si>
  <si>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</si>
  <si>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</si>
  <si>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</si>
  <si>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</si>
  <si>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</si>
  <si>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</si>
  <si>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</si>
  <si>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</si>
  <si>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</si>
  <si>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</si>
  <si>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</si>
  <si>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</si>
  <si>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</si>
  <si>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</si>
  <si>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</si>
  <si>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</si>
  <si>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</si>
  <si>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</si>
  <si>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</si>
  <si>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</si>
  <si>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</si>
  <si>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</si>
  <si>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</si>
  <si>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</si>
  <si>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</si>
  <si>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</si>
  <si>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</si>
  <si>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</si>
  <si>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</si>
  <si>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</si>
  <si>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</si>
  <si>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</si>
  <si>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</si>
  <si>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</si>
  <si>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</si>
  <si>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</si>
  <si>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</si>
  <si>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</si>
  <si>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</si>
  <si>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</si>
  <si>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</si>
  <si>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</si>
  <si>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</si>
  <si>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</si>
  <si>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</si>
  <si>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</si>
  <si>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</si>
  <si>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</si>
  <si>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</si>
  <si>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</si>
  <si>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</si>
  <si>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</si>
  <si>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</si>
  <si>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</si>
  <si>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</si>
  <si>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</si>
  <si>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</si>
  <si>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</si>
  <si>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</si>
  <si>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</si>
  <si>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</si>
  <si>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</si>
  <si>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</si>
  <si>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</si>
  <si>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</si>
  <si>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</si>
  <si>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</si>
  <si>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</si>
  <si>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</si>
  <si>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</si>
  <si>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</si>
  <si>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</si>
  <si>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</si>
  <si>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</si>
  <si>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</si>
  <si>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</si>
  <si>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</si>
  <si>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</si>
  <si>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</si>
  <si>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</si>
  <si>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</si>
  <si>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</si>
  <si>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</si>
  <si>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</si>
  <si>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</si>
  <si>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</si>
  <si>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</si>
  <si>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</si>
  <si>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</si>
  <si>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</si>
  <si>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</si>
  <si>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</si>
  <si>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</si>
  <si>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</si>
  <si>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</si>
  <si>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</si>
  <si>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</si>
  <si>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</si>
  <si>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</si>
  <si>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</si>
  <si>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</si>
  <si>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</si>
  <si>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</si>
  <si>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</si>
  <si>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</si>
  <si>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</si>
  <si>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</si>
  <si>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</si>
  <si>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</si>
  <si>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</si>
  <si>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</si>
  <si>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</si>
  <si>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</si>
  <si>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</si>
  <si>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</si>
  <si>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</si>
  <si>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</si>
  <si>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</si>
  <si>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</si>
  <si>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</si>
  <si>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</si>
  <si>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</si>
  <si>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</si>
  <si>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</si>
  <si>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</si>
  <si>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</si>
  <si>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</si>
  <si>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</si>
  <si>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</si>
  <si>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</si>
  <si>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</si>
  <si>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</si>
  <si>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</si>
  <si>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</si>
  <si>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</si>
  <si>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</si>
  <si>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</si>
  <si>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</si>
  <si>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</si>
  <si>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</si>
  <si>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</si>
  <si>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</si>
  <si>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</si>
  <si>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</si>
  <si>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</si>
  <si>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</si>
  <si>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</si>
  <si>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</si>
  <si>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</si>
  <si>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</si>
  <si>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</si>
  <si>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</si>
  <si>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</si>
  <si>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</si>
  <si>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</si>
  <si>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</si>
  <si>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</si>
  <si>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</si>
  <si>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</si>
  <si>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</si>
  <si>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</si>
  <si>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</si>
  <si>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</si>
  <si>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</si>
  <si>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</si>
  <si>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</si>
  <si>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</si>
  <si>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</si>
  <si>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</si>
  <si>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</si>
  <si>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</si>
  <si>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</si>
  <si>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</si>
  <si>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</si>
  <si>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</si>
  <si>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</si>
  <si>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</si>
  <si>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</si>
  <si>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</si>
  <si>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</si>
  <si>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</si>
  <si>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</si>
  <si>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</si>
  <si>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</si>
  <si>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</si>
  <si>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</si>
  <si>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</si>
  <si>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</si>
  <si>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</si>
  <si>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</si>
  <si>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</si>
  <si>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</si>
  <si>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</si>
  <si>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</si>
  <si>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</si>
  <si>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</si>
  <si>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</si>
  <si>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</si>
  <si>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</si>
  <si>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</si>
  <si>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</si>
  <si>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</si>
  <si>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</si>
  <si>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</si>
  <si>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</si>
  <si>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</si>
  <si>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</si>
  <si>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</si>
  <si>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</si>
  <si>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</si>
  <si>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</si>
  <si>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</si>
  <si>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</si>
  <si>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</si>
  <si>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</si>
  <si>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</si>
  <si>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</si>
  <si>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</si>
  <si>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</si>
  <si>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</si>
  <si>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</si>
  <si>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</si>
  <si>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</si>
  <si>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</si>
  <si>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</si>
  <si>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</si>
  <si>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</si>
  <si>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</si>
  <si>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</si>
  <si>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</si>
  <si>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</si>
  <si>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</si>
  <si>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</si>
  <si>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</si>
  <si>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</si>
  <si>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</si>
  <si>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</si>
  <si>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</si>
  <si>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</si>
  <si>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</si>
  <si>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</si>
  <si>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</si>
  <si>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</si>
  <si>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</si>
  <si>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</si>
  <si>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</si>
  <si>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</si>
  <si>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</si>
  <si>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</si>
  <si>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</si>
  <si>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</si>
  <si>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</si>
  <si>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</si>
  <si>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</si>
  <si>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</si>
  <si>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</si>
  <si>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</si>
  <si>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</si>
  <si>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</si>
  <si>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</si>
  <si>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</si>
  <si>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</si>
  <si>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</si>
  <si>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</si>
  <si>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</si>
  <si>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</si>
  <si>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</si>
  <si>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</si>
  <si>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</si>
  <si>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</si>
  <si>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</si>
  <si>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</si>
  <si>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</si>
  <si>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</si>
  <si>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</si>
  <si>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</si>
  <si>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</si>
  <si>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</si>
  <si>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</si>
  <si>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</si>
  <si>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</si>
  <si>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</si>
  <si>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</si>
  <si>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</si>
  <si>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</si>
  <si>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</si>
  <si>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</si>
  <si>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</si>
  <si>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</si>
  <si>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</si>
  <si>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</si>
  <si>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</si>
  <si>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</si>
  <si>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</si>
  <si>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</si>
  <si>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</si>
  <si>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</si>
  <si>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</si>
  <si>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</si>
  <si>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</si>
  <si>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</si>
  <si>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</si>
  <si>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</si>
  <si>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</si>
  <si>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</si>
  <si>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</si>
  <si>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</si>
  <si>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</si>
  <si>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</si>
  <si>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</si>
  <si>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</si>
  <si>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</si>
  <si>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</si>
  <si>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</si>
  <si>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</si>
  <si>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</si>
  <si>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</si>
  <si>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</si>
  <si>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</si>
  <si>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</si>
  <si>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</si>
  <si>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</si>
  <si>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</si>
  <si>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</si>
  <si>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</si>
  <si>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</si>
  <si>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</si>
  <si>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</si>
  <si>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</si>
  <si>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</si>
  <si>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</si>
  <si>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</si>
  <si>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</si>
  <si>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</si>
  <si>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</si>
  <si>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</si>
  <si>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</si>
  <si>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</si>
  <si>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</si>
  <si>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</si>
  <si>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</si>
  <si>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</si>
  <si>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</si>
  <si>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</si>
  <si>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</si>
  <si>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</si>
  <si>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</si>
  <si>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</si>
  <si>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</si>
  <si>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</si>
  <si>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</si>
  <si>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</si>
  <si>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</si>
  <si>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</si>
  <si>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</si>
  <si>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</si>
  <si>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</si>
  <si>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</si>
  <si>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</si>
  <si>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</si>
  <si>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</si>
  <si>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</si>
  <si>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</si>
  <si>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</si>
  <si>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</si>
  <si>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</si>
  <si>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</si>
  <si>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</si>
  <si>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</si>
  <si>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</si>
  <si>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</si>
  <si>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</si>
  <si>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</si>
  <si>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</si>
  <si>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</si>
  <si>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</si>
  <si>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</si>
  <si>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</si>
  <si>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</si>
  <si>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</si>
  <si>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</si>
  <si>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</si>
  <si>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</si>
  <si>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</si>
  <si>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</si>
  <si>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</si>
  <si>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</si>
  <si>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</si>
  <si>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</si>
  <si>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</si>
  <si>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</si>
  <si>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</si>
  <si>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</si>
  <si>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</si>
  <si>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</si>
  <si>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</si>
  <si>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</si>
  <si>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</si>
  <si>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</si>
  <si>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</si>
  <si>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</si>
  <si>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</si>
  <si>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</si>
  <si>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</si>
  <si>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</si>
  <si>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</si>
  <si>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</si>
  <si>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</si>
  <si>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</si>
  <si>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</si>
  <si>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</si>
  <si>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</si>
  <si>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</si>
  <si>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</si>
  <si>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</si>
  <si>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</si>
  <si>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</si>
  <si>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</si>
  <si>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</si>
  <si>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</si>
  <si>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</si>
  <si>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</si>
  <si>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</si>
  <si>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</si>
  <si>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</si>
  <si>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</si>
  <si>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</si>
  <si>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</si>
  <si>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</si>
  <si>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</si>
  <si>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</si>
  <si>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</si>
  <si>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</si>
  <si>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</si>
  <si>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</si>
  <si>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</si>
  <si>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</si>
  <si>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</si>
  <si>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</si>
  <si>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</si>
  <si>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</si>
  <si>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</si>
  <si>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</si>
  <si>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</si>
  <si>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</si>
  <si>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</si>
  <si>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</si>
  <si>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</si>
  <si>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</si>
  <si>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</si>
  <si>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</si>
  <si>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</si>
  <si>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</si>
  <si>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</si>
  <si>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</si>
  <si>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</si>
  <si>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</si>
  <si>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</si>
  <si>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</si>
  <si>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</si>
  <si>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</si>
  <si>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</si>
  <si>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</si>
  <si>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</si>
  <si>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</si>
  <si>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</si>
  <si>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</si>
  <si>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</si>
  <si>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</si>
  <si>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</si>
  <si>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</si>
  <si>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</si>
  <si>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</si>
  <si>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</si>
  <si>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</si>
  <si>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</si>
  <si>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</si>
  <si>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</si>
  <si>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</si>
  <si>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</si>
  <si>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</si>
  <si>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</si>
  <si>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</si>
  <si>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</si>
  <si>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</si>
  <si>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</si>
  <si>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</si>
  <si>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</si>
  <si>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</si>
  <si>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</si>
  <si>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</si>
  <si>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</si>
  <si>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</si>
  <si>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</si>
  <si>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</si>
  <si>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</si>
  <si>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</si>
  <si>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</si>
  <si>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</si>
  <si>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</si>
  <si>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</si>
  <si>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</si>
  <si>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</si>
  <si>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</si>
  <si>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</si>
  <si>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</si>
  <si>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</si>
  <si>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</si>
  <si>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</si>
  <si>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</si>
  <si>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</si>
  <si>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</si>
  <si>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</si>
  <si>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</si>
  <si>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</si>
  <si>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</si>
  <si>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</si>
  <si>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</si>
  <si>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</si>
  <si>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</si>
  <si>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</si>
  <si>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</si>
  <si>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</si>
  <si>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</si>
  <si>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</si>
  <si>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</si>
  <si>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</si>
  <si>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</si>
  <si>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</si>
  <si>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</si>
  <si>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</si>
  <si>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</si>
  <si>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</si>
  <si>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</si>
  <si>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</si>
  <si>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</si>
  <si>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</si>
  <si>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</si>
  <si>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</si>
  <si>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</si>
  <si>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</si>
  <si>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</si>
  <si>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</si>
  <si>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</si>
  <si>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</si>
  <si>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</si>
  <si>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</si>
  <si>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</si>
  <si>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</si>
  <si>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</si>
  <si>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</si>
  <si>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</si>
  <si>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</si>
  <si>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</si>
  <si>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</si>
  <si>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</si>
  <si>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</si>
  <si>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</si>
  <si>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</si>
  <si>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</si>
  <si>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</si>
  <si>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</si>
  <si>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</si>
  <si>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</si>
  <si>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</si>
  <si>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</si>
  <si>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</si>
  <si>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</si>
  <si>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</si>
  <si>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</si>
  <si>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</si>
  <si>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</si>
  <si>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</si>
  <si>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</si>
  <si>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</si>
  <si>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</si>
  <si>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</si>
  <si>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</si>
  <si>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</si>
  <si>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</si>
  <si>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</si>
  <si>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</si>
  <si>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</si>
  <si>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</si>
  <si>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</si>
  <si>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</si>
  <si>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</si>
  <si>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</si>
  <si>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</si>
  <si>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</si>
  <si>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</si>
  <si>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</si>
  <si>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</si>
  <si>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</si>
  <si>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</si>
  <si>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</si>
  <si>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</si>
  <si>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</si>
  <si>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</si>
  <si>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</si>
  <si>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</si>
  <si>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</si>
  <si>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</si>
  <si>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</si>
  <si>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</si>
  <si>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</si>
  <si>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</si>
  <si>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</si>
  <si>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</si>
  <si>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</si>
  <si>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</si>
  <si>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</si>
  <si>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</si>
  <si>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</si>
  <si>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</si>
  <si>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</si>
  <si>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</si>
  <si>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</si>
  <si>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</si>
  <si>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</si>
  <si>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</si>
  <si>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</si>
  <si>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</si>
  <si>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</si>
  <si>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</si>
  <si>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</si>
  <si>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</si>
  <si>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</si>
  <si>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</si>
  <si>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</si>
  <si>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</si>
  <si>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</si>
  <si>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</si>
  <si>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</si>
  <si>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</si>
  <si>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</si>
  <si>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</si>
  <si>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</si>
  <si>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</si>
  <si>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</si>
  <si>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</si>
  <si>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</si>
  <si>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</si>
  <si>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</si>
  <si>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</si>
  <si>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</si>
  <si>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</si>
  <si>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</si>
  <si>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</si>
  <si>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</si>
  <si>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</si>
  <si>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</si>
  <si>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</si>
  <si>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</si>
  <si>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</si>
  <si>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</si>
  <si>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</si>
  <si>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</si>
  <si>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</si>
  <si>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</si>
  <si>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</si>
  <si>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</si>
  <si>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</si>
  <si>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</si>
  <si>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</si>
  <si>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</si>
  <si>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</si>
  <si>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</si>
  <si>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</si>
  <si>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</si>
  <si>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</si>
  <si>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</si>
  <si>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</si>
  <si>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</si>
  <si>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</si>
  <si>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</si>
  <si>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</si>
  <si>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</si>
  <si>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</si>
  <si>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</si>
  <si>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</si>
  <si>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</si>
  <si>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</si>
  <si>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</si>
  <si>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</si>
  <si>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</si>
  <si>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</si>
  <si>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</si>
  <si>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</si>
  <si>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</si>
  <si>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</si>
  <si>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</si>
  <si>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</si>
  <si>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</si>
  <si>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</si>
  <si>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</si>
  <si>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</si>
  <si>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</si>
  <si>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</si>
  <si>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</si>
  <si>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</si>
  <si>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</si>
  <si>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</si>
  <si>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</si>
  <si>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</si>
  <si>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</si>
  <si>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</si>
  <si>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</si>
  <si>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</si>
  <si>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</si>
  <si>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</si>
  <si>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</si>
  <si>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</si>
  <si>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</si>
  <si>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</si>
  <si>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</si>
  <si>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</si>
  <si>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</si>
  <si>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</si>
  <si>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</si>
  <si>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</si>
  <si>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</si>
  <si>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</si>
  <si>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</si>
  <si>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</si>
  <si>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</si>
  <si>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</si>
  <si>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</si>
  <si>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</si>
  <si>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</si>
  <si>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</si>
  <si>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</si>
  <si>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</si>
  <si>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</si>
  <si>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</si>
  <si>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</si>
  <si>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</si>
  <si>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</si>
  <si>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</si>
  <si>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</si>
  <si>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</si>
  <si>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</si>
  <si>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</si>
  <si>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</si>
  <si>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</si>
  <si>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</si>
  <si>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</si>
  <si>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</si>
  <si>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</si>
  <si>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</si>
  <si>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</si>
  <si>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</si>
  <si>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</si>
  <si>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</si>
  <si>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</si>
  <si>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</si>
  <si>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</si>
  <si>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</si>
  <si>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</si>
  <si>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</si>
  <si>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</si>
  <si>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</si>
  <si>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</si>
  <si>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</si>
  <si>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</si>
  <si>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</si>
  <si>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</si>
  <si>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</si>
  <si>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</si>
  <si>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</si>
  <si>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</si>
  <si>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</si>
  <si>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</si>
  <si>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</si>
  <si>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</si>
  <si>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</si>
  <si>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</si>
  <si>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</si>
  <si>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</si>
  <si>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</si>
  <si>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</si>
  <si>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</si>
  <si>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</si>
  <si>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</si>
  <si>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</si>
  <si>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</si>
  <si>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</si>
  <si>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</si>
  <si>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</si>
  <si>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</si>
  <si>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</si>
  <si>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</si>
  <si>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</si>
  <si>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</si>
  <si>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</si>
  <si>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</si>
  <si>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</si>
  <si>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</si>
  <si>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</si>
  <si>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</si>
  <si>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</si>
  <si>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</si>
  <si>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</si>
  <si>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</si>
  <si>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</si>
  <si>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</si>
  <si>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</si>
  <si>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</si>
  <si>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</si>
  <si>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</si>
  <si>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</si>
  <si>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</si>
  <si>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</si>
  <si>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</si>
  <si>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</si>
  <si>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</si>
  <si>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</si>
  <si>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</si>
  <si>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</si>
  <si>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</si>
  <si>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</si>
  <si>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</si>
  <si>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</si>
  <si>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</si>
  <si>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</si>
  <si>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</si>
  <si>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</si>
  <si>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</si>
  <si>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</si>
  <si>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</si>
  <si>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</si>
  <si>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</si>
  <si>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</si>
  <si>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</si>
  <si>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</si>
  <si>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</si>
  <si>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</si>
  <si>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</si>
  <si>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</si>
  <si>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</si>
  <si>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</si>
  <si>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</si>
  <si>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</si>
  <si>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</si>
  <si>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</si>
  <si>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</si>
  <si>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</si>
  <si>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</si>
  <si>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</si>
  <si>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</si>
  <si>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</si>
  <si>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</si>
  <si>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</si>
  <si>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</si>
  <si>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</si>
  <si>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</si>
  <si>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</si>
  <si>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</si>
  <si>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</si>
  <si>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</si>
  <si>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</si>
  <si>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</si>
  <si>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</si>
  <si>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</si>
  <si>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</si>
  <si>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</si>
  <si>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</si>
  <si>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</si>
  <si>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</si>
  <si>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</si>
  <si>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</si>
  <si>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</si>
  <si>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</si>
  <si>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</si>
  <si>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</si>
  <si>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</si>
  <si>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</si>
  <si>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</si>
  <si>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</si>
  <si>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</si>
  <si>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</si>
  <si>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</si>
  <si>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</si>
  <si>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</si>
  <si>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</si>
  <si>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</si>
  <si>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</si>
  <si>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</si>
  <si>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</si>
  <si>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</si>
  <si>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</si>
  <si>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</si>
  <si>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</si>
  <si>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</si>
  <si>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</si>
  <si>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</si>
  <si>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</si>
  <si>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</si>
  <si>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</si>
  <si>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</si>
  <si>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</si>
  <si>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</si>
  <si>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</si>
  <si>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</si>
  <si>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</si>
  <si>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</si>
  <si>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</si>
  <si>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</si>
  <si>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</si>
  <si>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</si>
  <si>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</si>
  <si>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</si>
  <si>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</si>
  <si>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</si>
  <si>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</si>
  <si>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</si>
  <si>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</si>
  <si>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</si>
  <si>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</si>
  <si>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</si>
  <si>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</si>
  <si>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</si>
  <si>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</si>
  <si>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</si>
  <si>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</si>
  <si>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</si>
  <si>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</si>
  <si>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</si>
  <si>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</si>
  <si>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</si>
  <si>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</si>
  <si>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</si>
  <si>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</si>
  <si>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</si>
  <si>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</si>
  <si>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</si>
  <si>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</si>
  <si>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</si>
  <si>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</si>
  <si>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</si>
  <si>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</si>
  <si>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</si>
  <si>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</si>
  <si>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</si>
  <si>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</si>
  <si>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</si>
  <si>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</si>
  <si>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</si>
  <si>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</si>
  <si>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</si>
  <si>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</si>
  <si>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</si>
  <si>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</si>
  <si>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</si>
  <si>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</si>
  <si>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</si>
  <si>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</si>
  <si>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</si>
  <si>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</si>
  <si>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</si>
  <si>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</si>
  <si>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</si>
  <si>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</si>
  <si>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</si>
  <si>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</si>
  <si>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</si>
  <si>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</si>
  <si>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</si>
  <si>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</si>
  <si>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</si>
  <si>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</si>
  <si>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</si>
  <si>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</si>
  <si>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</si>
  <si>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</si>
  <si>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</si>
  <si>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</si>
  <si>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</si>
  <si>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</si>
  <si>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</si>
  <si>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</si>
  <si>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</si>
  <si>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</si>
  <si>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</si>
  <si>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</si>
  <si>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</si>
  <si>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</si>
  <si>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</si>
  <si>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</si>
  <si>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</si>
  <si>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</si>
  <si>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</si>
  <si>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</si>
  <si>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</si>
  <si>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</si>
  <si>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</si>
  <si>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</si>
  <si>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</si>
  <si>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</si>
  <si>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</si>
  <si>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</si>
  <si>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</si>
  <si>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</si>
  <si>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</si>
  <si>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</si>
  <si>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</si>
  <si>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</si>
  <si>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</si>
  <si>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</si>
  <si>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</si>
  <si>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</si>
  <si>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</si>
  <si>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</si>
  <si>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</si>
  <si>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</si>
  <si>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</si>
  <si>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</si>
  <si>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</si>
  <si>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</si>
  <si>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</si>
  <si>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</si>
  <si>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</si>
  <si>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</si>
  <si>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</si>
  <si>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</si>
  <si>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</si>
  <si>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</si>
  <si>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</si>
  <si>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</si>
  <si>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</si>
  <si>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</si>
  <si>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</si>
  <si>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</si>
  <si>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</si>
  <si>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</si>
  <si>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</si>
  <si>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</si>
  <si>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</si>
  <si>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</si>
  <si>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</si>
  <si>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</si>
  <si>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</si>
  <si>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</si>
  <si>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</si>
  <si>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</si>
  <si>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</si>
  <si>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</si>
  <si>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</si>
  <si>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</si>
  <si>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</si>
  <si>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</si>
  <si>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</si>
  <si>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</si>
  <si>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</si>
  <si>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</si>
  <si>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</si>
  <si>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</si>
  <si>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</si>
  <si>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</si>
  <si>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</si>
  <si>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</si>
  <si>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</si>
  <si>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</si>
  <si>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</si>
  <si>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</si>
  <si>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</si>
  <si>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</si>
  <si>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</si>
  <si>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</si>
  <si>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</si>
  <si>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</si>
  <si>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</si>
  <si>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</si>
  <si>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</si>
  <si>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</si>
  <si>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</si>
  <si>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</si>
  <si>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</si>
  <si>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</si>
  <si>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</si>
  <si>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</si>
  <si>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</si>
  <si>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</si>
  <si>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</si>
  <si>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</si>
  <si>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</si>
  <si>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</si>
  <si>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</si>
  <si>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</si>
  <si>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</si>
  <si>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</si>
  <si>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</si>
  <si>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</si>
  <si>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</si>
  <si>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</si>
  <si>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</si>
  <si>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</si>
  <si>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</si>
  <si>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</si>
  <si>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</si>
  <si>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</si>
  <si>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</si>
  <si>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</si>
  <si>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</si>
  <si>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</si>
  <si>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</si>
  <si>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</si>
  <si>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</si>
  <si>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</si>
  <si>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</si>
  <si>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</si>
  <si>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</si>
  <si>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</si>
  <si>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</si>
  <si>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</si>
  <si>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</si>
  <si>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</si>
  <si>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</si>
  <si>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</si>
  <si>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</si>
  <si>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</si>
  <si>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</si>
  <si>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</si>
  <si>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</si>
  <si>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</si>
  <si>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</si>
  <si>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</si>
  <si>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</si>
  <si>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</si>
  <si>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</si>
  <si>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</si>
  <si>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</si>
  <si>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</si>
  <si>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</si>
  <si>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</si>
  <si>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</si>
  <si>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</si>
  <si>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</si>
  <si>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</si>
  <si>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</si>
  <si>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</si>
  <si>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</si>
  <si>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</si>
  <si>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</si>
  <si>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</si>
  <si>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</si>
  <si>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</si>
  <si>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</si>
  <si>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</si>
  <si>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</si>
  <si>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</si>
  <si>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</si>
  <si>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</si>
  <si>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</si>
  <si>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</si>
  <si>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</si>
  <si>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</si>
  <si>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</si>
  <si>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</si>
  <si>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</si>
  <si>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</si>
  <si>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</si>
  <si>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</si>
  <si>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</si>
  <si>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</si>
  <si>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</si>
  <si>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</si>
  <si>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</si>
  <si>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</si>
  <si>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</si>
  <si>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</si>
  <si>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</si>
  <si>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</si>
  <si>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</si>
  <si>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</si>
  <si>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</si>
  <si>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</si>
  <si>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</si>
  <si>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</si>
  <si>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</si>
  <si>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</si>
  <si>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</si>
  <si>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</si>
  <si>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</si>
  <si>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</si>
  <si>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</si>
  <si>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</si>
  <si>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</si>
  <si>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</si>
  <si>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</si>
  <si>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</si>
  <si>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</si>
  <si>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</si>
  <si>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</si>
  <si>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</si>
  <si>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</si>
  <si>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</si>
  <si>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</si>
  <si>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</si>
  <si>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</si>
  <si>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</si>
  <si>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</si>
  <si>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</si>
  <si>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</si>
  <si>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</si>
  <si>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</si>
  <si>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</si>
  <si>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</si>
  <si>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</si>
  <si>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</si>
  <si>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</si>
  <si>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</si>
  <si>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</si>
  <si>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</si>
  <si>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</si>
  <si>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</si>
  <si>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</si>
  <si>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</si>
  <si>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</si>
  <si>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</si>
  <si>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</si>
  <si>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</si>
  <si>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</si>
  <si>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</si>
  <si>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</si>
  <si>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</si>
  <si>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</si>
  <si>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</si>
  <si>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</si>
  <si>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</si>
  <si>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</si>
  <si>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</si>
  <si>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</si>
  <si>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</si>
  <si>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</si>
  <si>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</si>
  <si>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</si>
  <si>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</si>
  <si>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</si>
  <si>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</si>
  <si>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</si>
  <si>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</si>
  <si>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</si>
  <si>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</si>
  <si>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</si>
  <si>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</si>
  <si>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</si>
  <si>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</si>
  <si>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</si>
  <si>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</si>
  <si>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</si>
  <si>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</si>
  <si>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</si>
  <si>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</si>
  <si>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</si>
  <si>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</si>
  <si>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</si>
  <si>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</si>
  <si>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</si>
  <si>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</si>
  <si>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</si>
  <si>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</si>
  <si>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</si>
  <si>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</si>
  <si>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</si>
  <si>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</si>
  <si>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</si>
  <si>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</si>
  <si>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</si>
  <si>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</si>
  <si>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</si>
  <si>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</si>
  <si>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</si>
  <si>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</si>
  <si>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</si>
  <si>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</si>
  <si>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</si>
  <si>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</si>
  <si>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</si>
  <si>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</si>
  <si>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</si>
  <si>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</si>
  <si>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</si>
  <si>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</si>
  <si>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</si>
  <si>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</si>
  <si>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</si>
  <si>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</si>
  <si>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</si>
  <si>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</si>
  <si>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</si>
  <si>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</si>
  <si>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</si>
  <si>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</si>
  <si>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</si>
  <si>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</si>
  <si>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</si>
  <si>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</si>
  <si>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</si>
  <si>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</si>
  <si>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</si>
  <si>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</si>
  <si>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</si>
  <si>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</si>
  <si>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</si>
  <si>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</si>
  <si>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</si>
  <si>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</si>
  <si>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</si>
  <si>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</si>
  <si>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</si>
  <si>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</si>
  <si>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</si>
  <si>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</si>
  <si>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</si>
  <si>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</si>
  <si>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</si>
  <si>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</si>
  <si>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</si>
  <si>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</si>
  <si>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</si>
  <si>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</si>
  <si>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</si>
  <si>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</si>
  <si>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</si>
  <si>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</si>
  <si>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</si>
  <si>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</si>
  <si>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</si>
  <si>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</si>
  <si>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</si>
  <si>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</si>
  <si>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</si>
  <si>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</si>
  <si>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</si>
  <si>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</si>
  <si>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</si>
  <si>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</si>
  <si>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</si>
  <si>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</si>
  <si>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</si>
  <si>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</si>
  <si>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</si>
  <si>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</si>
  <si>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</si>
  <si>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</si>
  <si>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</si>
  <si>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</si>
  <si>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</si>
  <si>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</si>
  <si>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</si>
  <si>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</si>
  <si>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</si>
  <si>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</si>
  <si>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</si>
  <si>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</si>
  <si>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</si>
  <si>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</si>
  <si>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</si>
  <si>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</si>
  <si>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</si>
  <si>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</si>
  <si>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</si>
  <si>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</si>
  <si>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</si>
  <si>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</si>
  <si>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</si>
  <si>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</si>
  <si>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</si>
  <si>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</si>
  <si>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</si>
  <si>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</si>
  <si>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</si>
  <si>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</si>
  <si>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</si>
  <si>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</si>
  <si>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</si>
  <si>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</si>
  <si>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</si>
  <si>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</si>
  <si>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</si>
  <si>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</si>
  <si>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</si>
  <si>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</si>
  <si>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</si>
  <si>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</si>
  <si>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</si>
  <si>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</si>
  <si>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</si>
  <si>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</si>
  <si>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</si>
  <si>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</si>
  <si>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</si>
  <si>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</si>
  <si>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</si>
  <si>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</si>
  <si>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</si>
  <si>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</si>
  <si>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</si>
  <si>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</si>
  <si>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</si>
  <si>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</si>
  <si>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</si>
  <si>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</si>
  <si>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</si>
  <si>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</si>
  <si>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</si>
  <si>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</si>
  <si>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</si>
  <si>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</si>
  <si>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</si>
  <si>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</si>
  <si>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</si>
  <si>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</si>
  <si>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</si>
  <si>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</si>
  <si>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</si>
  <si>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</si>
  <si>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</si>
  <si>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</si>
  <si>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</si>
  <si>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</si>
  <si>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</si>
  <si>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</si>
  <si>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</si>
  <si>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</si>
  <si>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</si>
  <si>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</si>
  <si>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</si>
  <si>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</si>
  <si>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</si>
  <si>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</si>
  <si>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</si>
  <si>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</si>
  <si>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</si>
  <si>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</si>
  <si>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</si>
  <si>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</si>
  <si>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</si>
  <si>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</si>
  <si>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</si>
  <si>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</si>
  <si>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</si>
  <si>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</si>
  <si>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</si>
  <si>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</si>
  <si>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</si>
  <si>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</si>
  <si>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</si>
  <si>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</si>
  <si>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</si>
  <si>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</si>
  <si>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</si>
  <si>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</si>
  <si>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</si>
  <si>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</si>
  <si>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</si>
  <si>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</si>
  <si>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</si>
  <si>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</si>
  <si>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</si>
  <si>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</si>
  <si>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</si>
  <si>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</si>
  <si>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</si>
  <si>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</si>
  <si>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</si>
  <si>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</si>
  <si>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</si>
  <si>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</si>
  <si>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</si>
  <si>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</si>
  <si>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</si>
  <si>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</si>
  <si>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</si>
  <si>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</si>
  <si>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</si>
  <si>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</si>
  <si>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</si>
  <si>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</si>
  <si>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</si>
  <si>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</si>
  <si>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</si>
  <si>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</si>
  <si>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</si>
  <si>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</si>
  <si>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</si>
  <si>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</si>
  <si>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</si>
  <si>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</si>
  <si>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</si>
  <si>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</si>
  <si>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</si>
  <si>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</si>
  <si>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</si>
  <si>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</si>
  <si>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</si>
  <si>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</si>
  <si>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</si>
  <si>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</si>
  <si>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</si>
  <si>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</si>
  <si>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</si>
  <si>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</si>
  <si>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</si>
  <si>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</si>
  <si>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</si>
  <si>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</si>
  <si>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</si>
  <si>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</si>
  <si>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</si>
  <si>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</si>
  <si>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</si>
  <si>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</si>
  <si>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</si>
  <si>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</si>
  <si>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</si>
  <si>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</si>
  <si>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</si>
  <si>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</si>
  <si>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</si>
  <si>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</si>
  <si>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</si>
  <si>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</si>
  <si>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</si>
  <si>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</si>
  <si>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</si>
  <si>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</si>
  <si>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</si>
  <si>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</si>
  <si>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</si>
  <si>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</si>
  <si>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</si>
  <si>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</si>
  <si>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</si>
  <si>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</si>
  <si>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</si>
  <si>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</si>
  <si>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</si>
  <si>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</si>
  <si>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</si>
  <si>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</si>
  <si>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</si>
  <si>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</si>
  <si>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</si>
  <si>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</si>
  <si>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</si>
  <si>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</si>
  <si>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</si>
  <si>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</si>
  <si>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</si>
  <si>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</si>
  <si>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</si>
  <si>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</si>
  <si>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</si>
  <si>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</si>
  <si>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</si>
  <si>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</si>
  <si>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</si>
  <si>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</si>
  <si>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</si>
  <si>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</si>
  <si>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</si>
  <si>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</si>
  <si>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</si>
  <si>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</si>
  <si>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</si>
  <si>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</si>
  <si>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</si>
  <si>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</si>
  <si>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</si>
  <si>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</si>
  <si>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</si>
  <si>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</si>
  <si>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</si>
  <si>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</si>
  <si>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</si>
  <si>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</si>
  <si>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</si>
  <si>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</si>
  <si>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</si>
  <si>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</si>
  <si>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</si>
  <si>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</si>
  <si>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</si>
  <si>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</si>
  <si>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</si>
  <si>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</si>
  <si>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</si>
  <si>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</si>
  <si>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</si>
  <si>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</si>
  <si>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</si>
  <si>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</si>
  <si>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</si>
  <si>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</si>
  <si>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</si>
  <si>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</si>
  <si>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</si>
  <si>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</si>
  <si>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</si>
  <si>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</si>
  <si>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</si>
  <si>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</si>
  <si>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</si>
  <si>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</si>
  <si>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</si>
  <si>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</si>
  <si>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</si>
  <si>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</si>
  <si>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</si>
  <si>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</si>
  <si>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</si>
  <si>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</si>
  <si>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</si>
  <si>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</si>
  <si>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</si>
  <si>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</si>
  <si>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</si>
  <si>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</si>
  <si>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</si>
  <si>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</si>
  <si>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</si>
  <si>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</si>
  <si>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</si>
  <si>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</si>
  <si>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</si>
  <si>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</si>
  <si>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</si>
  <si>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</si>
  <si>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</si>
  <si>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</si>
  <si>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</si>
  <si>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</si>
  <si>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</si>
  <si>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</si>
  <si>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</si>
  <si>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</si>
  <si>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</si>
  <si>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</si>
  <si>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</si>
  <si>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</si>
  <si>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</si>
  <si>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</si>
  <si>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</si>
  <si>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</si>
  <si>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</si>
  <si>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</si>
  <si>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</si>
  <si>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</si>
  <si>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</si>
  <si>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</si>
  <si>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</si>
  <si>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</si>
  <si>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</si>
  <si>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</si>
  <si>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</si>
  <si>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</si>
  <si>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</si>
  <si>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</si>
  <si>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</si>
  <si>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</si>
  <si>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</si>
  <si>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</si>
  <si>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</si>
  <si>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</si>
  <si>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</si>
  <si>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</si>
  <si>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</si>
  <si>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</si>
  <si>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</si>
  <si>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</si>
  <si>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</si>
  <si>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</si>
  <si>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</si>
  <si>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</si>
  <si>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</si>
  <si>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</si>
  <si>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</si>
  <si>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</si>
  <si>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</si>
  <si>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</si>
  <si>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</si>
  <si>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</si>
  <si>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</si>
  <si>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</si>
  <si>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</si>
  <si>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</si>
  <si>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</si>
  <si>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</si>
  <si>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</si>
  <si>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</si>
  <si>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</si>
  <si>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</si>
  <si>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</si>
  <si>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</si>
  <si>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</si>
  <si>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</si>
  <si>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</si>
  <si>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</si>
  <si>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</si>
  <si>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</si>
  <si>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</si>
  <si>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</si>
  <si>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</si>
  <si>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</si>
  <si>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</si>
  <si>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</si>
  <si>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</si>
  <si>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</si>
  <si>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</si>
  <si>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</si>
  <si>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</si>
  <si>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</si>
  <si>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</si>
  <si>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</si>
  <si>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</si>
  <si>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</si>
  <si>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</si>
  <si>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</si>
  <si>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</si>
  <si>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</si>
  <si>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</si>
  <si>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</si>
  <si>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</si>
  <si>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</si>
  <si>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</si>
  <si>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</si>
  <si>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</si>
  <si>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</si>
  <si>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</si>
  <si>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</si>
  <si>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</si>
  <si>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</si>
  <si>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</si>
  <si>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</si>
  <si>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</si>
  <si>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</si>
  <si>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</si>
  <si>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</si>
  <si>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</si>
  <si>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</si>
  <si>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</si>
  <si>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</si>
  <si>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</si>
  <si>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</si>
  <si>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</si>
  <si>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</si>
  <si>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</si>
  <si>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</si>
  <si>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</si>
  <si>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</si>
  <si>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</si>
  <si>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</si>
  <si>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</si>
  <si>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</si>
  <si>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</si>
  <si>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</si>
  <si>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</si>
  <si>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</si>
  <si>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</si>
  <si>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</si>
  <si>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</si>
  <si>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</si>
  <si>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</si>
  <si>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</si>
  <si>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</si>
  <si>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</si>
  <si>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</si>
  <si>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</si>
  <si>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</si>
  <si>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</si>
  <si>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</si>
  <si>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</si>
  <si>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</si>
  <si>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</si>
  <si>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</si>
  <si>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</si>
  <si>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</si>
  <si>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</si>
  <si>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</si>
  <si>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</si>
  <si>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</si>
  <si>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</si>
  <si>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</si>
  <si>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</si>
  <si>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</si>
  <si>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</si>
  <si>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</si>
  <si>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</si>
  <si>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</si>
  <si>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</si>
  <si>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</si>
  <si>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</si>
  <si>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</si>
  <si>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</si>
  <si>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</si>
  <si>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</si>
  <si>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</si>
  <si>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</si>
  <si>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</si>
  <si>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</si>
  <si>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</si>
  <si>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</si>
  <si>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</si>
  <si>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</si>
  <si>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</si>
  <si>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</si>
  <si>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</si>
  <si>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</si>
  <si>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</si>
  <si>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</si>
  <si>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</si>
  <si>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</si>
  <si>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</si>
  <si>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</si>
  <si>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</si>
  <si>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</si>
  <si>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</si>
  <si>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</si>
  <si>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</si>
  <si>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</si>
  <si>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</si>
  <si>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</si>
  <si>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</si>
  <si>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</si>
  <si>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</si>
  <si>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</si>
  <si>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</si>
  <si>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</si>
  <si>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</si>
  <si>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</si>
  <si>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</si>
  <si>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</si>
  <si>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</si>
  <si>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</si>
  <si>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</si>
  <si>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</si>
  <si>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</si>
  <si>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</si>
  <si>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</si>
  <si>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</si>
  <si>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</si>
  <si>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</si>
  <si>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</si>
  <si>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</si>
  <si>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</si>
  <si>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</si>
  <si>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</si>
  <si>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</si>
  <si>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</si>
  <si>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</si>
  <si>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</si>
  <si>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</si>
  <si>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</si>
  <si>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</si>
  <si>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</si>
  <si>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</si>
  <si>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</si>
  <si>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</si>
  <si>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</si>
  <si>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</si>
  <si>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</si>
  <si>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</si>
  <si>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</si>
  <si>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</si>
  <si>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</si>
  <si>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</si>
  <si>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</si>
  <si>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</si>
  <si>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</si>
  <si>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</si>
  <si>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</si>
  <si>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</si>
  <si>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</si>
  <si>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</si>
  <si>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</si>
  <si>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</si>
  <si>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</si>
  <si>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</si>
  <si>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</si>
  <si>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</si>
  <si>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</si>
  <si>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</si>
  <si>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</si>
  <si>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</si>
  <si>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</si>
  <si>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</si>
  <si>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</si>
  <si>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</si>
  <si>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</si>
  <si>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</si>
  <si>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</si>
  <si>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</si>
  <si>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</si>
  <si>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</si>
  <si>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</si>
  <si>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</si>
  <si>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</si>
  <si>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</si>
  <si>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</si>
  <si>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</si>
  <si>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</si>
  <si>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</si>
  <si>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</si>
  <si>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</si>
  <si>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</si>
  <si>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</si>
  <si>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</si>
  <si>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</si>
  <si>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</si>
  <si>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</si>
  <si>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</si>
  <si>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</si>
  <si>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</si>
  <si>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</si>
  <si>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</si>
  <si>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</si>
  <si>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</si>
  <si>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</si>
  <si>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</si>
  <si>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</si>
  <si>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</si>
  <si>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</si>
  <si>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</si>
  <si>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</si>
  <si>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</si>
  <si>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</si>
  <si>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</si>
  <si>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</si>
  <si>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</si>
  <si>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</si>
  <si>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</si>
  <si>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</si>
  <si>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</si>
  <si>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</si>
  <si>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</si>
  <si>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</si>
  <si>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</si>
  <si>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</si>
  <si>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</si>
  <si>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</si>
  <si>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</si>
  <si>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</si>
  <si>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</si>
  <si>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</si>
  <si>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</si>
  <si>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</si>
  <si>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</si>
  <si>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</si>
  <si>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</si>
  <si>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</si>
  <si>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</si>
  <si>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</si>
  <si>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</si>
  <si>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</si>
  <si>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</si>
  <si>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</si>
  <si>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</si>
  <si>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</si>
  <si>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</si>
  <si>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</si>
  <si>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</si>
  <si>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</si>
  <si>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</si>
  <si>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</si>
  <si>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</si>
  <si>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</si>
  <si>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</si>
  <si>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</si>
  <si>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</si>
  <si>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</si>
  <si>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</si>
  <si>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</si>
  <si>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</si>
  <si>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</si>
  <si>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</si>
  <si>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</si>
  <si>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</si>
  <si>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</si>
  <si>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</si>
  <si>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</si>
  <si>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</si>
  <si>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</si>
  <si>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</si>
  <si>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</si>
  <si>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</si>
  <si>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</si>
  <si>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</si>
  <si>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</si>
  <si>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</si>
  <si>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</si>
  <si>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</si>
  <si>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</si>
  <si>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</si>
  <si>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</si>
  <si>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</si>
  <si>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</si>
  <si>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</si>
  <si>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</si>
  <si>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</si>
  <si>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</si>
  <si>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</si>
  <si>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</si>
  <si>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</si>
  <si>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</si>
  <si>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</si>
  <si>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</si>
  <si>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</si>
  <si>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</si>
  <si>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</si>
  <si>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</si>
  <si>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</si>
  <si>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</si>
  <si>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</si>
  <si>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</si>
  <si>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</si>
  <si>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</si>
  <si>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</si>
  <si>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</si>
  <si>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</si>
  <si>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</si>
  <si>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</si>
  <si>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</si>
  <si>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</si>
  <si>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</si>
  <si>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</si>
  <si>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</si>
  <si>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</si>
  <si>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</si>
  <si>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</si>
  <si>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</si>
  <si>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</si>
  <si>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</si>
  <si>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</si>
  <si>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</si>
  <si>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</si>
  <si>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</si>
  <si>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</si>
  <si>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</si>
  <si>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</si>
  <si>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</si>
  <si>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</si>
  <si>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</si>
  <si>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</si>
  <si>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</si>
  <si>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</si>
  <si>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</si>
  <si>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</si>
  <si>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</si>
  <si>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</si>
  <si>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</si>
  <si>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</si>
  <si>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</si>
  <si>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</si>
  <si>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</si>
  <si>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</si>
  <si>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</si>
  <si>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</si>
  <si>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</si>
  <si>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</si>
  <si>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</si>
  <si>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</si>
  <si>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</si>
  <si>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</si>
  <si>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</si>
  <si>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</si>
  <si>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</si>
  <si>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</si>
  <si>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</si>
  <si>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</si>
  <si>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</si>
  <si>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</si>
  <si>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</si>
  <si>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</si>
  <si>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</si>
  <si>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</si>
  <si>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</si>
  <si>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</si>
  <si>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</si>
  <si>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</si>
  <si>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</si>
  <si>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</si>
  <si>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</si>
  <si>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</si>
  <si>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</si>
  <si>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</si>
  <si>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</si>
  <si>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</si>
  <si>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</si>
  <si>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</si>
  <si>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</si>
  <si>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</si>
  <si>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</si>
  <si>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</si>
  <si>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</si>
  <si>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</si>
  <si>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</si>
  <si>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</si>
  <si>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</si>
  <si>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</si>
  <si>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</si>
  <si>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</si>
  <si>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</si>
  <si>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</si>
  <si>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</si>
  <si>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</si>
  <si>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</si>
  <si>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</si>
  <si>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</si>
  <si>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</si>
  <si>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</si>
  <si>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</si>
  <si>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</si>
  <si>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</si>
  <si>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</si>
  <si>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</si>
  <si>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</si>
  <si>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</si>
  <si>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</si>
  <si>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</si>
  <si>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</si>
  <si>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</si>
  <si>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</si>
  <si>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</si>
  <si>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</si>
  <si>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</si>
  <si>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</si>
  <si>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</si>
  <si>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</si>
  <si>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</si>
  <si>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</si>
  <si>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</si>
  <si>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</si>
  <si>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</si>
  <si>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</si>
  <si>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</si>
  <si>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</si>
  <si>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</si>
  <si>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</si>
  <si>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</si>
  <si>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</si>
  <si>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</si>
  <si>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</si>
  <si>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</si>
  <si>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</si>
  <si>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</si>
  <si>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</si>
  <si>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</si>
  <si>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</si>
  <si>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</si>
  <si>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</si>
  <si>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</si>
  <si>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</si>
  <si>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</si>
  <si>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</si>
  <si>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</si>
  <si>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</si>
  <si>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</si>
  <si>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</si>
  <si>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</si>
  <si>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</si>
  <si>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</si>
  <si>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</si>
  <si>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</si>
  <si>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</si>
  <si>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</si>
  <si>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</si>
  <si>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</si>
  <si>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</si>
  <si>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</si>
  <si>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</si>
  <si>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</si>
  <si>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</si>
  <si>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</si>
  <si>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</si>
  <si>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</si>
  <si>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</si>
  <si>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</si>
  <si>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</si>
  <si>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</si>
  <si>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</si>
  <si>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</si>
  <si>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</si>
  <si>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</si>
  <si>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</si>
  <si>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</si>
  <si>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</si>
  <si>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</si>
  <si>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</si>
  <si>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</si>
  <si>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</si>
  <si>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</si>
  <si>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</si>
  <si>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</si>
  <si>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</si>
  <si>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</si>
  <si>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</si>
  <si>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</si>
  <si>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</si>
  <si>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</si>
  <si>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</si>
  <si>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</si>
  <si>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</si>
  <si>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</si>
  <si>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</si>
  <si>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</si>
  <si>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</si>
  <si>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</si>
  <si>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</si>
  <si>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</si>
  <si>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</si>
  <si>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</si>
  <si>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</si>
  <si>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</si>
  <si>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</si>
  <si>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</si>
  <si>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</si>
  <si>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</si>
  <si>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</si>
  <si>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</si>
  <si>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</si>
  <si>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</si>
  <si>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</si>
  <si>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</si>
  <si>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</si>
  <si>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</si>
  <si>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</si>
  <si>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</si>
  <si>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</si>
  <si>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</si>
  <si>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</si>
  <si>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</si>
  <si>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</si>
  <si>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</si>
  <si>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</si>
  <si>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</si>
  <si>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</si>
  <si>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</si>
  <si>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</si>
  <si>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</si>
  <si>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</si>
  <si>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</si>
  <si>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</si>
  <si>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</si>
  <si>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</si>
  <si>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</si>
  <si>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</si>
  <si>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</si>
  <si>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</si>
  <si>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</si>
  <si>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</si>
  <si>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</si>
  <si>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</si>
  <si>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</si>
  <si>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</si>
  <si>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</si>
  <si>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</si>
  <si>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</si>
  <si>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</si>
  <si>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</si>
  <si>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</si>
  <si>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</si>
  <si>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</si>
  <si>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</si>
  <si>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</si>
  <si>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</si>
  <si>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</si>
  <si>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</si>
  <si>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</si>
  <si>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</si>
  <si>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</si>
  <si>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</si>
  <si>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</si>
  <si>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</si>
  <si>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</si>
  <si>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</si>
  <si>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</si>
  <si>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</si>
  <si>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</si>
  <si>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</si>
  <si>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</si>
  <si>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</si>
  <si>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</si>
  <si>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</si>
  <si>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</si>
  <si>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</si>
  <si>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</si>
  <si>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</si>
  <si>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</si>
  <si>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</si>
  <si>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</si>
  <si>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</si>
  <si>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</si>
  <si>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</si>
  <si>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</si>
  <si>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</si>
  <si>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</si>
  <si>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</si>
  <si>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</si>
  <si>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</si>
  <si>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</si>
  <si>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</si>
  <si>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</si>
  <si>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Semiconductor Components Industries, LLC dba onsemi</t>
  </si>
  <si>
    <t>04-414-9362</t>
  </si>
  <si>
    <t>DUNS</t>
  </si>
  <si>
    <t>5005 East McDowell Road Phoenix, AZ 85008 USA</t>
  </si>
  <si>
    <t>Edwin Laoreno</t>
  </si>
  <si>
    <t>edwin.laoreno@onsemi.com</t>
  </si>
  <si>
    <t>(408) 660-2590</t>
  </si>
  <si>
    <t>Cynthia Lambojon</t>
  </si>
  <si>
    <t>Sr. Manager, Corporate Social Responsibility</t>
  </si>
  <si>
    <t>cynthia.lambojon@onsemi.com</t>
  </si>
  <si>
    <t>(408) 542-1106</t>
  </si>
  <si>
    <t>https://www.onsemi.com/site/pdf/Conflict_Mineral_Policy.pdf</t>
  </si>
  <si>
    <t>Not Available</t>
  </si>
  <si>
    <t>Yasufumi Kuwayama</t>
  </si>
  <si>
    <t>Kinzoku_Responsible_Cobalt@smm-g.com</t>
  </si>
  <si>
    <t>Reach out to all suppliers using this smelter</t>
  </si>
  <si>
    <t>Not available</t>
  </si>
  <si>
    <t>L1</t>
  </si>
  <si>
    <t>RMAP Conformant</t>
  </si>
  <si>
    <t>Kobolttiaukio 1</t>
  </si>
  <si>
    <t>Chris Chambers</t>
  </si>
  <si>
    <t>cchamber@fmi.com</t>
  </si>
  <si>
    <t>No action required. Audit valid till 7/30/2020</t>
  </si>
  <si>
    <t>Watertorenstraat 31, 2250</t>
  </si>
  <si>
    <t>Jonas DeSchaepmeester</t>
  </si>
  <si>
    <t xml:space="preserve"> Jonas.DeSchaepmeester@eu.umicore.com</t>
  </si>
  <si>
    <t>No action required. Audit valid till 5/08/2020</t>
  </si>
  <si>
    <t>Bruce Laverty</t>
  </si>
  <si>
    <t>bruce.laverty@ambatovy.mg</t>
  </si>
  <si>
    <t>Eligible smelter but not yet conformant</t>
  </si>
  <si>
    <t>Vesterveien 31</t>
  </si>
  <si>
    <t>Ilse Schoeters</t>
  </si>
  <si>
    <t>ilse.schoeters@glencore.com</t>
  </si>
  <si>
    <t>25 Metallurgov Avenue</t>
  </si>
  <si>
    <t>Anton Berlin</t>
  </si>
  <si>
    <t>BerlinAV@nornik.ru</t>
  </si>
  <si>
    <t xml:space="preserve">Active and engaged in the RMAP </t>
  </si>
  <si>
    <t>Wang Wei</t>
  </si>
  <si>
    <t>wangxp@jnmc.com</t>
  </si>
  <si>
    <t>No Action Required. This company is an eligible smelter and is engaged in the RMAP but not yet conformant.</t>
  </si>
  <si>
    <t>Teollisuuskatu 1</t>
  </si>
  <si>
    <t>Juha Parkkinen</t>
  </si>
  <si>
    <t>juha.parkkinen@nornickel.fi</t>
  </si>
  <si>
    <t>Nianxin Road NO.18 High-Tech Industrial Park</t>
  </si>
  <si>
    <t>Bryce Lee</t>
  </si>
  <si>
    <t>brycelee@huayou.com</t>
  </si>
  <si>
    <t>No Action Required. This company is an eligible smelter and is engaged in the RMAP but not yet conforman</t>
  </si>
  <si>
    <t>18 Wu Zhendong Road, Tongxiang Economic Development Zone</t>
  </si>
  <si>
    <t>CID003240</t>
  </si>
  <si>
    <t>Sudbury Integrated Nickel Operation</t>
  </si>
  <si>
    <t xml:space="preserve">Not eligible smelter </t>
  </si>
  <si>
    <t>CID003559</t>
  </si>
  <si>
    <t>Vale Canada</t>
  </si>
  <si>
    <t>Alleged</t>
  </si>
  <si>
    <t>CID003723</t>
  </si>
  <si>
    <t>Falconbridge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</si>
</sst>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_Mineral_Policy.pdf" TargetMode="External"/><Relationship Id="rId2" Type="http://schemas.openxmlformats.org/officeDocument/2006/relationships/hyperlink" Target="mailto:cynthia.lambojon@onsemi.com" TargetMode="External"/><Relationship Id="rId1" Type="http://schemas.openxmlformats.org/officeDocument/2006/relationships/hyperlink" Target="mailto:edwin.laoreno@on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68" customWidth="1"/>
    <col min="2" max="2" width="34.90625" style="168" customWidth="1"/>
    <col min="3" max="3" width="8.90625" style="168" customWidth="1"/>
    <col min="4" max="16384" width="8.90625" style="168"/>
  </cols>
  <sheetData>
    <row r="1" spans="1:2" ht="104.1" customHeight="1">
      <c r="A1" s="183" t="str">
        <f ca="1">OFFSET(L!$C$1,MATCH("Instructions"&amp;ADDRESS(ROW(),COLUMN(),4),L!$A:$A,0)-1,SL,,)</f>
        <v>RMI:www.responsiblemineralsinitiative.org/</v>
      </c>
      <c r="B1" s="191"/>
    </row>
    <row r="2" spans="1:2" ht="16.2">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6.2">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4.8">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6.2">
      <c r="A74" s="194" t="s">
        <v>0</v>
      </c>
      <c r="B74" s="190"/>
    </row>
    <row r="75" spans="1:2" ht="16.8"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265625" defaultRowHeight="12.6"/>
  <cols>
    <col min="1" max="1" width="20.453125" style="58" customWidth="1"/>
    <col min="2" max="2" width="57.08984375" style="58" customWidth="1"/>
    <col min="3" max="16384" width="8.72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6"/>
  <cols>
    <col min="2" max="2" width="27.363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9ABE99F-715E-4955-A064-0639C8CAE934}"/>
    </customSheetView>
    <customSheetView guid="{4BDF1A28-30D5-449D-B20E-D6C97EF9FAE1}" showAutoFilter="1">
      <selection activeCell="C1" sqref="C1:D65536"/>
      <pageMargins left="0" right="0" top="0" bottom="0" header="0" footer="0"/>
      <pageSetup orientation="portrait"/>
      <autoFilter ref="B1:C1" xr:uid="{7C778B53-C901-4025-B743-E163CF3595D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6"/>
  <cols>
    <col min="1" max="1" width="0.90625" customWidth="1"/>
    <col min="2" max="2" width="10.08984375" customWidth="1"/>
    <col min="3" max="3" width="11.453125" customWidth="1"/>
    <col min="4" max="4" width="17.08984375" style="159" customWidth="1"/>
    <col min="5" max="5" width="42.26953125" customWidth="1"/>
    <col min="6" max="6" width="53.26953125" customWidth="1"/>
    <col min="7" max="7" width="0.90625" customWidth="1"/>
  </cols>
  <sheetData>
    <row r="1" spans="1:7" ht="13.2"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6.2">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
      <c r="A13" s="328"/>
      <c r="B13" s="247">
        <v>1</v>
      </c>
      <c r="C13" s="248" t="s">
        <v>12</v>
      </c>
      <c r="D13" s="249">
        <v>44489</v>
      </c>
      <c r="E13" s="250" t="s">
        <v>13</v>
      </c>
      <c r="F13" s="251" t="s">
        <v>14</v>
      </c>
      <c r="G13" s="25"/>
    </row>
    <row r="14" spans="1:7" ht="57">
      <c r="A14" s="328"/>
      <c r="B14" s="247">
        <v>1.01</v>
      </c>
      <c r="C14" s="248" t="s">
        <v>12</v>
      </c>
      <c r="D14" s="249">
        <v>44523</v>
      </c>
      <c r="E14" s="248" t="s">
        <v>14424</v>
      </c>
      <c r="F14" s="251" t="s">
        <v>14</v>
      </c>
      <c r="G14" s="25"/>
    </row>
    <row r="15" spans="1:7" ht="57">
      <c r="A15" s="328"/>
      <c r="B15" s="247">
        <v>1.02</v>
      </c>
      <c r="C15" s="248" t="s">
        <v>12</v>
      </c>
      <c r="D15" s="249">
        <v>44553</v>
      </c>
      <c r="E15" s="248" t="s">
        <v>14429</v>
      </c>
      <c r="F15" s="251" t="s">
        <v>14</v>
      </c>
      <c r="G15" s="25"/>
    </row>
    <row r="16" spans="1:7" ht="13.2" thickBot="1">
      <c r="A16" s="329"/>
      <c r="B16" s="330" t="str">
        <f ca="1">OFFSET(L!$C$1,MATCH("General"&amp;"Cpy",L!$A:$A,0)-1,SL,,)</f>
        <v>© 2021 Responsible Minerals Initiative. All rights reserved.</v>
      </c>
      <c r="C16" s="330"/>
      <c r="D16" s="330"/>
      <c r="E16" s="330"/>
      <c r="F16" s="330"/>
      <c r="G16" s="26"/>
    </row>
    <row r="17" ht="13.2"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68" customWidth="1"/>
    <col min="2" max="2" width="35.453125" style="168" customWidth="1"/>
    <col min="3" max="3" width="105.453125" style="168" customWidth="1"/>
    <col min="4" max="5" width="1.7265625" style="168" customWidth="1"/>
    <col min="6" max="6" width="52" style="168" customWidth="1"/>
    <col min="7" max="7" width="4.90625" style="168" customWidth="1"/>
    <col min="8" max="16384" width="8.90625" style="168"/>
  </cols>
  <sheetData>
    <row r="1" spans="1:8" ht="90.6" customHeight="1" thickTop="1">
      <c r="A1" s="334"/>
      <c r="B1" s="335"/>
      <c r="C1" s="335"/>
      <c r="D1" s="336"/>
    </row>
    <row r="2" spans="1:8" ht="16.2">
      <c r="A2" s="188"/>
      <c r="B2" s="189" t="str">
        <f ca="1">OFFSET(L!$C$1,MATCH("Definitions"&amp;ADDRESS(ROW(),COLUMN(),4),L!$A:$A,0)-1,SL,,)</f>
        <v>ITEM</v>
      </c>
      <c r="C2" s="189" t="str">
        <f ca="1">OFFSET(L!$C$1,MATCH("Definitions"&amp;ADDRESS(ROW(),COLUMN(),4),L!$A:$A,0)-1,SL,,)</f>
        <v>DEFINITION</v>
      </c>
      <c r="D2" s="338"/>
      <c r="E2" s="190"/>
    </row>
    <row r="3" spans="1:8" ht="48.6">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4.8">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9.6">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45.80000000000001">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7.2">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81">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8.6">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13.4">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81">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29.6">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8.6">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81">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45.80000000000001">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45.80000000000001">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4.8">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6.2">
      <c r="A22" s="188"/>
      <c r="B22" s="337" t="str">
        <f ca="1">OFFSET(L!$C$1,MATCH("General"&amp;"Cpy",L!$A:$A,0)-1,SL,,)</f>
        <v>© 2021 Responsible Minerals Initiative. All rights reserved.</v>
      </c>
      <c r="C22" s="337"/>
      <c r="D22" s="338"/>
      <c r="E22" s="191"/>
    </row>
    <row r="23" spans="1:5" ht="13.2" thickBot="1">
      <c r="A23" s="192"/>
      <c r="B23" s="193"/>
      <c r="C23" s="193"/>
      <c r="D23" s="339"/>
    </row>
    <row r="24" spans="1:5" ht="13.2"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80" zoomScaleNormal="80" workbookViewId="0">
      <selection activeCell="D44" sqref="D44:E44"/>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6.2">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6.2">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6.2">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65" t="s">
        <v>14434</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65" t="s">
        <v>14436</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04" t="s">
        <v>14437</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65" t="s">
        <v>14438</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65" t="s">
        <v>14439</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65" t="s">
        <v>14440</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4" t="s">
        <v>14441</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65" t="s">
        <v>14442</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4">
        <v>44592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0" t="s">
        <v>28</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402" t="s">
        <v>33</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60" t="s">
        <v>25</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356" t="s">
        <v>14443</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2">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2">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6.2">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6.8"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1CD3AA2-AB76-42D2-87DB-3A8B558BEACB}"/>
    <hyperlink ref="D20" r:id="rId2" xr:uid="{0685B831-80B3-45F0-9C97-E5E5F9103082}"/>
    <hyperlink ref="G71" r:id="rId3" xr:uid="{0FA16710-AD11-41D9-BBAD-A59882316C7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80" zoomScaleNormal="80" workbookViewId="0">
      <pane ySplit="3" topLeftCell="A5" activePane="bottomLeft" state="frozen"/>
      <selection activeCell="B24" sqref="B24:J24"/>
      <selection pane="bottomLeft" activeCell="A5" sqref="A5"/>
    </sheetView>
  </sheetViews>
  <sheetFormatPr defaultColWidth="8.90625" defaultRowHeight="12.6"/>
  <cols>
    <col min="1" max="1" width="13.7265625" style="18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5.2">
      <c r="A5" s="215" t="s">
        <v>262</v>
      </c>
      <c r="B5" s="160" t="s">
        <v>46</v>
      </c>
      <c r="C5" s="163" t="s">
        <v>261</v>
      </c>
      <c r="D5" s="160"/>
      <c r="E5" s="160" t="s">
        <v>147</v>
      </c>
      <c r="F5" s="160" t="s">
        <v>262</v>
      </c>
      <c r="G5" s="160" t="s">
        <v>12</v>
      </c>
      <c r="H5" s="225" t="s">
        <v>14444</v>
      </c>
      <c r="I5" s="226" t="s">
        <v>8245</v>
      </c>
      <c r="J5" s="226" t="s">
        <v>8245</v>
      </c>
      <c r="K5" s="161" t="s">
        <v>14445</v>
      </c>
      <c r="L5" s="161" t="s">
        <v>14446</v>
      </c>
      <c r="M5" s="161" t="s">
        <v>14447</v>
      </c>
      <c r="N5" s="161" t="s">
        <v>14448</v>
      </c>
      <c r="O5" s="161" t="s">
        <v>14449</v>
      </c>
      <c r="P5" s="228" t="s">
        <v>25</v>
      </c>
      <c r="Q5" s="162" t="s">
        <v>14450</v>
      </c>
      <c r="R5" s="160" t="str">
        <f ca="1">IF(ISERROR($V5),"",OFFSET('Smelter Look-up'!$C$4,$V5-4,0)&amp;"")</f>
        <v>Sumitomo Metal Mining</v>
      </c>
      <c r="S5" s="166" t="str">
        <f t="shared" ref="S5:S63" ca="1" si="0">IF(B5="","",IF(ISERROR(MATCH($E5,CL,0)),"Unknown",INDIRECT("'C'!$A$"&amp;MATCH($E5,CL,0)+1)))</f>
        <v>JP</v>
      </c>
      <c r="T5" s="166" t="str">
        <f ca="1">IF(B5="","",IF(ISERROR(MATCH($J5,SorP!$B$1:$B$6205,0)),"",INDIRECT("'SorP'!$A$"&amp;MATCH($J5,SorP!$B$1:$B$6205,0))))</f>
        <v>JP-13</v>
      </c>
      <c r="U5" s="180"/>
      <c r="V5" s="181">
        <f>IF(C5="",NA(),MATCH($B5&amp;$C5,'Smelter Look-up'!$J:$J,0))</f>
        <v>83</v>
      </c>
      <c r="X5" s="182">
        <f t="shared" ref="X5:X62" si="1">IF(AND(C5="Smelter not listed",OR(LEN(D5)=0,LEN(E5)=0)),1,0)</f>
        <v>0</v>
      </c>
      <c r="AB5" s="182" t="str">
        <f t="shared" ref="AB5:AB62" si="2">B5&amp;C5</f>
        <v>CobaltSumitomo Metal Mining</v>
      </c>
    </row>
    <row r="6" spans="1:34" s="182" customFormat="1" ht="25.2">
      <c r="A6" s="215" t="s">
        <v>113</v>
      </c>
      <c r="B6" s="160" t="s">
        <v>46</v>
      </c>
      <c r="C6" s="163" t="s">
        <v>111</v>
      </c>
      <c r="D6" s="160"/>
      <c r="E6" s="160" t="s">
        <v>112</v>
      </c>
      <c r="F6" s="160" t="s">
        <v>113</v>
      </c>
      <c r="G6" s="160" t="s">
        <v>12</v>
      </c>
      <c r="H6" s="225" t="s">
        <v>14451</v>
      </c>
      <c r="I6" s="226" t="s">
        <v>114</v>
      </c>
      <c r="J6" s="226" t="s">
        <v>115</v>
      </c>
      <c r="K6" s="161" t="s">
        <v>14452</v>
      </c>
      <c r="L6" s="161" t="s">
        <v>14453</v>
      </c>
      <c r="M6" s="161" t="s">
        <v>14454</v>
      </c>
      <c r="N6" s="161" t="s">
        <v>14448</v>
      </c>
      <c r="O6" s="161" t="s">
        <v>14449</v>
      </c>
      <c r="P6" s="228" t="s">
        <v>25</v>
      </c>
      <c r="Q6" s="162" t="s">
        <v>14450</v>
      </c>
      <c r="R6" s="160" t="str">
        <f ca="1">IF(ISERROR($V6),"",OFFSET('Smelter Look-up'!$C$4,$V6-4,0)&amp;"")</f>
        <v>Umicore Finland Oy</v>
      </c>
      <c r="S6" s="166" t="str">
        <f t="shared" ca="1" si="0"/>
        <v>FI</v>
      </c>
      <c r="T6" s="166" t="str">
        <f ca="1">IF(B6="","",IF(ISERROR(MATCH($J6,SorP!$B$1:$B$6205,0)),"",INDIRECT("'SorP'!$A$"&amp;MATCH($J6,SorP!$B$1:$B$6205,0))))</f>
        <v>FI-07</v>
      </c>
      <c r="U6" s="180"/>
      <c r="V6" s="181">
        <f>IF(C6="",NA(),MATCH($B6&amp;$C6,'Smelter Look-up'!$J:$J,0))</f>
        <v>90</v>
      </c>
      <c r="X6" s="182">
        <f t="shared" si="1"/>
        <v>0</v>
      </c>
      <c r="AB6" s="182" t="str">
        <f t="shared" si="2"/>
        <v>CobaltUmicore Finland Oy</v>
      </c>
    </row>
    <row r="7" spans="1:34" s="182" customFormat="1" ht="37.799999999999997">
      <c r="A7" s="215" t="s">
        <v>305</v>
      </c>
      <c r="B7" s="160" t="s">
        <v>46</v>
      </c>
      <c r="C7" s="163" t="s">
        <v>303</v>
      </c>
      <c r="D7" s="160"/>
      <c r="E7" s="160" t="s">
        <v>304</v>
      </c>
      <c r="F7" s="160" t="s">
        <v>305</v>
      </c>
      <c r="G7" s="160" t="s">
        <v>12</v>
      </c>
      <c r="H7" s="225" t="s">
        <v>14455</v>
      </c>
      <c r="I7" s="226" t="s">
        <v>306</v>
      </c>
      <c r="J7" s="226" t="s">
        <v>307</v>
      </c>
      <c r="K7" s="161" t="s">
        <v>14456</v>
      </c>
      <c r="L7" s="161" t="s">
        <v>14457</v>
      </c>
      <c r="M7" s="161" t="s">
        <v>14458</v>
      </c>
      <c r="N7" s="161" t="s">
        <v>14448</v>
      </c>
      <c r="O7" s="161" t="s">
        <v>14449</v>
      </c>
      <c r="P7" s="228" t="s">
        <v>25</v>
      </c>
      <c r="Q7" s="162" t="s">
        <v>14450</v>
      </c>
      <c r="R7" s="160" t="str">
        <f ca="1">IF(ISERROR($V7),"",OFFSET('Smelter Look-up'!$C$4,$V7-4,0)&amp;"")</f>
        <v>Umicore Olen</v>
      </c>
      <c r="S7" s="166" t="str">
        <f t="shared" ca="1" si="0"/>
        <v>BE</v>
      </c>
      <c r="T7" s="166" t="str">
        <f ca="1">IF(B7="","",IF(ISERROR(MATCH($J7,SorP!$B$1:$B$6205,0)),"",INDIRECT("'SorP'!$A$"&amp;MATCH($J7,SorP!$B$1:$B$6205,0))))</f>
        <v>BE-VAN</v>
      </c>
      <c r="U7" s="180"/>
      <c r="V7" s="181">
        <f>IF(C7="",NA(),MATCH($B7&amp;$C7,'Smelter Look-up'!$J:$J,0))</f>
        <v>91</v>
      </c>
      <c r="X7" s="182">
        <f t="shared" si="1"/>
        <v>0</v>
      </c>
      <c r="AB7" s="182" t="str">
        <f t="shared" si="2"/>
        <v>CobaltUmicore Olen</v>
      </c>
    </row>
    <row r="8" spans="1:34" s="182" customFormat="1" ht="25.2">
      <c r="A8" s="215" t="s">
        <v>99</v>
      </c>
      <c r="B8" s="160" t="s">
        <v>46</v>
      </c>
      <c r="C8" s="163" t="s">
        <v>97</v>
      </c>
      <c r="D8" s="160"/>
      <c r="E8" s="160" t="s">
        <v>98</v>
      </c>
      <c r="F8" s="160" t="s">
        <v>99</v>
      </c>
      <c r="G8" s="160" t="s">
        <v>12</v>
      </c>
      <c r="H8" s="225" t="s">
        <v>14448</v>
      </c>
      <c r="I8" s="226" t="s">
        <v>100</v>
      </c>
      <c r="J8" s="226" t="s">
        <v>100</v>
      </c>
      <c r="K8" s="161" t="s">
        <v>14459</v>
      </c>
      <c r="L8" s="161" t="s">
        <v>14460</v>
      </c>
      <c r="M8" s="161" t="s">
        <v>14447</v>
      </c>
      <c r="N8" s="161" t="s">
        <v>14448</v>
      </c>
      <c r="O8" s="161" t="s">
        <v>14449</v>
      </c>
      <c r="P8" s="228" t="s">
        <v>25</v>
      </c>
      <c r="Q8" s="162" t="s">
        <v>14461</v>
      </c>
      <c r="R8" s="160" t="str">
        <f ca="1">IF(ISERROR($V8),"",OFFSET('Smelter Look-up'!$C$4,$V8-4,0)&amp;"")</f>
        <v>Dynatec Madagascar Company</v>
      </c>
      <c r="S8" s="166" t="str">
        <f t="shared" ca="1" si="0"/>
        <v>MG</v>
      </c>
      <c r="T8" s="166" t="str">
        <f ca="1">IF(B8="","",IF(ISERROR(MATCH($J8,SorP!$B$1:$B$6205,0)),"",INDIRECT("'SorP'!$A$"&amp;MATCH($J8,SorP!$B$1:$B$6205,0))))</f>
        <v>MG-A</v>
      </c>
      <c r="U8" s="180"/>
      <c r="V8" s="181">
        <f>IF(C8="",NA(),MATCH($B8&amp;$C8,'Smelter Look-up'!$J:$J,0))</f>
        <v>14</v>
      </c>
      <c r="X8" s="182">
        <f t="shared" si="1"/>
        <v>0</v>
      </c>
      <c r="AB8" s="182" t="str">
        <f t="shared" si="2"/>
        <v>CobaltDynatec Madagascar Company</v>
      </c>
    </row>
    <row r="9" spans="1:34" s="182" customFormat="1" ht="25.2">
      <c r="A9" s="215" t="s">
        <v>130</v>
      </c>
      <c r="B9" s="160" t="s">
        <v>46</v>
      </c>
      <c r="C9" s="163" t="s">
        <v>128</v>
      </c>
      <c r="D9" s="160"/>
      <c r="E9" s="160" t="s">
        <v>129</v>
      </c>
      <c r="F9" s="160" t="s">
        <v>130</v>
      </c>
      <c r="G9" s="160" t="s">
        <v>12</v>
      </c>
      <c r="H9" s="225" t="s">
        <v>14462</v>
      </c>
      <c r="I9" s="226" t="s">
        <v>131</v>
      </c>
      <c r="J9" s="226" t="s">
        <v>132</v>
      </c>
      <c r="K9" s="161" t="s">
        <v>14463</v>
      </c>
      <c r="L9" s="161" t="s">
        <v>14464</v>
      </c>
      <c r="M9" s="161" t="s">
        <v>14447</v>
      </c>
      <c r="N9" s="161" t="s">
        <v>14448</v>
      </c>
      <c r="O9" s="161" t="s">
        <v>14449</v>
      </c>
      <c r="P9" s="228" t="s">
        <v>25</v>
      </c>
      <c r="Q9" s="162" t="s">
        <v>14461</v>
      </c>
      <c r="R9" s="160" t="str">
        <f ca="1">IF(ISERROR($V9),"",OFFSET('Smelter Look-up'!$C$4,$V9-4,0)&amp;"")</f>
        <v>Glencore Nikkelverk Refinery</v>
      </c>
      <c r="S9" s="166" t="str">
        <f t="shared" ca="1" si="0"/>
        <v>NO</v>
      </c>
      <c r="T9" s="166" t="str">
        <f ca="1">IF(B9="","",IF(ISERROR(MATCH($J9,SorP!$B$1:$B$6205,0)),"",INDIRECT("'SorP'!$A$"&amp;MATCH($J9,SorP!$B$1:$B$6205,0))))</f>
        <v>NO-09</v>
      </c>
      <c r="U9" s="180"/>
      <c r="V9" s="181">
        <f>IF(C9="",NA(),MATCH($B9&amp;$C9,'Smelter Look-up'!$J:$J,0))</f>
        <v>22</v>
      </c>
      <c r="X9" s="182">
        <f t="shared" si="1"/>
        <v>0</v>
      </c>
      <c r="AB9" s="182" t="str">
        <f t="shared" si="2"/>
        <v>CobaltGlencore Nikkelverk Refinery</v>
      </c>
    </row>
    <row r="10" spans="1:34" s="182" customFormat="1" ht="25.2">
      <c r="A10" s="215" t="s">
        <v>191</v>
      </c>
      <c r="B10" s="160" t="s">
        <v>46</v>
      </c>
      <c r="C10" s="163" t="s">
        <v>189</v>
      </c>
      <c r="D10" s="160"/>
      <c r="E10" s="160" t="s">
        <v>190</v>
      </c>
      <c r="F10" s="160" t="s">
        <v>191</v>
      </c>
      <c r="G10" s="160" t="s">
        <v>12</v>
      </c>
      <c r="H10" s="225" t="s">
        <v>14465</v>
      </c>
      <c r="I10" s="226" t="s">
        <v>192</v>
      </c>
      <c r="J10" s="226" t="s">
        <v>193</v>
      </c>
      <c r="K10" s="161" t="s">
        <v>14466</v>
      </c>
      <c r="L10" s="161" t="s">
        <v>14467</v>
      </c>
      <c r="M10" s="161" t="s">
        <v>14447</v>
      </c>
      <c r="N10" s="161" t="s">
        <v>14448</v>
      </c>
      <c r="O10" s="161" t="s">
        <v>14449</v>
      </c>
      <c r="P10" s="228" t="s">
        <v>25</v>
      </c>
      <c r="Q10" s="162" t="s">
        <v>14468</v>
      </c>
      <c r="R10" s="160" t="str">
        <f ca="1">IF(ISERROR($V10),"",OFFSET('Smelter Look-up'!$C$4,$V10-4,0)&amp;"")</f>
        <v>JSC Kolskaya Mining and Metallurgical Company (Kola MMC)</v>
      </c>
      <c r="S10" s="166" t="str">
        <f t="shared" ca="1" si="0"/>
        <v>RU</v>
      </c>
      <c r="T10" s="166" t="str">
        <f ca="1">IF(B10="","",IF(ISERROR(MATCH($J10,SorP!$B$1:$B$6205,0)),"",INDIRECT("'SorP'!$A$"&amp;MATCH($J10,SorP!$B$1:$B$6205,0))))</f>
        <v>RU-MUR</v>
      </c>
      <c r="U10" s="180"/>
      <c r="V10" s="181">
        <f>IF(C10="",NA(),MATCH($B10&amp;$C10,'Smelter Look-up'!$J:$J,0))</f>
        <v>44</v>
      </c>
      <c r="X10" s="182">
        <f t="shared" si="1"/>
        <v>0</v>
      </c>
      <c r="AB10" s="182" t="str">
        <f t="shared" si="2"/>
        <v>CobaltJSC Kolskaya Mining and Metallurgical Company (Kola MMC)</v>
      </c>
    </row>
    <row r="11" spans="1:34" s="182" customFormat="1" ht="37.799999999999997">
      <c r="A11" s="216" t="s">
        <v>203</v>
      </c>
      <c r="B11" s="160" t="s">
        <v>46</v>
      </c>
      <c r="C11" s="163" t="s">
        <v>202</v>
      </c>
      <c r="D11" s="160"/>
      <c r="E11" s="160" t="s">
        <v>76</v>
      </c>
      <c r="F11" s="160" t="s">
        <v>203</v>
      </c>
      <c r="G11" s="160" t="s">
        <v>12</v>
      </c>
      <c r="H11" s="225" t="s">
        <v>14444</v>
      </c>
      <c r="I11" s="226" t="s">
        <v>204</v>
      </c>
      <c r="J11" s="226" t="s">
        <v>205</v>
      </c>
      <c r="K11" s="161" t="s">
        <v>14469</v>
      </c>
      <c r="L11" s="161" t="s">
        <v>14470</v>
      </c>
      <c r="M11" s="161" t="s">
        <v>14471</v>
      </c>
      <c r="N11" s="161" t="s">
        <v>14448</v>
      </c>
      <c r="O11" s="161" t="s">
        <v>14449</v>
      </c>
      <c r="P11" s="228" t="s">
        <v>25</v>
      </c>
      <c r="Q11" s="162" t="s">
        <v>14468</v>
      </c>
      <c r="R11" s="160" t="str">
        <f ca="1">IF(ISERROR($V11),"",OFFSET('Smelter Look-up'!$C$4,$V11-4,0)&amp;"")</f>
        <v>Lanzhou Jinchuan Advanced Materials Technology Co., Ltd.</v>
      </c>
      <c r="S11" s="166" t="str">
        <f t="shared" ca="1" si="0"/>
        <v>CN</v>
      </c>
      <c r="T11" s="166" t="str">
        <f ca="1">IF(B11="","",IF(ISERROR(MATCH($J11,SorP!$B$1:$B$6205,0)),"",INDIRECT("'SorP'!$A$"&amp;MATCH($J11,SorP!$B$1:$B$6205,0))))</f>
        <v>CN-GS</v>
      </c>
      <c r="U11" s="180"/>
      <c r="V11" s="181">
        <f>IF(C11="",NA(),MATCH($B11&amp;$C11,'Smelter Look-up'!$J:$J,0))</f>
        <v>49</v>
      </c>
      <c r="X11" s="182">
        <f t="shared" si="1"/>
        <v>0</v>
      </c>
      <c r="AB11" s="182" t="str">
        <f t="shared" si="2"/>
        <v>CobaltLanzhou Jinchuan Advanced Materials Technology Co., Ltd.</v>
      </c>
    </row>
    <row r="12" spans="1:34" s="182" customFormat="1" ht="25.2">
      <c r="A12" s="215" t="s">
        <v>271</v>
      </c>
      <c r="B12" s="160" t="s">
        <v>46</v>
      </c>
      <c r="C12" s="163" t="s">
        <v>270</v>
      </c>
      <c r="D12" s="160"/>
      <c r="E12" s="160" t="s">
        <v>112</v>
      </c>
      <c r="F12" s="160" t="s">
        <v>271</v>
      </c>
      <c r="G12" s="160" t="s">
        <v>12</v>
      </c>
      <c r="H12" s="225" t="s">
        <v>14472</v>
      </c>
      <c r="I12" s="226" t="s">
        <v>272</v>
      </c>
      <c r="J12" s="226" t="s">
        <v>273</v>
      </c>
      <c r="K12" s="161" t="s">
        <v>14473</v>
      </c>
      <c r="L12" s="161" t="s">
        <v>14474</v>
      </c>
      <c r="M12" s="161" t="s">
        <v>14447</v>
      </c>
      <c r="N12" s="161" t="s">
        <v>14448</v>
      </c>
      <c r="O12" s="161" t="s">
        <v>14449</v>
      </c>
      <c r="P12" s="228" t="s">
        <v>25</v>
      </c>
      <c r="Q12" s="162" t="s">
        <v>14468</v>
      </c>
      <c r="R12" s="160" t="str">
        <f ca="1">IF(ISERROR($V12),"",OFFSET('Smelter Look-up'!$C$4,$V12-4,0)&amp;"")</f>
        <v>NORILSK NICKEL HARJAVALTA OY</v>
      </c>
      <c r="S12" s="166" t="str">
        <f t="shared" ca="1" si="0"/>
        <v>FI</v>
      </c>
      <c r="T12" s="166" t="str">
        <f ca="1">IF(B12="","",IF(ISERROR(MATCH($J12,SorP!$B$1:$B$6205,0)),"",INDIRECT("'SorP'!$A$"&amp;MATCH($J12,SorP!$B$1:$B$6205,0))))</f>
        <v>FI-17</v>
      </c>
      <c r="U12" s="180"/>
      <c r="V12" s="181">
        <f>IF(C12="",NA(),MATCH($B12&amp;$C12,'Smelter Look-up'!$J:$J,0))</f>
        <v>74</v>
      </c>
      <c r="X12" s="182">
        <f t="shared" si="1"/>
        <v>0</v>
      </c>
      <c r="AB12" s="182" t="str">
        <f t="shared" si="2"/>
        <v>CobaltNORILSK NICKEL HARJAVALTA OY</v>
      </c>
    </row>
    <row r="13" spans="1:34" s="182" customFormat="1" ht="37.799999999999997">
      <c r="A13" s="215" t="s">
        <v>283</v>
      </c>
      <c r="B13" s="160" t="s">
        <v>46</v>
      </c>
      <c r="C13" s="163" t="s">
        <v>282</v>
      </c>
      <c r="D13" s="160"/>
      <c r="E13" s="160" t="s">
        <v>76</v>
      </c>
      <c r="F13" s="160" t="s">
        <v>283</v>
      </c>
      <c r="G13" s="160" t="s">
        <v>12</v>
      </c>
      <c r="H13" s="225" t="s">
        <v>14475</v>
      </c>
      <c r="I13" s="226" t="s">
        <v>284</v>
      </c>
      <c r="J13" s="226" t="s">
        <v>223</v>
      </c>
      <c r="K13" s="161" t="s">
        <v>14476</v>
      </c>
      <c r="L13" s="161" t="s">
        <v>14477</v>
      </c>
      <c r="M13" s="161" t="s">
        <v>14478</v>
      </c>
      <c r="N13" s="161" t="s">
        <v>14448</v>
      </c>
      <c r="O13" s="161" t="s">
        <v>14449</v>
      </c>
      <c r="P13" s="228" t="s">
        <v>25</v>
      </c>
      <c r="Q13" s="162" t="s">
        <v>14468</v>
      </c>
      <c r="R13" s="160" t="str">
        <f ca="1">IF(ISERROR($V13),"",OFFSET('Smelter Look-up'!$C$4,$V13-4,0)&amp;"")</f>
        <v>Quzhou Huayou Cobalt New Material Co., Ltd.</v>
      </c>
      <c r="S13" s="166" t="str">
        <f t="shared" ca="1" si="0"/>
        <v>CN</v>
      </c>
      <c r="T13" s="166" t="str">
        <f ca="1">IF(B13="","",IF(ISERROR(MATCH($J13,SorP!$B$1:$B$6205,0)),"",INDIRECT("'SorP'!$A$"&amp;MATCH($J13,SorP!$B$1:$B$6205,0))))</f>
        <v>CN-ZJ</v>
      </c>
      <c r="U13" s="180"/>
      <c r="V13" s="181">
        <f>IF(C13="",NA(),MATCH($B13&amp;$C13,'Smelter Look-up'!$J:$J,0))</f>
        <v>77</v>
      </c>
      <c r="X13" s="182">
        <f t="shared" si="1"/>
        <v>0</v>
      </c>
      <c r="AB13" s="182" t="str">
        <f t="shared" si="2"/>
        <v>CobaltQuzhou Huayou Cobalt New Material Co., Ltd.</v>
      </c>
    </row>
    <row r="14" spans="1:34" s="182" customFormat="1" ht="37.799999999999997">
      <c r="A14" s="216" t="s">
        <v>332</v>
      </c>
      <c r="B14" s="160" t="s">
        <v>46</v>
      </c>
      <c r="C14" s="163" t="s">
        <v>331</v>
      </c>
      <c r="D14" s="160"/>
      <c r="E14" s="160" t="s">
        <v>76</v>
      </c>
      <c r="F14" s="160" t="s">
        <v>332</v>
      </c>
      <c r="G14" s="160" t="s">
        <v>12</v>
      </c>
      <c r="H14" s="225" t="s">
        <v>14479</v>
      </c>
      <c r="I14" s="226" t="s">
        <v>333</v>
      </c>
      <c r="J14" s="226" t="s">
        <v>223</v>
      </c>
      <c r="K14" s="161" t="s">
        <v>14476</v>
      </c>
      <c r="L14" s="161" t="s">
        <v>14477</v>
      </c>
      <c r="M14" s="161" t="s">
        <v>14478</v>
      </c>
      <c r="N14" s="161" t="s">
        <v>14448</v>
      </c>
      <c r="O14" s="161" t="s">
        <v>14449</v>
      </c>
      <c r="P14" s="228" t="s">
        <v>25</v>
      </c>
      <c r="Q14" s="162" t="s">
        <v>14468</v>
      </c>
      <c r="R14" s="160" t="str">
        <f ca="1">IF(ISERROR($V14),"",OFFSET('Smelter Look-up'!$C$4,$V14-4,0)&amp;"")</f>
        <v>Zhejiang Huayou Cobalt Company Limited</v>
      </c>
      <c r="S14" s="166" t="str">
        <f t="shared" ca="1" si="0"/>
        <v>CN</v>
      </c>
      <c r="T14" s="166" t="str">
        <f ca="1">IF(B14="","",IF(ISERROR(MATCH($J14,SorP!$B$1:$B$6205,0)),"",INDIRECT("'SorP'!$A$"&amp;MATCH($J14,SorP!$B$1:$B$6205,0))))</f>
        <v>CN-ZJ</v>
      </c>
      <c r="U14" s="180"/>
      <c r="V14" s="181">
        <f>IF(C14="",NA(),MATCH($B14&amp;$C14,'Smelter Look-up'!$J:$J,0))</f>
        <v>100</v>
      </c>
      <c r="X14" s="182">
        <f t="shared" si="1"/>
        <v>0</v>
      </c>
      <c r="AB14" s="182" t="str">
        <f t="shared" si="2"/>
        <v>CobaltZhejiang Huayou Cobalt Company Limited</v>
      </c>
    </row>
    <row r="15" spans="1:34" s="182" customFormat="1" ht="25.2">
      <c r="A15" s="216" t="s">
        <v>14480</v>
      </c>
      <c r="B15" s="160" t="s">
        <v>46</v>
      </c>
      <c r="C15" s="163" t="s">
        <v>52</v>
      </c>
      <c r="D15" s="160" t="s">
        <v>14481</v>
      </c>
      <c r="E15" s="160" t="s">
        <v>106</v>
      </c>
      <c r="F15" s="160" t="s">
        <v>14480</v>
      </c>
      <c r="G15" s="160" t="s">
        <v>12</v>
      </c>
      <c r="H15" s="225" t="s">
        <v>14448</v>
      </c>
      <c r="I15" s="226" t="s">
        <v>14448</v>
      </c>
      <c r="J15" s="226" t="s">
        <v>14448</v>
      </c>
      <c r="K15" s="161" t="s">
        <v>14448</v>
      </c>
      <c r="L15" s="161" t="s">
        <v>14448</v>
      </c>
      <c r="M15" s="161" t="s">
        <v>14447</v>
      </c>
      <c r="N15" s="161" t="s">
        <v>14448</v>
      </c>
      <c r="O15" s="161" t="s">
        <v>14448</v>
      </c>
      <c r="P15" s="228" t="s">
        <v>14448</v>
      </c>
      <c r="Q15" s="162" t="s">
        <v>14482</v>
      </c>
      <c r="R15" s="160" t="str">
        <f ca="1">IF(ISERROR($V15),"",OFFSET('Smelter Look-up'!$C$4,$V15-4,0)&amp;"")</f>
        <v/>
      </c>
      <c r="S15" s="166" t="str">
        <f t="shared" ca="1" si="0"/>
        <v>CA</v>
      </c>
      <c r="T15" s="166" t="str">
        <f ca="1">IF(B15="","",IF(ISERROR(MATCH($J15,SorP!$B$1:$B$6205,0)),"",INDIRECT("'SorP'!$A$"&amp;MATCH($J15,SorP!$B$1:$B$6205,0))))</f>
        <v/>
      </c>
      <c r="U15" s="180"/>
      <c r="V15" s="181">
        <f>IF(C15="",NA(),MATCH($B15&amp;$C15,'Smelter Look-up'!$J:$J,0))</f>
        <v>103</v>
      </c>
      <c r="X15" s="182">
        <f t="shared" si="1"/>
        <v>0</v>
      </c>
      <c r="AB15" s="182" t="str">
        <f t="shared" si="2"/>
        <v>CobaltSmelter Not Listed</v>
      </c>
    </row>
    <row r="16" spans="1:34" s="182" customFormat="1" ht="25.2">
      <c r="A16" s="215" t="s">
        <v>14483</v>
      </c>
      <c r="B16" s="160" t="s">
        <v>46</v>
      </c>
      <c r="C16" s="163" t="s">
        <v>52</v>
      </c>
      <c r="D16" s="160" t="s">
        <v>14484</v>
      </c>
      <c r="E16" s="160" t="s">
        <v>106</v>
      </c>
      <c r="F16" s="160" t="s">
        <v>14483</v>
      </c>
      <c r="G16" s="160" t="s">
        <v>12</v>
      </c>
      <c r="H16" s="225" t="s">
        <v>14448</v>
      </c>
      <c r="I16" s="226" t="s">
        <v>14448</v>
      </c>
      <c r="J16" s="226" t="s">
        <v>14448</v>
      </c>
      <c r="K16" s="161" t="s">
        <v>14448</v>
      </c>
      <c r="L16" s="161" t="s">
        <v>14448</v>
      </c>
      <c r="M16" s="161" t="s">
        <v>14447</v>
      </c>
      <c r="N16" s="161" t="s">
        <v>14448</v>
      </c>
      <c r="O16" s="161" t="s">
        <v>14448</v>
      </c>
      <c r="P16" s="228" t="s">
        <v>14448</v>
      </c>
      <c r="Q16" s="162" t="s">
        <v>14485</v>
      </c>
      <c r="R16" s="160" t="str">
        <f ca="1">IF(ISERROR($V16),"",OFFSET('Smelter Look-up'!$C$4,$V16-4,0)&amp;"")</f>
        <v/>
      </c>
      <c r="S16" s="166" t="str">
        <f t="shared" ca="1" si="0"/>
        <v>CA</v>
      </c>
      <c r="T16" s="166" t="str">
        <f ca="1">IF(B16="","",IF(ISERROR(MATCH($J16,SorP!$B$1:$B$6205,0)),"",INDIRECT("'SorP'!$A$"&amp;MATCH($J16,SorP!$B$1:$B$6205,0))))</f>
        <v/>
      </c>
      <c r="U16" s="180"/>
      <c r="V16" s="181">
        <f>IF(C16="",NA(),MATCH($B16&amp;$C16,'Smelter Look-up'!$J:$J,0))</f>
        <v>103</v>
      </c>
      <c r="X16" s="182">
        <f t="shared" si="1"/>
        <v>0</v>
      </c>
      <c r="AB16" s="182" t="str">
        <f t="shared" si="2"/>
        <v>CobaltSmelter Not Listed</v>
      </c>
    </row>
    <row r="17" spans="1:28" s="182" customFormat="1" ht="25.2">
      <c r="A17" s="215" t="s">
        <v>14486</v>
      </c>
      <c r="B17" s="160" t="s">
        <v>46</v>
      </c>
      <c r="C17" s="163" t="s">
        <v>52</v>
      </c>
      <c r="D17" s="160" t="s">
        <v>14487</v>
      </c>
      <c r="E17" s="160" t="s">
        <v>106</v>
      </c>
      <c r="F17" s="160" t="s">
        <v>14486</v>
      </c>
      <c r="G17" s="160" t="s">
        <v>12</v>
      </c>
      <c r="H17" s="225" t="s">
        <v>14448</v>
      </c>
      <c r="I17" s="226" t="s">
        <v>14448</v>
      </c>
      <c r="J17" s="226" t="s">
        <v>14448</v>
      </c>
      <c r="K17" s="161" t="s">
        <v>14448</v>
      </c>
      <c r="L17" s="161" t="s">
        <v>14448</v>
      </c>
      <c r="M17" s="161" t="s">
        <v>14447</v>
      </c>
      <c r="N17" s="161" t="s">
        <v>14448</v>
      </c>
      <c r="O17" s="161" t="s">
        <v>14448</v>
      </c>
      <c r="P17" s="228" t="s">
        <v>14448</v>
      </c>
      <c r="Q17" s="162" t="s">
        <v>14485</v>
      </c>
      <c r="R17" s="160" t="str">
        <f ca="1">IF(ISERROR($V17),"",OFFSET('Smelter Look-up'!$C$4,$V17-4,0)&amp;"")</f>
        <v/>
      </c>
      <c r="S17" s="166" t="str">
        <f t="shared" ca="1" si="0"/>
        <v>CA</v>
      </c>
      <c r="T17" s="166" t="str">
        <f ca="1">IF(B17="","",IF(ISERROR(MATCH($J17,SorP!$B$1:$B$6205,0)),"",INDIRECT("'SorP'!$A$"&amp;MATCH($J17,SorP!$B$1:$B$6205,0))))</f>
        <v/>
      </c>
      <c r="U17" s="180"/>
      <c r="V17" s="181">
        <f>IF(C17="",NA(),MATCH($B17&amp;$C17,'Smelter Look-up'!$J:$J,0))</f>
        <v>103</v>
      </c>
      <c r="X17" s="182">
        <f t="shared" si="1"/>
        <v>0</v>
      </c>
      <c r="AB17" s="182" t="str">
        <f t="shared" si="2"/>
        <v>CobaltSmelter Not Listed</v>
      </c>
    </row>
    <row r="18" spans="1:28" s="182" customFormat="1" ht="20.399999999999999">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399999999999999">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399999999999999">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399999999999999">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399999999999999">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399999999999999">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399999999999999">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399999999999999">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399999999999999">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399999999999999">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399999999999999">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399999999999999">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399999999999999">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399999999999999">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399999999999999">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399999999999999">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399999999999999">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399999999999999">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399999999999999">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399999999999999">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399999999999999">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399999999999999">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399999999999999">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399999999999999">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399999999999999">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399999999999999">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399999999999999">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399999999999999">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399999999999999">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399999999999999">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399999999999999">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399999999999999">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399999999999999">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399999999999999">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399999999999999">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399999999999999">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399999999999999">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399999999999999">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399999999999999">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399999999999999">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399999999999999">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399999999999999">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399999999999999">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399999999999999">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399999999999999">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399999999999999">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399999999999999">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399999999999999">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399999999999999">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399999999999999">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399999999999999">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399999999999999">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399999999999999">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399999999999999">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399999999999999">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399999999999999">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399999999999999">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399999999999999">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399999999999999">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399999999999999">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399999999999999">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399999999999999">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399999999999999">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399999999999999">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399999999999999">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399999999999999">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399999999999999">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399999999999999">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399999999999999">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399999999999999">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399999999999999">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399999999999999">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399999999999999">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399999999999999">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399999999999999">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399999999999999">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399999999999999">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399999999999999">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399999999999999">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399999999999999">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399999999999999">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399999999999999">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399999999999999">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399999999999999">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399999999999999">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399999999999999">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399999999999999">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399999999999999">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399999999999999">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399999999999999">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399999999999999">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399999999999999">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399999999999999">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399999999999999">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399999999999999">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399999999999999">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399999999999999">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399999999999999">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399999999999999">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399999999999999">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399999999999999">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399999999999999">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399999999999999">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399999999999999">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399999999999999">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399999999999999">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399999999999999">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399999999999999">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399999999999999">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399999999999999">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399999999999999">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399999999999999">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399999999999999">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399999999999999">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399999999999999">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399999999999999">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399999999999999">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399999999999999">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399999999999999">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399999999999999">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399999999999999">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399999999999999">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399999999999999">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399999999999999">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399999999999999">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399999999999999">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399999999999999">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399999999999999">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399999999999999">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399999999999999">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399999999999999">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399999999999999">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399999999999999">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399999999999999">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399999999999999">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399999999999999">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399999999999999">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399999999999999">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399999999999999">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399999999999999">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399999999999999">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399999999999999">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399999999999999">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399999999999999">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399999999999999">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399999999999999">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399999999999999">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399999999999999">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399999999999999">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399999999999999">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399999999999999">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399999999999999">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399999999999999">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399999999999999">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399999999999999">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399999999999999">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399999999999999">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399999999999999">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399999999999999">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399999999999999">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399999999999999">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399999999999999">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399999999999999">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399999999999999">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399999999999999">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399999999999999">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399999999999999">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399999999999999">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399999999999999">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399999999999999">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399999999999999">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399999999999999">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399999999999999">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399999999999999">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399999999999999">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399999999999999">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399999999999999">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399999999999999">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399999999999999">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399999999999999">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399999999999999">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399999999999999">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399999999999999">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399999999999999">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399999999999999">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399999999999999">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399999999999999">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399999999999999">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399999999999999">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399999999999999">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399999999999999">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399999999999999">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399999999999999">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399999999999999">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399999999999999">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399999999999999">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399999999999999">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399999999999999">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399999999999999">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399999999999999">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399999999999999">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399999999999999">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399999999999999">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399999999999999">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399999999999999">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399999999999999">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399999999999999">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399999999999999">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399999999999999">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399999999999999">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399999999999999">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399999999999999">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399999999999999">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399999999999999">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399999999999999">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399999999999999">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399999999999999">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399999999999999">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399999999999999">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399999999999999">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399999999999999">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399999999999999">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399999999999999">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399999999999999">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399999999999999">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399999999999999">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399999999999999">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399999999999999">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399999999999999">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399999999999999">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399999999999999">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399999999999999">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399999999999999">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399999999999999">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399999999999999">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399999999999999">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399999999999999">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399999999999999">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399999999999999">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399999999999999">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399999999999999">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399999999999999">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399999999999999">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399999999999999">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399999999999999">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399999999999999">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399999999999999">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399999999999999">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399999999999999">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399999999999999">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399999999999999">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399999999999999">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399999999999999">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399999999999999">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399999999999999">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399999999999999">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399999999999999">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399999999999999">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399999999999999">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399999999999999">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399999999999999">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399999999999999">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399999999999999">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399999999999999">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399999999999999">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399999999999999">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399999999999999">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399999999999999">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399999999999999">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399999999999999">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399999999999999">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399999999999999">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399999999999999">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399999999999999">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399999999999999">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399999999999999">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399999999999999">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399999999999999">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399999999999999">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399999999999999">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399999999999999">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399999999999999">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399999999999999">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399999999999999">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399999999999999">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399999999999999">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399999999999999">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399999999999999">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399999999999999">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399999999999999">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399999999999999">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399999999999999">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399999999999999">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399999999999999">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399999999999999">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399999999999999">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399999999999999">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399999999999999">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399999999999999">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399999999999999">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399999999999999">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399999999999999">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399999999999999">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399999999999999">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399999999999999">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399999999999999">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399999999999999">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399999999999999">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399999999999999">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399999999999999">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399999999999999">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399999999999999">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399999999999999">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399999999999999">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399999999999999">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399999999999999">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399999999999999">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399999999999999">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399999999999999">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399999999999999">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399999999999999">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399999999999999">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399999999999999">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399999999999999">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399999999999999">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399999999999999">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399999999999999">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399999999999999">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399999999999999">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399999999999999">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399999999999999">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399999999999999">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399999999999999">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399999999999999">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399999999999999">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399999999999999">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399999999999999">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399999999999999">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399999999999999">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399999999999999">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399999999999999">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399999999999999">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399999999999999">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399999999999999">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399999999999999">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399999999999999">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399999999999999">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399999999999999">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399999999999999">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399999999999999">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399999999999999">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399999999999999">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399999999999999">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399999999999999">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399999999999999">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399999999999999">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399999999999999">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399999999999999">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399999999999999">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399999999999999">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399999999999999">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399999999999999">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399999999999999">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399999999999999">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399999999999999">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399999999999999">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399999999999999">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399999999999999">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399999999999999">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399999999999999">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399999999999999">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399999999999999">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399999999999999">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399999999999999">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399999999999999">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399999999999999">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399999999999999">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399999999999999">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399999999999999">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399999999999999">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399999999999999">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399999999999999">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399999999999999">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399999999999999">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399999999999999">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399999999999999">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399999999999999">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399999999999999">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399999999999999">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399999999999999">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399999999999999">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399999999999999">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399999999999999">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399999999999999">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399999999999999">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399999999999999">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399999999999999">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399999999999999">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399999999999999">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399999999999999">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399999999999999">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399999999999999">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399999999999999">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399999999999999">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399999999999999">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399999999999999">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399999999999999">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399999999999999">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399999999999999">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399999999999999">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399999999999999">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399999999999999">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399999999999999">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399999999999999">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399999999999999">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399999999999999">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399999999999999">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399999999999999">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399999999999999">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399999999999999">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399999999999999">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399999999999999">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399999999999999">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399999999999999">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399999999999999">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399999999999999">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399999999999999">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399999999999999">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399999999999999">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399999999999999">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399999999999999">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399999999999999">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399999999999999">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399999999999999">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399999999999999">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399999999999999">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399999999999999">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399999999999999">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399999999999999">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399999999999999">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399999999999999">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399999999999999">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399999999999999">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399999999999999">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399999999999999">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399999999999999">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399999999999999">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399999999999999">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399999999999999">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399999999999999">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399999999999999">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399999999999999">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399999999999999">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399999999999999">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399999999999999">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399999999999999">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399999999999999">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399999999999999">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399999999999999">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399999999999999">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399999999999999">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399999999999999">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399999999999999">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399999999999999">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399999999999999">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399999999999999">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399999999999999">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399999999999999">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399999999999999">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399999999999999">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399999999999999">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399999999999999">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399999999999999">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399999999999999">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399999999999999">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399999999999999">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399999999999999">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399999999999999">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399999999999999">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399999999999999">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399999999999999">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399999999999999">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399999999999999">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399999999999999">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399999999999999">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399999999999999">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399999999999999">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399999999999999">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399999999999999">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399999999999999">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399999999999999">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399999999999999">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399999999999999">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399999999999999">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399999999999999">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399999999999999">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399999999999999">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399999999999999">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399999999999999">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399999999999999">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399999999999999">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399999999999999">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399999999999999">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399999999999999">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399999999999999">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399999999999999">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399999999999999">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399999999999999">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399999999999999">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399999999999999">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399999999999999">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399999999999999">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399999999999999">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399999999999999">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399999999999999">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399999999999999">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399999999999999">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399999999999999">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399999999999999">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399999999999999">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399999999999999">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399999999999999">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399999999999999">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399999999999999">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399999999999999">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399999999999999">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399999999999999">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399999999999999">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399999999999999">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399999999999999">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399999999999999">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399999999999999">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399999999999999">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399999999999999">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399999999999999">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399999999999999">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399999999999999">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399999999999999">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399999999999999">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399999999999999">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399999999999999">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399999999999999">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399999999999999">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399999999999999">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399999999999999">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399999999999999">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399999999999999">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399999999999999">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399999999999999">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399999999999999">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399999999999999">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399999999999999">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399999999999999">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399999999999999">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399999999999999">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399999999999999">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399999999999999">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399999999999999">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399999999999999">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399999999999999">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399999999999999">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399999999999999">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399999999999999">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399999999999999">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399999999999999">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399999999999999">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399999999999999">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399999999999999">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399999999999999">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399999999999999">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399999999999999">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399999999999999">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399999999999999">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399999999999999">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399999999999999">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399999999999999">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399999999999999">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399999999999999">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399999999999999">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399999999999999">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399999999999999">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399999999999999">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399999999999999">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399999999999999">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399999999999999">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399999999999999">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399999999999999">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399999999999999">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399999999999999">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399999999999999">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399999999999999">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399999999999999">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399999999999999">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399999999999999">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399999999999999">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399999999999999">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399999999999999">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399999999999999">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399999999999999">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399999999999999">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399999999999999">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399999999999999">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399999999999999">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399999999999999">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399999999999999">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399999999999999">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399999999999999">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399999999999999">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399999999999999">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399999999999999">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399999999999999">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399999999999999">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399999999999999">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399999999999999">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399999999999999">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399999999999999">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399999999999999">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399999999999999">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399999999999999">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399999999999999">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399999999999999">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399999999999999">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399999999999999">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399999999999999">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399999999999999">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399999999999999">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399999999999999">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399999999999999">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399999999999999">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399999999999999">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399999999999999">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399999999999999">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399999999999999">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399999999999999">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399999999999999">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399999999999999">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399999999999999">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399999999999999">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399999999999999">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399999999999999">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399999999999999">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399999999999999">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399999999999999">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399999999999999">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399999999999999">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399999999999999">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399999999999999">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399999999999999">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399999999999999">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399999999999999">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399999999999999">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399999999999999">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399999999999999">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399999999999999">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399999999999999">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399999999999999">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399999999999999">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399999999999999">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399999999999999">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399999999999999">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399999999999999">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399999999999999">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399999999999999">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399999999999999">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399999999999999">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399999999999999">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399999999999999">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399999999999999">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399999999999999">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399999999999999">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399999999999999">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399999999999999">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399999999999999">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399999999999999">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399999999999999">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399999999999999">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399999999999999">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399999999999999">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399999999999999">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399999999999999">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399999999999999">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399999999999999">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399999999999999">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399999999999999">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399999999999999">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399999999999999">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399999999999999">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399999999999999">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399999999999999">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399999999999999">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399999999999999">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399999999999999">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399999999999999">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399999999999999">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399999999999999">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399999999999999">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399999999999999">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399999999999999">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399999999999999">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399999999999999">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399999999999999">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399999999999999">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399999999999999">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399999999999999">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399999999999999">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399999999999999">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399999999999999">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399999999999999">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399999999999999">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399999999999999">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399999999999999">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399999999999999">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399999999999999">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399999999999999">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399999999999999">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399999999999999">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399999999999999">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399999999999999">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399999999999999">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399999999999999">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399999999999999">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399999999999999">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399999999999999">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399999999999999">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399999999999999">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399999999999999">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399999999999999">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399999999999999">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399999999999999">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399999999999999">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399999999999999">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399999999999999">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399999999999999">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399999999999999">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399999999999999">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399999999999999">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399999999999999">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399999999999999">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399999999999999">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399999999999999">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399999999999999">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399999999999999">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399999999999999">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399999999999999">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399999999999999">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399999999999999">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399999999999999">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399999999999999">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399999999999999">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399999999999999">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399999999999999">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399999999999999">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399999999999999">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399999999999999">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399999999999999">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399999999999999">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399999999999999">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399999999999999">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399999999999999">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399999999999999">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399999999999999">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399999999999999">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399999999999999">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399999999999999">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399999999999999">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399999999999999">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399999999999999">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399999999999999">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399999999999999">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399999999999999">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399999999999999">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399999999999999">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399999999999999">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399999999999999">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399999999999999">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399999999999999">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399999999999999">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399999999999999">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399999999999999">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399999999999999">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399999999999999">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399999999999999">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399999999999999">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399999999999999">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399999999999999">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399999999999999">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399999999999999">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399999999999999">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399999999999999">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399999999999999">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399999999999999">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399999999999999">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399999999999999">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399999999999999">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399999999999999">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399999999999999">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399999999999999">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399999999999999">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399999999999999">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399999999999999">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399999999999999">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399999999999999">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399999999999999">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399999999999999">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399999999999999">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399999999999999">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399999999999999">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399999999999999">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399999999999999">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399999999999999">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399999999999999">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399999999999999">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399999999999999">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399999999999999">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399999999999999">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399999999999999">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399999999999999">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399999999999999">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399999999999999">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399999999999999">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399999999999999">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399999999999999">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399999999999999">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399999999999999">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399999999999999">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399999999999999">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399999999999999">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399999999999999">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399999999999999">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399999999999999">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399999999999999">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399999999999999">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399999999999999">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399999999999999">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399999999999999">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399999999999999">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399999999999999">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399999999999999">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399999999999999">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399999999999999">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399999999999999">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399999999999999">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399999999999999">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399999999999999">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399999999999999">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399999999999999">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399999999999999">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399999999999999">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399999999999999">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399999999999999">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399999999999999">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399999999999999">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399999999999999">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399999999999999">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399999999999999">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399999999999999">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399999999999999">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399999999999999">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399999999999999">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399999999999999">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399999999999999">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399999999999999">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399999999999999">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399999999999999">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399999999999999">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399999999999999">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399999999999999">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399999999999999">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399999999999999">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399999999999999">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399999999999999">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399999999999999">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399999999999999">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399999999999999">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399999999999999">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399999999999999">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399999999999999">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399999999999999">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399999999999999">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399999999999999">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399999999999999">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399999999999999">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399999999999999">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399999999999999">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399999999999999">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399999999999999">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399999999999999">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399999999999999">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399999999999999">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399999999999999">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399999999999999">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399999999999999">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399999999999999">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399999999999999">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399999999999999">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399999999999999">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399999999999999">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399999999999999">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399999999999999">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399999999999999">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399999999999999">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399999999999999">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399999999999999">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399999999999999">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399999999999999">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399999999999999">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399999999999999">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399999999999999">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399999999999999">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399999999999999">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399999999999999">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399999999999999">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399999999999999">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399999999999999">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399999999999999">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399999999999999">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399999999999999">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399999999999999">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399999999999999">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399999999999999">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399999999999999">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399999999999999">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399999999999999">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399999999999999">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399999999999999">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399999999999999">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399999999999999">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399999999999999">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399999999999999">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399999999999999">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399999999999999">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399999999999999">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399999999999999">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399999999999999">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399999999999999">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399999999999999">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399999999999999">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399999999999999">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399999999999999">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399999999999999">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399999999999999">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399999999999999">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399999999999999">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399999999999999">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399999999999999">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399999999999999">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399999999999999">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399999999999999">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399999999999999">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399999999999999">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399999999999999">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399999999999999">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399999999999999">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399999999999999">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399999999999999">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399999999999999">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399999999999999">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399999999999999">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399999999999999">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399999999999999">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399999999999999">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399999999999999">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399999999999999">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399999999999999">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399999999999999">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399999999999999">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399999999999999">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399999999999999">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399999999999999">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399999999999999">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399999999999999">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399999999999999">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399999999999999">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399999999999999">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399999999999999">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399999999999999">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399999999999999">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399999999999999">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399999999999999">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399999999999999">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399999999999999">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399999999999999">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399999999999999">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399999999999999">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399999999999999">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399999999999999">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399999999999999">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399999999999999">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399999999999999">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399999999999999">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399999999999999">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399999999999999">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399999999999999">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399999999999999">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399999999999999">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399999999999999">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399999999999999">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399999999999999">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399999999999999">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399999999999999">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399999999999999">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399999999999999">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399999999999999">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399999999999999">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399999999999999">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399999999999999">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399999999999999">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399999999999999">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399999999999999">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399999999999999">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399999999999999">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399999999999999">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399999999999999">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399999999999999">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399999999999999">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399999999999999">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399999999999999">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399999999999999">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399999999999999">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399999999999999">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399999999999999">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399999999999999">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399999999999999">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399999999999999">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399999999999999">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399999999999999">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399999999999999">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399999999999999">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399999999999999">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399999999999999">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399999999999999">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399999999999999">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399999999999999">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399999999999999">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399999999999999">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399999999999999">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399999999999999">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399999999999999">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399999999999999">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399999999999999">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399999999999999">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399999999999999">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399999999999999">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399999999999999">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399999999999999">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399999999999999">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399999999999999">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399999999999999">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399999999999999">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399999999999999">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399999999999999">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399999999999999">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399999999999999">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399999999999999">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399999999999999">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399999999999999">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399999999999999">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399999999999999">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399999999999999">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399999999999999">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399999999999999">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399999999999999">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399999999999999">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399999999999999">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399999999999999">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399999999999999">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399999999999999">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399999999999999">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399999999999999">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399999999999999">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399999999999999">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399999999999999">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399999999999999">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399999999999999">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399999999999999">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399999999999999">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399999999999999">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399999999999999">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399999999999999">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399999999999999">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399999999999999">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399999999999999">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399999999999999">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399999999999999">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399999999999999">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399999999999999">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399999999999999">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399999999999999">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399999999999999">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399999999999999">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399999999999999">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399999999999999">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399999999999999">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399999999999999">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399999999999999">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399999999999999">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399999999999999">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399999999999999">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399999999999999">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399999999999999">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399999999999999">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399999999999999">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399999999999999">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399999999999999">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399999999999999">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399999999999999">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399999999999999">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399999999999999">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399999999999999">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399999999999999">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399999999999999">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399999999999999">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399999999999999">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399999999999999">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399999999999999">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399999999999999">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399999999999999">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399999999999999">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399999999999999">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399999999999999">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399999999999999">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399999999999999">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399999999999999">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399999999999999">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399999999999999">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399999999999999">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399999999999999">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399999999999999">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399999999999999">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399999999999999">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399999999999999">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399999999999999">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399999999999999">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399999999999999">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399999999999999">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399999999999999">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399999999999999">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399999999999999">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399999999999999">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399999999999999">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399999999999999">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399999999999999">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399999999999999">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399999999999999">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399999999999999">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399999999999999">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399999999999999">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399999999999999">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399999999999999">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399999999999999">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399999999999999">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399999999999999">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399999999999999">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399999999999999">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399999999999999">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399999999999999">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399999999999999">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399999999999999">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399999999999999">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399999999999999">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399999999999999">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399999999999999">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399999999999999">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399999999999999">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399999999999999">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399999999999999">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399999999999999">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399999999999999">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399999999999999">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399999999999999">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399999999999999">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399999999999999">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399999999999999">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399999999999999">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399999999999999">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399999999999999">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399999999999999">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399999999999999">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399999999999999">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399999999999999">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399999999999999">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399999999999999">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399999999999999">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399999999999999">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399999999999999">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399999999999999">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399999999999999">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399999999999999">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399999999999999">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399999999999999">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399999999999999">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399999999999999">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399999999999999">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399999999999999">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399999999999999">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399999999999999">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399999999999999">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399999999999999">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399999999999999">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399999999999999">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399999999999999">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399999999999999">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399999999999999">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399999999999999">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399999999999999">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399999999999999">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399999999999999">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399999999999999">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399999999999999">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399999999999999">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399999999999999">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399999999999999">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399999999999999">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399999999999999">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399999999999999">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399999999999999">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399999999999999">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399999999999999">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399999999999999">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399999999999999">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399999999999999">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399999999999999">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399999999999999">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399999999999999">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399999999999999">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399999999999999">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399999999999999">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399999999999999">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399999999999999">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399999999999999">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399999999999999">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399999999999999">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399999999999999">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399999999999999">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399999999999999">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399999999999999">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399999999999999">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399999999999999">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399999999999999">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399999999999999">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399999999999999">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399999999999999">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399999999999999">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399999999999999">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399999999999999">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399999999999999">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399999999999999">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399999999999999">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399999999999999">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399999999999999">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399999999999999">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399999999999999">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399999999999999">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399999999999999">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399999999999999">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399999999999999">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399999999999999">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399999999999999">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399999999999999">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399999999999999">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399999999999999">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399999999999999">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399999999999999">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399999999999999">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399999999999999">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399999999999999">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399999999999999">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399999999999999">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399999999999999">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399999999999999">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399999999999999">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399999999999999">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399999999999999">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399999999999999">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399999999999999">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399999999999999">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399999999999999">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399999999999999">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399999999999999">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399999999999999">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399999999999999">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399999999999999">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399999999999999">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399999999999999">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399999999999999">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399999999999999">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399999999999999">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399999999999999">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399999999999999">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399999999999999">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399999999999999">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399999999999999">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399999999999999">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399999999999999">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399999999999999">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399999999999999">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399999999999999">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399999999999999">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399999999999999">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399999999999999">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399999999999999">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399999999999999">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399999999999999">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399999999999999">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399999999999999">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399999999999999">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399999999999999">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399999999999999">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399999999999999">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399999999999999">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399999999999999">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399999999999999">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399999999999999">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399999999999999">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399999999999999">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399999999999999">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399999999999999">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399999999999999">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399999999999999">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399999999999999">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399999999999999">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399999999999999">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399999999999999">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399999999999999">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399999999999999">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399999999999999">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399999999999999">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399999999999999">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399999999999999">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399999999999999">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399999999999999">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399999999999999">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399999999999999">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399999999999999">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399999999999999">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399999999999999">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399999999999999">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399999999999999">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399999999999999">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399999999999999">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399999999999999">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399999999999999">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399999999999999">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399999999999999">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399999999999999">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399999999999999">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399999999999999">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399999999999999">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399999999999999">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399999999999999">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399999999999999">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399999999999999">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399999999999999">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399999999999999">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399999999999999">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399999999999999">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399999999999999">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399999999999999">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399999999999999">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399999999999999">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399999999999999">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399999999999999">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399999999999999">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399999999999999">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399999999999999">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399999999999999">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399999999999999">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399999999999999">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399999999999999">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399999999999999">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399999999999999">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399999999999999">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399999999999999">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399999999999999">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399999999999999">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399999999999999">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399999999999999">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399999999999999">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399999999999999">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399999999999999">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399999999999999">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399999999999999">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399999999999999">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399999999999999">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399999999999999">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399999999999999">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399999999999999">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399999999999999">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399999999999999">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399999999999999">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399999999999999">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399999999999999">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399999999999999">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399999999999999">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399999999999999">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399999999999999">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399999999999999">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399999999999999">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399999999999999">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399999999999999">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399999999999999">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399999999999999">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399999999999999">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399999999999999">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399999999999999">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399999999999999">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399999999999999">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399999999999999">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399999999999999">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399999999999999">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399999999999999">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399999999999999">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399999999999999">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399999999999999">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399999999999999">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399999999999999">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399999999999999">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399999999999999">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399999999999999">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399999999999999">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399999999999999">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399999999999999">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399999999999999">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399999999999999">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399999999999999">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399999999999999">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399999999999999">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399999999999999">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399999999999999">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399999999999999">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399999999999999">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399999999999999">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399999999999999">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399999999999999">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399999999999999">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399999999999999">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399999999999999">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399999999999999">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399999999999999">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399999999999999">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399999999999999">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399999999999999">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399999999999999">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399999999999999">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399999999999999">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399999999999999">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399999999999999">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399999999999999">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399999999999999">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399999999999999">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399999999999999">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399999999999999">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399999999999999">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399999999999999">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399999999999999">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399999999999999">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399999999999999">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399999999999999">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399999999999999">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399999999999999">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399999999999999">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399999999999999">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399999999999999">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399999999999999">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399999999999999">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399999999999999">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399999999999999">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399999999999999">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399999999999999">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399999999999999">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399999999999999">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399999999999999">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399999999999999">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399999999999999">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399999999999999">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399999999999999">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399999999999999">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399999999999999">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399999999999999">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399999999999999">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399999999999999">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399999999999999">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399999999999999">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399999999999999">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399999999999999">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399999999999999">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399999999999999">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399999999999999">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399999999999999">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399999999999999">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399999999999999">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399999999999999">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399999999999999">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399999999999999">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399999999999999">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399999999999999">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399999999999999">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399999999999999">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399999999999999">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399999999999999">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399999999999999">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399999999999999">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399999999999999">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399999999999999">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399999999999999">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399999999999999">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399999999999999">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399999999999999">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399999999999999">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399999999999999">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399999999999999">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399999999999999">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399999999999999">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399999999999999">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399999999999999">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399999999999999">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399999999999999">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399999999999999">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399999999999999">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399999999999999">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399999999999999">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399999999999999">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399999999999999">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399999999999999">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399999999999999">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399999999999999">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399999999999999">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399999999999999">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399999999999999">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399999999999999">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399999999999999">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399999999999999">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399999999999999">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399999999999999">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399999999999999">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399999999999999">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399999999999999">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399999999999999">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399999999999999">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399999999999999">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399999999999999">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399999999999999">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399999999999999">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399999999999999">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399999999999999">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399999999999999">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399999999999999">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399999999999999">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399999999999999">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399999999999999">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399999999999999">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399999999999999">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399999999999999">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399999999999999">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399999999999999">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399999999999999">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399999999999999">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399999999999999">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399999999999999">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399999999999999">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399999999999999">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399999999999999">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399999999999999">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399999999999999">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399999999999999">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399999999999999">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399999999999999">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399999999999999">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399999999999999">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399999999999999">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399999999999999">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399999999999999">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399999999999999">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399999999999999">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399999999999999">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399999999999999">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399999999999999">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399999999999999">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399999999999999">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399999999999999">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399999999999999">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399999999999999">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399999999999999">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399999999999999">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399999999999999">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399999999999999">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399999999999999">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399999999999999">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399999999999999">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399999999999999">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399999999999999">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399999999999999">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399999999999999">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399999999999999">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399999999999999">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399999999999999">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399999999999999">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399999999999999">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399999999999999">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399999999999999">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399999999999999">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399999999999999">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399999999999999">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399999999999999">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399999999999999">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399999999999999">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399999999999999">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399999999999999">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399999999999999">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399999999999999">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399999999999999">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399999999999999">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399999999999999">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399999999999999">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399999999999999">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399999999999999">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399999999999999">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399999999999999">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399999999999999">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399999999999999">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399999999999999">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399999999999999">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399999999999999">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399999999999999">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399999999999999">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399999999999999">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399999999999999">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399999999999999">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399999999999999">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399999999999999">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399999999999999">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399999999999999">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399999999999999">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399999999999999">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399999999999999">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399999999999999">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399999999999999">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399999999999999">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399999999999999">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399999999999999">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399999999999999">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399999999999999">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399999999999999">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399999999999999">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399999999999999">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399999999999999">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399999999999999">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399999999999999">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399999999999999">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399999999999999">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399999999999999">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399999999999999">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399999999999999">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399999999999999">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399999999999999">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399999999999999">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399999999999999">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399999999999999">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399999999999999">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399999999999999">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399999999999999">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399999999999999">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399999999999999">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399999999999999">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399999999999999">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399999999999999">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399999999999999">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399999999999999">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399999999999999">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399999999999999">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399999999999999">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399999999999999">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399999999999999">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399999999999999">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399999999999999">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399999999999999">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399999999999999">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399999999999999">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399999999999999">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399999999999999">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399999999999999">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399999999999999">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399999999999999">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399999999999999">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399999999999999">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399999999999999">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399999999999999">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399999999999999">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399999999999999">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399999999999999">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399999999999999">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399999999999999">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399999999999999">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399999999999999">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399999999999999">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399999999999999">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399999999999999">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399999999999999">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399999999999999">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399999999999999">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399999999999999">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399999999999999">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399999999999999">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399999999999999">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399999999999999">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399999999999999">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399999999999999">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399999999999999">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399999999999999">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399999999999999">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399999999999999">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399999999999999">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399999999999999">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399999999999999">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399999999999999">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399999999999999">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399999999999999">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399999999999999">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399999999999999">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399999999999999">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399999999999999">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399999999999999">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399999999999999">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399999999999999">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399999999999999">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399999999999999">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399999999999999">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399999999999999">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399999999999999">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399999999999999">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399999999999999">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399999999999999">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399999999999999">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399999999999999">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399999999999999">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399999999999999">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399999999999999">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399999999999999">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399999999999999">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399999999999999">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399999999999999">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399999999999999">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399999999999999">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399999999999999">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399999999999999">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399999999999999">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399999999999999">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399999999999999">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399999999999999">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399999999999999">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399999999999999">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399999999999999">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399999999999999">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399999999999999">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399999999999999">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399999999999999">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399999999999999">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399999999999999">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399999999999999">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399999999999999">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399999999999999">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399999999999999">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399999999999999">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399999999999999">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399999999999999">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399999999999999">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399999999999999">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399999999999999">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399999999999999">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399999999999999">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399999999999999">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399999999999999">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399999999999999">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399999999999999">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399999999999999">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399999999999999">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399999999999999">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399999999999999">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399999999999999">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399999999999999">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399999999999999">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399999999999999">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399999999999999">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399999999999999">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399999999999999">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399999999999999">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399999999999999">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399999999999999">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399999999999999">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399999999999999">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399999999999999">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399999999999999">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399999999999999">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399999999999999">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399999999999999">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399999999999999">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399999999999999">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399999999999999">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399999999999999">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399999999999999">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399999999999999">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399999999999999">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399999999999999">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399999999999999">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399999999999999">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399999999999999">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399999999999999">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399999999999999">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399999999999999">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399999999999999">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399999999999999">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399999999999999">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399999999999999">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399999999999999">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399999999999999">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399999999999999">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399999999999999">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399999999999999">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399999999999999">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399999999999999">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399999999999999">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399999999999999">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399999999999999">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399999999999999">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399999999999999">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399999999999999">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399999999999999">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399999999999999">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399999999999999">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399999999999999">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399999999999999">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399999999999999">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399999999999999">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399999999999999">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399999999999999">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399999999999999">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399999999999999">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399999999999999">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399999999999999">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399999999999999">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399999999999999">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399999999999999">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399999999999999">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399999999999999">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399999999999999">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399999999999999">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399999999999999">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399999999999999">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399999999999999">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399999999999999">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399999999999999">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399999999999999">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399999999999999">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399999999999999">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399999999999999">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399999999999999">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399999999999999">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399999999999999">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399999999999999">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399999999999999">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399999999999999">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399999999999999">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399999999999999">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399999999999999">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399999999999999">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399999999999999">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399999999999999">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399999999999999">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399999999999999">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399999999999999">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399999999999999">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399999999999999">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399999999999999">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399999999999999">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399999999999999">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399999999999999">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399999999999999">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399999999999999">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399999999999999">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399999999999999">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399999999999999">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399999999999999">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399999999999999">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399999999999999">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399999999999999">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399999999999999">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399999999999999">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399999999999999">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399999999999999">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399999999999999">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399999999999999">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399999999999999">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399999999999999">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399999999999999">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399999999999999">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399999999999999">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399999999999999">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399999999999999">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399999999999999">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399999999999999">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399999999999999">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399999999999999">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399999999999999">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399999999999999">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399999999999999">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399999999999999">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399999999999999">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399999999999999">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399999999999999">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399999999999999">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399999999999999">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399999999999999">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399999999999999">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399999999999999">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399999999999999">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399999999999999">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399999999999999">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399999999999999">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399999999999999">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399999999999999">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399999999999999">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399999999999999">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399999999999999">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399999999999999">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399999999999999">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399999999999999">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399999999999999">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399999999999999">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399999999999999">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399999999999999">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399999999999999">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399999999999999">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399999999999999">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399999999999999">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399999999999999">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399999999999999">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399999999999999">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399999999999999">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399999999999999">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399999999999999">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399999999999999">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399999999999999">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399999999999999">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399999999999999">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399999999999999">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399999999999999">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399999999999999">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399999999999999">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399999999999999">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399999999999999">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399999999999999">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399999999999999">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399999999999999">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399999999999999">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399999999999999">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399999999999999">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399999999999999">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399999999999999">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399999999999999">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399999999999999">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399999999999999">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399999999999999">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399999999999999">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399999999999999">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399999999999999">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399999999999999">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399999999999999">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399999999999999">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399999999999999">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399999999999999">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399999999999999">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399999999999999">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399999999999999">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399999999999999">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399999999999999">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399999999999999">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399999999999999">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399999999999999">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399999999999999">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399999999999999">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399999999999999">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399999999999999">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399999999999999">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399999999999999">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399999999999999">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399999999999999">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399999999999999">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399999999999999">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399999999999999">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399999999999999">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399999999999999">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399999999999999">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399999999999999">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399999999999999">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399999999999999">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399999999999999">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399999999999999">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399999999999999">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399999999999999">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399999999999999">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399999999999999">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399999999999999">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399999999999999">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399999999999999">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399999999999999">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399999999999999">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399999999999999">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399999999999999">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399999999999999">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399999999999999">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399999999999999">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399999999999999">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399999999999999">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399999999999999">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399999999999999">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399999999999999">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399999999999999">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399999999999999">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399999999999999">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399999999999999">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399999999999999">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399999999999999">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399999999999999">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399999999999999">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399999999999999">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399999999999999">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399999999999999">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399999999999999">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399999999999999">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399999999999999">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399999999999999">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399999999999999">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399999999999999">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399999999999999">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399999999999999">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399999999999999">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399999999999999">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399999999999999">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399999999999999">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399999999999999">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399999999999999">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399999999999999">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399999999999999">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399999999999999">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399999999999999">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399999999999999">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399999999999999">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399999999999999">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399999999999999">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399999999999999">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399999999999999">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399999999999999">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399999999999999">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399999999999999">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399999999999999">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399999999999999">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399999999999999">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399999999999999">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399999999999999">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399999999999999">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399999999999999">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399999999999999">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399999999999999">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399999999999999">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399999999999999">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399999999999999">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399999999999999">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399999999999999">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399999999999999">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399999999999999">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399999999999999">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399999999999999">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399999999999999">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399999999999999">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399999999999999">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399999999999999">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399999999999999">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399999999999999">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399999999999999">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399999999999999">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399999999999999">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399999999999999">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399999999999999">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399999999999999">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399999999999999">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399999999999999">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399999999999999">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399999999999999">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399999999999999">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399999999999999">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399999999999999">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399999999999999">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399999999999999">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399999999999999">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399999999999999">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399999999999999">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399999999999999">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399999999999999">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399999999999999">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399999999999999">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399999999999999">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399999999999999">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399999999999999">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399999999999999">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399999999999999">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399999999999999">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399999999999999">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399999999999999">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399999999999999">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399999999999999">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399999999999999">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399999999999999">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399999999999999">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399999999999999">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399999999999999">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399999999999999">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399999999999999">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399999999999999">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399999999999999">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399999999999999">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399999999999999">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399999999999999">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399999999999999">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399999999999999">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399999999999999">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399999999999999">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399999999999999">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399999999999999">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399999999999999">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399999999999999">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399999999999999">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399999999999999">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399999999999999">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399999999999999">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399999999999999">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399999999999999">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399999999999999">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399999999999999">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399999999999999">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399999999999999">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399999999999999">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399999999999999">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399999999999999">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399999999999999">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399999999999999">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399999999999999">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399999999999999">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399999999999999">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399999999999999">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399999999999999">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399999999999999">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399999999999999">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399999999999999">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399999999999999">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399999999999999">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399999999999999">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399999999999999">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399999999999999">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399999999999999">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399999999999999">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399999999999999">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399999999999999">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399999999999999">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399999999999999">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399999999999999">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399999999999999">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399999999999999">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399999999999999">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399999999999999">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399999999999999">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399999999999999">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399999999999999">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399999999999999">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399999999999999">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399999999999999">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399999999999999">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399999999999999">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399999999999999">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399999999999999">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399999999999999">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399999999999999">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399999999999999">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399999999999999">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399999999999999">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399999999999999">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399999999999999">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399999999999999">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399999999999999">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399999999999999">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399999999999999">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399999999999999">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399999999999999">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399999999999999">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399999999999999">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399999999999999">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399999999999999">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399999999999999">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399999999999999">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399999999999999">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399999999999999">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399999999999999">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399999999999999">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399999999999999">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399999999999999">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399999999999999">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399999999999999">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399999999999999">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399999999999999">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399999999999999">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399999999999999">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399999999999999">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399999999999999">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399999999999999">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399999999999999">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399999999999999">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399999999999999">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399999999999999">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399999999999999">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399999999999999">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399999999999999">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399999999999999">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399999999999999">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399999999999999">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399999999999999">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399999999999999">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399999999999999">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399999999999999">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399999999999999">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399999999999999">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399999999999999">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399999999999999">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399999999999999">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399999999999999">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399999999999999">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399999999999999">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399999999999999">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399999999999999">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399999999999999">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399999999999999">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399999999999999">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399999999999999">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399999999999999">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399999999999999">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399999999999999">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399999999999999">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399999999999999">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399999999999999">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399999999999999">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399999999999999">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399999999999999">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399999999999999">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399999999999999">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399999999999999">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399999999999999">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399999999999999">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399999999999999">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399999999999999">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399999999999999">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399999999999999">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399999999999999">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399999999999999">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399999999999999">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399999999999999">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399999999999999">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399999999999999">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399999999999999">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399999999999999">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399999999999999">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399999999999999">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399999999999999">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399999999999999">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399999999999999">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399999999999999">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399999999999999">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399999999999999">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399999999999999">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399999999999999">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399999999999999">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399999999999999">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399999999999999">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399999999999999">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399999999999999">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399999999999999">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399999999999999">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399999999999999">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399999999999999">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399999999999999">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399999999999999">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399999999999999">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399999999999999">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399999999999999">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399999999999999">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399999999999999">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399999999999999">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399999999999999">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399999999999999">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399999999999999">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399999999999999">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399999999999999">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399999999999999">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399999999999999">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399999999999999">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399999999999999">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399999999999999">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399999999999999">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399999999999999">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399999999999999">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399999999999999">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399999999999999">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399999999999999">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399999999999999">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399999999999999">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399999999999999">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399999999999999">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399999999999999">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399999999999999">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399999999999999">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399999999999999">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399999999999999">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399999999999999">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399999999999999">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399999999999999">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399999999999999">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399999999999999">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399999999999999">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399999999999999">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399999999999999">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399999999999999">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399999999999999">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399999999999999">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399999999999999">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399999999999999">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399999999999999">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399999999999999">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399999999999999">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399999999999999">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399999999999999">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399999999999999">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399999999999999">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399999999999999">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399999999999999">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399999999999999">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399999999999999">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399999999999999">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399999999999999">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399999999999999">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399999999999999">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399999999999999">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399999999999999">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399999999999999">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399999999999999">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399999999999999">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399999999999999">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399999999999999">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399999999999999">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399999999999999">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399999999999999">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399999999999999">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399999999999999">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399999999999999">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399999999999999">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399999999999999">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399999999999999">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399999999999999">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399999999999999">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399999999999999">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399999999999999">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399999999999999">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399999999999999">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399999999999999">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399999999999999">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399999999999999">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399999999999999">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399999999999999">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399999999999999">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399999999999999">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399999999999999">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399999999999999">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399999999999999">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399999999999999">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399999999999999">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399999999999999">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399999999999999">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399999999999999">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399999999999999">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399999999999999">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399999999999999">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399999999999999">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399999999999999">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399999999999999">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399999999999999">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399999999999999">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399999999999999">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399999999999999">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399999999999999">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399999999999999">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399999999999999">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399999999999999">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399999999999999">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399999999999999">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399999999999999">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399999999999999">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399999999999999">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399999999999999">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399999999999999">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399999999999999">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399999999999999">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399999999999999">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399999999999999">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399999999999999">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399999999999999">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399999999999999">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399999999999999">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399999999999999">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399999999999999">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399999999999999">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399999999999999">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399999999999999">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399999999999999">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399999999999999">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399999999999999">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399999999999999">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399999999999999">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399999999999999">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399999999999999">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399999999999999">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399999999999999">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399999999999999">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399999999999999">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399999999999999">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399999999999999">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399999999999999">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399999999999999">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399999999999999">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399999999999999">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399999999999999">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399999999999999">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399999999999999">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399999999999999">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399999999999999">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399999999999999">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399999999999999">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399999999999999">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399999999999999">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399999999999999">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399999999999999">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399999999999999">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399999999999999">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399999999999999">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399999999999999">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399999999999999">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399999999999999">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399999999999999">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399999999999999">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399999999999999">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399999999999999">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399999999999999">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399999999999999">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399999999999999">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399999999999999">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399999999999999">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399999999999999">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399999999999999">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399999999999999">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399999999999999">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399999999999999">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399999999999999">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399999999999999">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399999999999999">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399999999999999">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399999999999999">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399999999999999">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399999999999999">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399999999999999">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399999999999999">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399999999999999">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399999999999999">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399999999999999">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399999999999999">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399999999999999">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399999999999999">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399999999999999">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2"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53"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6.2">
      <c r="A2" s="59" t="s">
        <v>53</v>
      </c>
      <c r="B2" s="60" t="str">
        <f>IF(F61=1,"Click here to return to Smelter List","")</f>
        <v>Click here to return to Smelter List</v>
      </c>
      <c r="C2" s="112" t="str">
        <f>IF(F60=1,"Click here to return to Product List","")</f>
        <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Semiconductor Components Industries, LLC dba onsemi</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Edwin Laoreno</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edwin.laoreno@onsemi.com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(408) 660-2590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Cynthia Lambojon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cynthia.lambojon@onsemi.com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(408) 542-1106</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44592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18</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17</v>
      </c>
      <c r="F32" s="84"/>
    </row>
    <row r="33" spans="1:10" ht="26.4">
      <c r="A33" s="81" t="str">
        <f ca="1">Declaration!B50</f>
        <v>Cobalt(*)</v>
      </c>
      <c r="B33" s="80" t="str">
        <f>Declaration!D50</f>
        <v>Greater than 75%</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15</v>
      </c>
      <c r="F37" s="84"/>
    </row>
    <row r="38" spans="1:10" ht="51.6">
      <c r="A38" s="81" t="str">
        <f ca="1">Declaration!B56</f>
        <v>Cobalt(*)</v>
      </c>
      <c r="B38" s="80" t="str">
        <f>Declaration!D56</f>
        <v>No</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https://www.onsemi.com/site/pdf/Conflict_Mineral_Policy.pdf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2">
      <c r="A65" s="143" t="s">
        <v>64</v>
      </c>
      <c r="B65" s="80"/>
      <c r="C65" s="143" t="str">
        <f ca="1">IF(F65=0,J65,IF(G65=0,I65,L65))</f>
        <v>Complete</v>
      </c>
      <c r="D65" s="86"/>
      <c r="E65" s="17"/>
      <c r="F65" s="85">
        <f ca="1">IF(COUNTIF('Smelter List'!$C:$C,"Smelter Not Listed")&gt;0,1,0)</f>
        <v>1</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2"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ht="13.2">
      <c r="A2" s="20"/>
      <c r="B2" s="110"/>
      <c r="C2" s="110"/>
      <c r="D2"/>
      <c r="E2" s="21"/>
    </row>
    <row r="3" spans="1:35" ht="13.2">
      <c r="A3" s="20"/>
      <c r="B3" s="110"/>
      <c r="C3" s="110"/>
      <c r="D3" s="110"/>
      <c r="E3" s="21"/>
    </row>
    <row r="4" spans="1:35" ht="15.75" customHeight="1">
      <c r="A4" s="20"/>
      <c r="B4" s="411" t="s">
        <v>53</v>
      </c>
      <c r="C4" s="411"/>
      <c r="D4" s="41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2"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68" bestFit="1" customWidth="1"/>
    <col min="2" max="2" width="42.90625" style="168" customWidth="1"/>
    <col min="3" max="3" width="40.08984375" style="168" customWidth="1"/>
    <col min="4" max="4" width="22.90625" style="168" customWidth="1"/>
    <col min="5" max="5" width="12.7265625" style="168" customWidth="1"/>
    <col min="6" max="6" width="12.7265625" style="169" customWidth="1"/>
    <col min="7" max="7" width="15.26953125" style="168" customWidth="1"/>
    <col min="8" max="8" width="23.90625" style="168" customWidth="1"/>
    <col min="9" max="9" width="28.08984375" style="168" customWidth="1"/>
    <col min="10" max="10" width="38.7265625" style="168" hidden="1" customWidth="1"/>
    <col min="11" max="11" width="24.08984375" style="168" hidden="1" customWidth="1"/>
    <col min="12" max="12" width="17.453125" style="168" customWidth="1"/>
    <col min="13" max="13" width="16.08984375" style="168" customWidth="1"/>
    <col min="14" max="16384" width="8.9062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67" customWidth="1"/>
    <col min="6" max="6" width="61.6328125" style="268" customWidth="1"/>
    <col min="7" max="7" width="61.6328125" style="128" customWidth="1"/>
    <col min="8" max="8" width="65.6328125" style="145" customWidth="1"/>
    <col min="9" max="11" width="40" style="128" customWidth="1"/>
    <col min="12" max="12" width="40" style="145" customWidth="1"/>
    <col min="13" max="13" width="40" style="200" customWidth="1"/>
    <col min="14" max="16384" width="8.72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6.6">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5.2">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6">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5.2">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5.2">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5.2">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5.2">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6.6">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10.4">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1.4">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6.6">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1.4">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1.4">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5.2">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7">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1.4">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4.2">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1.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8.8">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8.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34.6">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8">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6.6">
      <c r="A32" s="128" t="str">
        <f t="shared" si="1"/>
        <v>InstructionsA33</v>
      </c>
      <c r="B32" s="128" t="s">
        <v>404</v>
      </c>
      <c r="C32" s="128" t="s">
        <v>727</v>
      </c>
      <c r="D32" s="273" t="s">
        <v>728</v>
      </c>
      <c r="E32" s="274" t="s">
        <v>729</v>
      </c>
      <c r="F32" s="275" t="s">
        <v>730</v>
      </c>
      <c r="G32" s="273" t="s">
        <v>731</v>
      </c>
      <c r="H32" s="323" t="s">
        <v>732</v>
      </c>
      <c r="L32" s="128"/>
      <c r="M32" s="128"/>
    </row>
    <row r="33" spans="1:13" ht="86.4">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03.6000000000000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0.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20.8">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38">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20.8">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9.8">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62.2">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6.6">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2.8">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0.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6.6">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9">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2.8">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6.6">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10.4">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51.80000000000001">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6.6">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9">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9">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9">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10.4">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7">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34.6">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5.2">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5.2">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34.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5.2">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0.2">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7">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93.2">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6">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8">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5.2">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8">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6">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8">
      <c r="A77" s="128" t="str">
        <f t="shared" si="4"/>
        <v>DefinitionsB11</v>
      </c>
      <c r="B77" s="128" t="s">
        <v>1117</v>
      </c>
      <c r="C77" s="128" t="s">
        <v>1210</v>
      </c>
      <c r="D77" s="273" t="s">
        <v>1211</v>
      </c>
      <c r="E77" s="273" t="s">
        <v>1212</v>
      </c>
      <c r="F77" s="282" t="s">
        <v>1213</v>
      </c>
      <c r="G77" s="283" t="s">
        <v>1214</v>
      </c>
      <c r="H77" s="319" t="s">
        <v>1215</v>
      </c>
      <c r="K77" s="129"/>
      <c r="M77" s="128"/>
    </row>
    <row r="78" spans="1:13" ht="13.8">
      <c r="A78" s="128" t="str">
        <f t="shared" si="4"/>
        <v>DefinitionsB12</v>
      </c>
      <c r="B78" s="128" t="s">
        <v>1117</v>
      </c>
      <c r="C78" s="128" t="s">
        <v>1216</v>
      </c>
      <c r="D78" s="273" t="s">
        <v>1217</v>
      </c>
      <c r="E78" s="273" t="s">
        <v>1218</v>
      </c>
      <c r="F78" s="282" t="s">
        <v>1219</v>
      </c>
      <c r="G78" s="284" t="s">
        <v>1220</v>
      </c>
      <c r="H78" s="319" t="s">
        <v>1221</v>
      </c>
      <c r="K78" s="129"/>
      <c r="M78" s="128"/>
    </row>
    <row r="79" spans="1:13" ht="13.8">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4">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6">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6">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6">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2.8">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9.4">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20.8">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7">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9.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9.4">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4.2">
      <c r="A99" s="128" t="str">
        <f t="shared" si="4"/>
        <v>DefinitionsC13</v>
      </c>
      <c r="B99" s="128" t="s">
        <v>1117</v>
      </c>
      <c r="C99" s="128" t="s">
        <v>1420</v>
      </c>
      <c r="D99" s="273" t="s">
        <v>1421</v>
      </c>
      <c r="E99" s="274" t="s">
        <v>1422</v>
      </c>
      <c r="F99" s="282" t="s">
        <v>1423</v>
      </c>
      <c r="G99" s="284" t="s">
        <v>1424</v>
      </c>
      <c r="H99" s="319" t="s">
        <v>1425</v>
      </c>
      <c r="K99" s="129"/>
      <c r="M99" s="128"/>
    </row>
    <row r="100" spans="1:13" ht="82.8">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93.2">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9">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4.2">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1.2">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4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10.4">
      <c r="A106" s="128" t="str">
        <f t="shared" si="4"/>
        <v>DefinitionsC20</v>
      </c>
      <c r="B106" s="128" t="s">
        <v>1117</v>
      </c>
      <c r="C106" s="128" t="s">
        <v>1490</v>
      </c>
      <c r="D106" s="273" t="s">
        <v>1491</v>
      </c>
      <c r="E106" s="274" t="s">
        <v>1492</v>
      </c>
      <c r="F106" s="282" t="s">
        <v>1493</v>
      </c>
      <c r="G106" s="283" t="s">
        <v>1494</v>
      </c>
      <c r="H106" s="319" t="s">
        <v>1495</v>
      </c>
      <c r="L106" s="128"/>
      <c r="M106" s="128"/>
    </row>
    <row r="107" spans="1:13" ht="110.4">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6">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6">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6">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5.2">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7.6">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2.8">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1.4">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1.4">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1.4">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6">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6">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6">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6">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6">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1.4">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2.8">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6">
      <c r="A135" s="128" t="str">
        <f>B135&amp;C135</f>
        <v>DeclarationB31</v>
      </c>
      <c r="B135" s="128" t="s">
        <v>1507</v>
      </c>
      <c r="C135" s="128" t="s">
        <v>1776</v>
      </c>
      <c r="D135" s="128" t="s">
        <v>1777</v>
      </c>
      <c r="E135" s="128" t="s">
        <v>1778</v>
      </c>
      <c r="F135" s="313" t="s">
        <v>1779</v>
      </c>
      <c r="G135" s="128" t="s">
        <v>1780</v>
      </c>
      <c r="H135" s="319" t="s">
        <v>1781</v>
      </c>
      <c r="L135" s="128"/>
      <c r="M135" s="128"/>
    </row>
    <row r="136" spans="1:13" ht="9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5.2">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9">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9">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2.8">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6">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8.8">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6.6">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6.6">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0.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0.4">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9">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9">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5.2">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8.8">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8.8">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6">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6">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6">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6">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6">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6">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6">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6">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6">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6">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6">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6">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4">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6">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6">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1.4">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1.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1.4">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6">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6">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5.2">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6">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6">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6">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6">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1.4">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1.4">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5.2">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5.2">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1.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1.4">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1.4">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1.4">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1.4">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1.4">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2.8">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2.8">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2.8">
      <c r="A239" s="128" t="str">
        <f t="shared" si="9"/>
        <v>CheckerJ22</v>
      </c>
      <c r="B239" s="128" t="s">
        <v>2380</v>
      </c>
      <c r="C239" s="128" t="s">
        <v>2632</v>
      </c>
      <c r="G239"/>
      <c r="H239" s="319"/>
      <c r="I239" s="128" t="s">
        <v>2633</v>
      </c>
      <c r="J239" s="128" t="s">
        <v>2634</v>
      </c>
      <c r="K239" s="128" t="s">
        <v>2635</v>
      </c>
      <c r="L239" s="128" t="s">
        <v>2636</v>
      </c>
      <c r="M239" s="128" t="s">
        <v>2637</v>
      </c>
    </row>
    <row r="240" spans="1:13" ht="82.8">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3.2">
      <c r="A241" s="128" t="str">
        <f t="shared" si="9"/>
        <v>CheckerJ24</v>
      </c>
      <c r="B241" s="128" t="s">
        <v>2380</v>
      </c>
      <c r="C241" s="128" t="s">
        <v>2649</v>
      </c>
      <c r="D241" s="273" t="s">
        <v>2650</v>
      </c>
      <c r="E241" s="274" t="s">
        <v>2651</v>
      </c>
      <c r="F241" s="281" t="s">
        <v>2652</v>
      </c>
      <c r="G241" s="279" t="s">
        <v>2653</v>
      </c>
      <c r="H241" s="319" t="s">
        <v>2654</v>
      </c>
      <c r="L241" s="128"/>
      <c r="M241" s="128"/>
    </row>
    <row r="242" spans="1:13" ht="69">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9">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9">
      <c r="A244" s="128" t="str">
        <f t="shared" si="9"/>
        <v>CheckerJ27</v>
      </c>
      <c r="B244" s="128" t="s">
        <v>2380</v>
      </c>
      <c r="C244" s="128" t="s">
        <v>2677</v>
      </c>
      <c r="G244"/>
      <c r="H244" s="319"/>
      <c r="I244" s="128" t="s">
        <v>2678</v>
      </c>
      <c r="J244" s="128" t="s">
        <v>2679</v>
      </c>
      <c r="K244" s="128" t="s">
        <v>2680</v>
      </c>
      <c r="L244" s="128" t="s">
        <v>2681</v>
      </c>
      <c r="M244" s="128" t="s">
        <v>2682</v>
      </c>
    </row>
    <row r="245" spans="1:13" ht="69">
      <c r="A245" s="128" t="str">
        <f t="shared" si="9"/>
        <v>CheckerJ28</v>
      </c>
      <c r="B245" s="128" t="s">
        <v>2380</v>
      </c>
      <c r="C245" s="128" t="s">
        <v>2655</v>
      </c>
      <c r="G245"/>
      <c r="H245" s="319"/>
      <c r="I245" s="128" t="s">
        <v>2683</v>
      </c>
      <c r="J245" s="128" t="s">
        <v>2684</v>
      </c>
      <c r="K245" s="128" t="s">
        <v>2685</v>
      </c>
      <c r="L245" s="128" t="s">
        <v>2686</v>
      </c>
      <c r="M245" s="128" t="s">
        <v>2687</v>
      </c>
    </row>
    <row r="246" spans="1:13" ht="55.2">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5.2">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5.2">
      <c r="A248" s="128" t="str">
        <f t="shared" si="9"/>
        <v>CheckerJ32</v>
      </c>
      <c r="B248" s="128" t="s">
        <v>2380</v>
      </c>
      <c r="C248" s="128" t="s">
        <v>2710</v>
      </c>
      <c r="G248"/>
      <c r="H248" s="319"/>
      <c r="I248" s="128" t="s">
        <v>2711</v>
      </c>
      <c r="J248" s="128" t="s">
        <v>2712</v>
      </c>
      <c r="K248" s="128" t="s">
        <v>2713</v>
      </c>
      <c r="L248" s="128" t="s">
        <v>2714</v>
      </c>
      <c r="M248" s="128" t="s">
        <v>2715</v>
      </c>
    </row>
    <row r="249" spans="1:13" ht="55.2">
      <c r="A249" s="128" t="str">
        <f t="shared" si="9"/>
        <v>CheckerJ33</v>
      </c>
      <c r="B249" s="128" t="s">
        <v>2380</v>
      </c>
      <c r="C249" s="128" t="s">
        <v>2688</v>
      </c>
      <c r="G249"/>
      <c r="H249" s="319"/>
      <c r="I249" s="128" t="s">
        <v>2716</v>
      </c>
      <c r="J249" s="128" t="s">
        <v>2717</v>
      </c>
      <c r="K249" s="128" t="s">
        <v>2718</v>
      </c>
      <c r="L249" s="128" t="s">
        <v>2719</v>
      </c>
      <c r="M249" s="128" t="s">
        <v>2720</v>
      </c>
    </row>
    <row r="250" spans="1:13" ht="69">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9">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9">
      <c r="A252" s="128" t="str">
        <f t="shared" si="9"/>
        <v>CheckerJ37</v>
      </c>
      <c r="B252" s="128" t="s">
        <v>2380</v>
      </c>
      <c r="C252" s="128" t="s">
        <v>2743</v>
      </c>
      <c r="G252"/>
      <c r="H252" s="319"/>
      <c r="I252" s="128" t="s">
        <v>2744</v>
      </c>
      <c r="J252" s="128" t="s">
        <v>2745</v>
      </c>
      <c r="K252" s="128" t="s">
        <v>2746</v>
      </c>
      <c r="L252" s="128" t="s">
        <v>2747</v>
      </c>
      <c r="M252" s="128" t="s">
        <v>2748</v>
      </c>
    </row>
    <row r="253" spans="1:13" ht="69">
      <c r="A253" s="128" t="str">
        <f t="shared" si="9"/>
        <v>CheckerJ38</v>
      </c>
      <c r="B253" s="128" t="s">
        <v>2380</v>
      </c>
      <c r="C253" s="128" t="s">
        <v>2721</v>
      </c>
      <c r="G253"/>
      <c r="H253" s="319"/>
      <c r="I253" s="128" t="s">
        <v>2749</v>
      </c>
      <c r="J253" s="128" t="s">
        <v>2750</v>
      </c>
      <c r="K253" s="128" t="s">
        <v>2751</v>
      </c>
      <c r="L253" s="128" t="s">
        <v>2752</v>
      </c>
      <c r="M253" s="128" t="s">
        <v>2753</v>
      </c>
    </row>
    <row r="254" spans="1:13" ht="55.2">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5.2">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5.2">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9">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9">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2.8">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5.2">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5.2"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9"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1.4"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5.2">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1.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5.2">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5.2">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5.2" hidden="1">
      <c r="A272" s="128" t="str">
        <f t="shared" si="9"/>
        <v>CheckerJ58</v>
      </c>
      <c r="B272" s="128" t="s">
        <v>2380</v>
      </c>
      <c r="C272" s="128" t="s">
        <v>2906</v>
      </c>
      <c r="G272"/>
      <c r="H272" s="319"/>
      <c r="I272" s="128" t="s">
        <v>2928</v>
      </c>
      <c r="J272" s="128" t="s">
        <v>2929</v>
      </c>
      <c r="K272" s="128" t="s">
        <v>2930</v>
      </c>
      <c r="L272" s="128" t="s">
        <v>2931</v>
      </c>
      <c r="M272" s="128" t="s">
        <v>2932</v>
      </c>
    </row>
    <row r="273" spans="1:13" ht="55.2" hidden="1">
      <c r="A273" s="128" t="str">
        <f t="shared" si="9"/>
        <v>CheckerJ59</v>
      </c>
      <c r="B273" s="128" t="s">
        <v>2380</v>
      </c>
      <c r="C273" s="128" t="s">
        <v>2917</v>
      </c>
      <c r="G273"/>
      <c r="H273" s="319"/>
      <c r="I273" s="128" t="s">
        <v>2933</v>
      </c>
      <c r="J273" s="128" t="s">
        <v>2934</v>
      </c>
      <c r="K273" s="128" t="s">
        <v>2935</v>
      </c>
      <c r="L273" s="128" t="s">
        <v>2936</v>
      </c>
      <c r="M273" s="128" t="s">
        <v>2937</v>
      </c>
    </row>
    <row r="274" spans="1:13" ht="55.2">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6">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6">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6">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6">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1.4">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5.2">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6">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2.8">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6">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6">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9">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6">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6">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2.8">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7554BF4-35D9-428F-98C9-09C22510C531}"/>
    </customSheetView>
    <customSheetView guid="{4BDF1A28-30D5-449D-B20E-D6C97EF9FAE1}" showAutoFilter="1">
      <selection activeCell="C174" sqref="C174"/>
      <pageMargins left="0" right="0" top="0" bottom="0" header="0" footer="0"/>
      <pageSetup paperSize="9" orientation="portrait"/>
      <autoFilter ref="B1:N1" xr:uid="{DC2ADFEE-E1F5-4E32-A6B5-983934B8CAA3}"/>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Edwin Laoreno</cp:lastModifiedBy>
  <cp:revision/>
  <dcterms:created xsi:type="dcterms:W3CDTF">2010-06-21T21:00:23Z</dcterms:created>
  <dcterms:modified xsi:type="dcterms:W3CDTF">2022-06-25T01:36:39Z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