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6290" windowHeight="11760"/>
  </bookViews>
  <sheets>
    <sheet name="Sheet1" sheetId="1" r:id="rId1"/>
    <sheet name="Sheet2" sheetId="2" r:id="rId2"/>
    <sheet name="Sheet3" sheetId="3" r:id="rId3"/>
  </sheets>
  <definedNames>
    <definedName name="Ae">Sheet1!$G$12</definedName>
    <definedName name="Bmax">Sheet1!$G$32</definedName>
    <definedName name="Csn">Sheet1!$G$19</definedName>
    <definedName name="Eff">Sheet1!$G$11</definedName>
    <definedName name="Freq.">Sheet1!$G$7</definedName>
    <definedName name="Iout">Sheet1!$C$6</definedName>
    <definedName name="Ipk">Sheet1!$G$16</definedName>
    <definedName name="Ivs.bnk">Sheet1!$K$5</definedName>
    <definedName name="Keai">Sheet1!$G$5</definedName>
    <definedName name="Llk">Sheet1!$G$17</definedName>
    <definedName name="Lm">Sheet1!$G$13</definedName>
    <definedName name="Max.duty">Sheet1!$G$9</definedName>
    <definedName name="Max.Lm">Sheet1!$K$8</definedName>
    <definedName name="Max.Rvs1">Sheet1!$K$16</definedName>
    <definedName name="Max.Ton">Sheet1!$G$10</definedName>
    <definedName name="Max.Vin">Sheet1!$C$27</definedName>
    <definedName name="Max.Vin.pk">Sheet1!$C$5</definedName>
    <definedName name="Min.Rvs1">Sheet1!$K$11</definedName>
    <definedName name="Min.Vin">Sheet1!$C$26</definedName>
    <definedName name="Min.Vin.pk">Sheet1!$C$4</definedName>
    <definedName name="Na">Sheet1!$G$40</definedName>
    <definedName name="Nap">Sheet1!$G$36</definedName>
    <definedName name="Nas">Sheet1!$G$35</definedName>
    <definedName name="Ncomi">Sheet1!$K$13</definedName>
    <definedName name="Np">Sheet1!$G$38</definedName>
    <definedName name="Np.min">Sheet1!$G$37</definedName>
    <definedName name="Nps">Sheet1!$G$34</definedName>
    <definedName name="Ns">Sheet1!$G$39</definedName>
    <definedName name="Pout">Sheet1!$C$31</definedName>
    <definedName name="Rsense">Sheet1!$K$4</definedName>
    <definedName name="Rsn">Sheet1!$G$18</definedName>
    <definedName name="Rvs.1">Sheet1!$K$17</definedName>
    <definedName name="Rvs.2">Sheet1!$K$18</definedName>
    <definedName name="Ton.max">Sheet1!$G$27</definedName>
    <definedName name="TonxIvs">Sheet1!$K$9</definedName>
    <definedName name="Ts">Sheet1!$G$8</definedName>
    <definedName name="Vcomi.steady">Sheet1!$K$14</definedName>
    <definedName name="VcomixIvs">Sheet1!$K$15</definedName>
    <definedName name="Vcs.pk">Sheet1!$G$29</definedName>
    <definedName name="Vcs.srsp">Sheet1!$K$10</definedName>
    <definedName name="Vf">Sheet1!$K$28</definedName>
    <definedName name="Vin.bnk">Sheet1!$K$27</definedName>
    <definedName name="Vout">Sheet1!$C$28</definedName>
    <definedName name="Vout.max">Sheet1!$C$29</definedName>
    <definedName name="Vref">Sheet1!$G$4</definedName>
    <definedName name="Vsn">Sheet1!$G$44</definedName>
    <definedName name="Vsn.r">Sheet1!$G$45</definedName>
    <definedName name="Vvs.ovp">Sheet1!$K$6</definedName>
    <definedName name="Vvs.rated">Sheet1!$G$6</definedName>
  </definedNames>
  <calcPr calcId="125725"/>
</workbook>
</file>

<file path=xl/calcChain.xml><?xml version="1.0" encoding="utf-8"?>
<calcChain xmlns="http://schemas.openxmlformats.org/spreadsheetml/2006/main">
  <c r="C29" i="1"/>
  <c r="K5" l="1"/>
  <c r="G35"/>
  <c r="G6" l="1"/>
  <c r="C4"/>
  <c r="K13"/>
  <c r="K15"/>
  <c r="K9"/>
  <c r="G7" l="1"/>
  <c r="G28" s="1"/>
  <c r="G17"/>
  <c r="G12"/>
  <c r="G11"/>
  <c r="G9"/>
  <c r="C6"/>
  <c r="C31" s="1"/>
  <c r="G8" l="1"/>
  <c r="C5"/>
  <c r="K37" s="1"/>
  <c r="G10" l="1"/>
  <c r="K14" s="1"/>
  <c r="G27" l="1"/>
  <c r="G37"/>
  <c r="G13"/>
  <c r="G16" l="1"/>
  <c r="K38" s="1"/>
  <c r="K8"/>
  <c r="G33"/>
  <c r="G14"/>
  <c r="G34" s="1"/>
  <c r="G43" l="1"/>
  <c r="G39"/>
  <c r="G40" s="1"/>
  <c r="G36"/>
  <c r="K16" s="1"/>
  <c r="K4"/>
  <c r="K26" s="1"/>
  <c r="K39"/>
  <c r="K40"/>
  <c r="G18"/>
  <c r="K11" l="1"/>
  <c r="K34"/>
  <c r="K17"/>
  <c r="G46"/>
  <c r="G19"/>
  <c r="G47" s="1"/>
  <c r="K29" l="1"/>
  <c r="K18"/>
  <c r="K30" s="1"/>
</calcChain>
</file>

<file path=xl/comments1.xml><?xml version="1.0" encoding="utf-8"?>
<comments xmlns="http://schemas.openxmlformats.org/spreadsheetml/2006/main">
  <authors>
    <author>info</author>
    <author>desktop</author>
  </authors>
  <commentList>
    <comment ref="F26" authorId="0">
      <text>
        <r>
          <rPr>
            <b/>
            <sz val="11"/>
            <color indexed="81"/>
            <rFont val="Tahoma"/>
            <family val="2"/>
          </rPr>
          <t>Input Max. Duty in 20~50%.
High Max. Duty : Low conduction loss, Suitable for low-line
Low Max. Duty : More transformer flux saturation margin, Suitable for high-line</t>
        </r>
      </text>
    </comment>
    <comment ref="J27" authorId="0">
      <text>
        <r>
          <rPr>
            <b/>
            <sz val="11"/>
            <color indexed="81"/>
            <rFont val="Tahoma"/>
            <family val="2"/>
          </rPr>
          <t>Vin.bnk is generally set as 30~70V.</t>
        </r>
      </text>
    </comment>
    <comment ref="J28" authorId="0">
      <text>
        <r>
          <rPr>
            <b/>
            <sz val="11"/>
            <color indexed="81"/>
            <rFont val="Tahoma"/>
            <family val="2"/>
          </rPr>
          <t>Vf is secondary diode forward voltage.</t>
        </r>
      </text>
    </comment>
    <comment ref="B29" authorId="0">
      <text>
        <r>
          <rPr>
            <b/>
            <sz val="11"/>
            <color indexed="81"/>
            <rFont val="Tahoma"/>
            <family val="2"/>
          </rPr>
          <t>OVP level</t>
        </r>
      </text>
    </comment>
    <comment ref="F29" authorId="0">
      <text>
        <r>
          <rPr>
            <b/>
            <sz val="11"/>
            <color indexed="81"/>
            <rFont val="Tahoma"/>
            <family val="2"/>
          </rPr>
          <t>Max. Vcs is max. peak CS voltage. 
Enter Max. Vcs less than 0.9V because pulse by pulse CS voltage limit is 0.9/1.0/1.1V.
Higher Nps makes higher max. Vcs in the primary side CC regulation.
So, when max. Vcs is highly set, Nps becomes higher.</t>
        </r>
      </text>
    </comment>
    <comment ref="J29" authorId="1">
      <text>
        <r>
          <rPr>
            <b/>
            <sz val="11"/>
            <color indexed="81"/>
            <rFont val="Tahoma"/>
            <family val="2"/>
          </rPr>
          <t>If Rvs1 is smaller than Min. Rvs1, increase Vin.bnk.
If Rvs1 is larger than Max. Rvs1, decrease Vin.bnk.</t>
        </r>
      </text>
    </comment>
    <comment ref="J31" authorId="0">
      <text>
        <r>
          <rPr>
            <b/>
            <sz val="11"/>
            <color indexed="81"/>
            <rFont val="Tahoma"/>
            <family val="2"/>
          </rPr>
          <t>Cvs is VS filter capacitor, generally set as 10 ~ 30pF.</t>
        </r>
      </text>
    </comment>
    <comment ref="J32" authorId="0">
      <text>
        <r>
          <rPr>
            <b/>
            <sz val="11"/>
            <color indexed="81"/>
            <rFont val="Tahoma"/>
            <family val="2"/>
          </rPr>
          <t>COMI capacitor is generally 0.68~3.3uF.</t>
        </r>
      </text>
    </comment>
    <comment ref="J33" authorId="0">
      <text>
        <r>
          <rPr>
            <b/>
            <sz val="11"/>
            <color indexed="81"/>
            <rFont val="Tahoma"/>
            <family val="2"/>
          </rPr>
          <t>Vdd capacitor is generally in 10~47uF.
If Vdd drops too close to Vdd_stop at startup, increase Cvdd.</t>
        </r>
      </text>
    </comment>
    <comment ref="J34" authorId="0">
      <text>
        <r>
          <rPr>
            <b/>
            <sz val="11"/>
            <color indexed="81"/>
            <rFont val="Tahoma"/>
            <family val="2"/>
          </rPr>
          <t>Maximum Dvdd reverse voltage.</t>
        </r>
      </text>
    </comment>
    <comment ref="F38" authorId="0">
      <text>
        <r>
          <rPr>
            <b/>
            <sz val="11"/>
            <color indexed="81"/>
            <rFont val="Tahoma"/>
            <family val="2"/>
          </rPr>
          <t>Enter Np over Np.min.
If Np is too big to fit in transformer window, reduce Max. Duty.</t>
        </r>
      </text>
    </comment>
    <comment ref="F41" authorId="0">
      <text>
        <r>
          <rPr>
            <b/>
            <sz val="11"/>
            <color indexed="81"/>
            <rFont val="Tahoma"/>
            <family val="2"/>
          </rPr>
          <t>Enter leakage inductance after measuring transformer designed by the above spec.</t>
        </r>
      </text>
    </comment>
    <comment ref="F44" authorId="0">
      <text>
        <r>
          <rPr>
            <b/>
            <sz val="11"/>
            <color indexed="81"/>
            <rFont val="Tahoma"/>
            <family val="2"/>
          </rPr>
          <t>Vsn is generally set as 2~2.5 times NpsxVout.</t>
        </r>
      </text>
    </comment>
    <comment ref="F45" authorId="0">
      <text>
        <r>
          <rPr>
            <b/>
            <sz val="11"/>
            <color indexed="81"/>
            <rFont val="돋움"/>
            <family val="3"/>
            <charset val="129"/>
          </rPr>
          <t>∆</t>
        </r>
        <r>
          <rPr>
            <b/>
            <sz val="11"/>
            <color indexed="81"/>
            <rFont val="Tahoma"/>
            <family val="2"/>
          </rPr>
          <t>Vsn is generally set around 5% ripple of Vsn.</t>
        </r>
      </text>
    </comment>
  </commentList>
</comments>
</file>

<file path=xl/sharedStrings.xml><?xml version="1.0" encoding="utf-8"?>
<sst xmlns="http://schemas.openxmlformats.org/spreadsheetml/2006/main" count="124" uniqueCount="106">
  <si>
    <t>Input</t>
    <phoneticPr fontId="1" type="noConversion"/>
  </si>
  <si>
    <t>Output</t>
    <phoneticPr fontId="1" type="noConversion"/>
  </si>
  <si>
    <t>Vac</t>
    <phoneticPr fontId="1" type="noConversion"/>
  </si>
  <si>
    <t>V</t>
    <phoneticPr fontId="1" type="noConversion"/>
  </si>
  <si>
    <t>mA</t>
    <phoneticPr fontId="1" type="noConversion"/>
  </si>
  <si>
    <t>W</t>
    <phoneticPr fontId="1" type="noConversion"/>
  </si>
  <si>
    <t>kohm</t>
    <phoneticPr fontId="1" type="noConversion"/>
  </si>
  <si>
    <t>uF</t>
    <phoneticPr fontId="1" type="noConversion"/>
  </si>
  <si>
    <t>nF</t>
    <phoneticPr fontId="1" type="noConversion"/>
  </si>
  <si>
    <t>ohm</t>
    <phoneticPr fontId="1" type="noConversion"/>
  </si>
  <si>
    <t>Rsense</t>
    <phoneticPr fontId="1" type="noConversion"/>
  </si>
  <si>
    <t>Vin.bnk</t>
    <phoneticPr fontId="1" type="noConversion"/>
  </si>
  <si>
    <t>Vf</t>
    <phoneticPr fontId="1" type="noConversion"/>
  </si>
  <si>
    <t>Rvs1</t>
    <phoneticPr fontId="1" type="noConversion"/>
  </si>
  <si>
    <t>Rvs2</t>
    <phoneticPr fontId="1" type="noConversion"/>
  </si>
  <si>
    <t>Cvs</t>
    <phoneticPr fontId="1" type="noConversion"/>
  </si>
  <si>
    <t>pF</t>
    <phoneticPr fontId="1" type="noConversion"/>
  </si>
  <si>
    <t>Ccomi</t>
    <phoneticPr fontId="1" type="noConversion"/>
  </si>
  <si>
    <t>Cvdd</t>
    <phoneticPr fontId="1" type="noConversion"/>
  </si>
  <si>
    <t>Dvdd Vmax</t>
    <phoneticPr fontId="1" type="noConversion"/>
  </si>
  <si>
    <t>Rstr</t>
    <phoneticPr fontId="1" type="noConversion"/>
  </si>
  <si>
    <t>Max. Duty</t>
    <phoneticPr fontId="1" type="noConversion"/>
  </si>
  <si>
    <t>%</t>
    <phoneticPr fontId="1" type="noConversion"/>
  </si>
  <si>
    <t>Max. Ton</t>
    <phoneticPr fontId="1" type="noConversion"/>
  </si>
  <si>
    <t>us</t>
    <phoneticPr fontId="1" type="noConversion"/>
  </si>
  <si>
    <t>Efficiency</t>
    <phoneticPr fontId="1" type="noConversion"/>
  </si>
  <si>
    <t>Ae</t>
    <phoneticPr fontId="1" type="noConversion"/>
  </si>
  <si>
    <r>
      <t>mm</t>
    </r>
    <r>
      <rPr>
        <b/>
        <vertAlign val="superscript"/>
        <sz val="10"/>
        <color theme="1"/>
        <rFont val="맑은 고딕"/>
        <family val="3"/>
        <charset val="129"/>
        <scheme val="minor"/>
      </rPr>
      <t>2</t>
    </r>
    <phoneticPr fontId="1" type="noConversion"/>
  </si>
  <si>
    <t>Bmax</t>
    <phoneticPr fontId="1" type="noConversion"/>
  </si>
  <si>
    <t>Lm</t>
    <phoneticPr fontId="1" type="noConversion"/>
  </si>
  <si>
    <t>mH</t>
    <phoneticPr fontId="1" type="noConversion"/>
  </si>
  <si>
    <t>Nps</t>
    <phoneticPr fontId="1" type="noConversion"/>
  </si>
  <si>
    <t>Nas</t>
    <phoneticPr fontId="1" type="noConversion"/>
  </si>
  <si>
    <t>Nap</t>
    <phoneticPr fontId="1" type="noConversion"/>
  </si>
  <si>
    <t>Np.min</t>
    <phoneticPr fontId="1" type="noConversion"/>
  </si>
  <si>
    <t>T</t>
    <phoneticPr fontId="1" type="noConversion"/>
  </si>
  <si>
    <t>Np</t>
    <phoneticPr fontId="1" type="noConversion"/>
  </si>
  <si>
    <t>Ns</t>
    <phoneticPr fontId="1" type="noConversion"/>
  </si>
  <si>
    <t>Na</t>
    <phoneticPr fontId="1" type="noConversion"/>
  </si>
  <si>
    <t>Llk</t>
    <phoneticPr fontId="1" type="noConversion"/>
  </si>
  <si>
    <t>uH</t>
    <phoneticPr fontId="1" type="noConversion"/>
  </si>
  <si>
    <t>MOSFET Vmax</t>
    <phoneticPr fontId="1" type="noConversion"/>
  </si>
  <si>
    <t>MOSFET Ipk</t>
    <phoneticPr fontId="1" type="noConversion"/>
  </si>
  <si>
    <t>A</t>
    <phoneticPr fontId="1" type="noConversion"/>
  </si>
  <si>
    <t>Diode Vmax</t>
    <phoneticPr fontId="1" type="noConversion"/>
  </si>
  <si>
    <t>Diode Ipk</t>
    <phoneticPr fontId="1" type="noConversion"/>
  </si>
  <si>
    <t>Vsn</t>
    <phoneticPr fontId="1" type="noConversion"/>
  </si>
  <si>
    <r>
      <rPr>
        <b/>
        <sz val="10"/>
        <color theme="1"/>
        <rFont val="맑은 고딕"/>
        <family val="3"/>
        <charset val="129"/>
      </rPr>
      <t>∆</t>
    </r>
    <r>
      <rPr>
        <b/>
        <sz val="10"/>
        <color theme="1"/>
        <rFont val="맑은 고딕"/>
        <family val="3"/>
        <charset val="129"/>
        <scheme val="minor"/>
      </rPr>
      <t>Vsn</t>
    </r>
    <phoneticPr fontId="1" type="noConversion"/>
  </si>
  <si>
    <t>Rsn</t>
    <phoneticPr fontId="1" type="noConversion"/>
  </si>
  <si>
    <t>Csn</t>
    <phoneticPr fontId="1" type="noConversion"/>
  </si>
  <si>
    <t>Min. Vin</t>
    <phoneticPr fontId="1" type="noConversion"/>
  </si>
  <si>
    <t>Max. Vin</t>
    <phoneticPr fontId="1" type="noConversion"/>
  </si>
  <si>
    <t>Vout</t>
    <phoneticPr fontId="1" type="noConversion"/>
  </si>
  <si>
    <t>Max. Vout</t>
    <phoneticPr fontId="1" type="noConversion"/>
  </si>
  <si>
    <t>Iout</t>
    <phoneticPr fontId="1" type="noConversion"/>
  </si>
  <si>
    <t>Pout</t>
    <phoneticPr fontId="1" type="noConversion"/>
  </si>
  <si>
    <t>kHz</t>
    <phoneticPr fontId="1" type="noConversion"/>
  </si>
  <si>
    <t>Max. Vcs</t>
    <phoneticPr fontId="1" type="noConversion"/>
  </si>
  <si>
    <t>V</t>
    <phoneticPr fontId="1" type="noConversion"/>
  </si>
  <si>
    <t>V</t>
    <phoneticPr fontId="1" type="noConversion"/>
  </si>
  <si>
    <t>Switchin freq.</t>
    <phoneticPr fontId="1" type="noConversion"/>
  </si>
  <si>
    <t>Input &amp; Output Spec</t>
    <phoneticPr fontId="1" type="noConversion"/>
  </si>
  <si>
    <t xml:space="preserve"> Transformer Design</t>
    <phoneticPr fontId="1" type="noConversion"/>
  </si>
  <si>
    <t>Control Circuit Design</t>
    <phoneticPr fontId="1" type="noConversion"/>
  </si>
  <si>
    <t>Snubber Design</t>
    <phoneticPr fontId="1" type="noConversion"/>
  </si>
  <si>
    <t>Power Device Design</t>
    <phoneticPr fontId="1" type="noConversion"/>
  </si>
  <si>
    <t>Nps x Vout</t>
    <phoneticPr fontId="1" type="noConversion"/>
  </si>
  <si>
    <t>Input &amp; Output Spec</t>
    <phoneticPr fontId="1" type="noConversion"/>
  </si>
  <si>
    <t>Transformer Design</t>
    <phoneticPr fontId="1" type="noConversion"/>
  </si>
  <si>
    <t>Control Circuit Design</t>
    <phoneticPr fontId="1" type="noConversion"/>
  </si>
  <si>
    <t>Min. Vin.peak</t>
    <phoneticPr fontId="1" type="noConversion"/>
  </si>
  <si>
    <t>Vref</t>
    <phoneticPr fontId="1" type="noConversion"/>
  </si>
  <si>
    <t>Rsense</t>
    <phoneticPr fontId="1" type="noConversion"/>
  </si>
  <si>
    <t>Max. Vin.peak</t>
    <phoneticPr fontId="1" type="noConversion"/>
  </si>
  <si>
    <t>Keai</t>
    <phoneticPr fontId="1" type="noConversion"/>
  </si>
  <si>
    <t>Ivs.bnk</t>
    <phoneticPr fontId="1" type="noConversion"/>
  </si>
  <si>
    <t>Iout</t>
    <phoneticPr fontId="1" type="noConversion"/>
  </si>
  <si>
    <t>Vvs.rated</t>
    <phoneticPr fontId="1" type="noConversion"/>
  </si>
  <si>
    <t>Vvs.ovp</t>
    <phoneticPr fontId="1" type="noConversion"/>
  </si>
  <si>
    <t>Switching freq.</t>
    <phoneticPr fontId="1" type="noConversion"/>
  </si>
  <si>
    <t>Min.Rvs1 Calculation for SRSP</t>
    <phoneticPr fontId="1" type="noConversion"/>
  </si>
  <si>
    <t>Switching period</t>
    <phoneticPr fontId="1" type="noConversion"/>
  </si>
  <si>
    <t>Max.Lm</t>
    <phoneticPr fontId="1" type="noConversion"/>
  </si>
  <si>
    <t>Max. Duty</t>
    <phoneticPr fontId="1" type="noConversion"/>
  </si>
  <si>
    <t>TonxIvs</t>
    <phoneticPr fontId="1" type="noConversion"/>
  </si>
  <si>
    <t>Max. Ton</t>
    <phoneticPr fontId="1" type="noConversion"/>
  </si>
  <si>
    <t>Vcs.srs</t>
    <phoneticPr fontId="1" type="noConversion"/>
  </si>
  <si>
    <t>Efficiency</t>
    <phoneticPr fontId="1" type="noConversion"/>
  </si>
  <si>
    <t>Min.Rvs1</t>
    <phoneticPr fontId="1" type="noConversion"/>
  </si>
  <si>
    <t>Ae</t>
    <phoneticPr fontId="1" type="noConversion"/>
  </si>
  <si>
    <t>Max.Rvs1 Calculation for Overshoot</t>
    <phoneticPr fontId="1" type="noConversion"/>
  </si>
  <si>
    <t>Lm</t>
    <phoneticPr fontId="1" type="noConversion"/>
  </si>
  <si>
    <t>Ncomi</t>
    <phoneticPr fontId="1" type="noConversion"/>
  </si>
  <si>
    <t>Nps</t>
    <phoneticPr fontId="1" type="noConversion"/>
  </si>
  <si>
    <t>Vcomi.steady</t>
    <phoneticPr fontId="1" type="noConversion"/>
  </si>
  <si>
    <t>Snubber Design</t>
    <phoneticPr fontId="1" type="noConversion"/>
  </si>
  <si>
    <t>VcomixIvs</t>
    <phoneticPr fontId="1" type="noConversion"/>
  </si>
  <si>
    <t>Ipk</t>
    <phoneticPr fontId="1" type="noConversion"/>
  </si>
  <si>
    <t>Max.Rvs1</t>
    <phoneticPr fontId="1" type="noConversion"/>
  </si>
  <si>
    <t>Llk</t>
    <phoneticPr fontId="1" type="noConversion"/>
  </si>
  <si>
    <t>Rvs1</t>
    <phoneticPr fontId="1" type="noConversion"/>
  </si>
  <si>
    <t>Rsn</t>
    <phoneticPr fontId="1" type="noConversion"/>
  </si>
  <si>
    <t>Rvs2</t>
    <phoneticPr fontId="1" type="noConversion"/>
  </si>
  <si>
    <t>Csn</t>
    <phoneticPr fontId="1" type="noConversion"/>
  </si>
  <si>
    <t>FL7733A : Primary-Side-Regulated LED Driver with Power Factor Correction</t>
    <phoneticPr fontId="1" type="noConversion"/>
  </si>
  <si>
    <t>Fairchild : 2014. 11. 05 ( Ver 1.0 )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</si>
</sst>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00_ "/>
    <numFmt numFmtId="177" formatCode="0_ "/>
    <numFmt numFmtId="178" formatCode="0.0_ "/>
  </numFmts>
  <fonts count="3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1"/>
      <color indexed="81"/>
      <name val="Tahoma"/>
      <family val="2"/>
    </font>
    <font>
      <b/>
      <sz val="11"/>
      <color indexed="81"/>
      <name val="돋움"/>
      <family val="3"/>
      <charset val="129"/>
    </font>
    <font>
      <sz val="11"/>
      <color rgb="FF0000FF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i/>
      <sz val="8"/>
      <color theme="1"/>
      <name val="맑은 고딕"/>
      <family val="3"/>
      <charset val="129"/>
      <scheme val="minor"/>
    </font>
    <font>
      <i/>
      <sz val="8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vertAlign val="superscript"/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</font>
    <font>
      <b/>
      <sz val="10"/>
      <color rgb="FF0000FF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1"/>
      <color rgb="FF0000FF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b/>
      <sz val="11"/>
      <color rgb="FFFFC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b/>
      <sz val="8"/>
      <color theme="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8"/>
      <color theme="0"/>
      <name val="맑은 고딕"/>
      <family val="2"/>
      <charset val="129"/>
      <scheme val="minor"/>
    </font>
    <font>
      <sz val="10"/>
      <color theme="0"/>
      <name val="맑은 고딕"/>
      <family val="2"/>
      <charset val="129"/>
      <scheme val="minor"/>
    </font>
    <font>
      <sz val="8"/>
      <color theme="0"/>
      <name val="맑은 고딕"/>
      <family val="2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1" xfId="0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3" fillId="4" borderId="1" xfId="0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7" fillId="0" borderId="1" xfId="0" applyFont="1" applyFill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0" fontId="12" fillId="5" borderId="1" xfId="0" applyFont="1" applyFill="1" applyBorder="1" applyAlignment="1" applyProtection="1">
      <alignment horizontal="center" vertical="center"/>
      <protection hidden="1"/>
    </xf>
    <xf numFmtId="0" fontId="11" fillId="5" borderId="1" xfId="0" applyFont="1" applyFill="1" applyBorder="1" applyAlignment="1" applyProtection="1">
      <alignment horizontal="center" vertical="center"/>
      <protection hidden="1"/>
    </xf>
    <xf numFmtId="0" fontId="12" fillId="6" borderId="1" xfId="0" applyFont="1" applyFill="1" applyBorder="1" applyAlignment="1" applyProtection="1">
      <alignment horizontal="center" vertical="center"/>
      <protection hidden="1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176" fontId="16" fillId="3" borderId="1" xfId="0" applyNumberFormat="1" applyFont="1" applyFill="1" applyBorder="1" applyAlignment="1" applyProtection="1">
      <alignment horizontal="center" vertical="center"/>
      <protection hidden="1"/>
    </xf>
    <xf numFmtId="0" fontId="17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19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center" wrapText="1"/>
      <protection hidden="1"/>
    </xf>
    <xf numFmtId="0" fontId="20" fillId="0" borderId="1" xfId="0" applyFont="1" applyBorder="1" applyAlignment="1" applyProtection="1">
      <alignment horizontal="center" vertical="center"/>
      <protection hidden="1"/>
    </xf>
    <xf numFmtId="0" fontId="21" fillId="0" borderId="1" xfId="0" applyFont="1" applyBorder="1" applyAlignment="1" applyProtection="1">
      <alignment horizontal="center" vertical="center"/>
      <protection hidden="1"/>
    </xf>
    <xf numFmtId="0" fontId="19" fillId="4" borderId="1" xfId="0" applyFont="1" applyFill="1" applyBorder="1" applyAlignment="1" applyProtection="1">
      <alignment horizontal="center" vertical="center"/>
      <protection hidden="1"/>
    </xf>
    <xf numFmtId="0" fontId="18" fillId="4" borderId="1" xfId="0" applyFont="1" applyFill="1" applyBorder="1" applyAlignment="1" applyProtection="1">
      <alignment horizontal="center" vertical="center"/>
      <protection hidden="1"/>
    </xf>
    <xf numFmtId="0" fontId="20" fillId="4" borderId="1" xfId="0" applyFont="1" applyFill="1" applyBorder="1" applyAlignment="1" applyProtection="1">
      <alignment horizontal="center" vertical="center"/>
      <protection hidden="1"/>
    </xf>
    <xf numFmtId="0" fontId="20" fillId="0" borderId="1" xfId="0" applyFont="1" applyFill="1" applyBorder="1" applyAlignment="1" applyProtection="1">
      <alignment horizontal="center" vertical="center"/>
      <protection hidden="1"/>
    </xf>
    <xf numFmtId="0" fontId="23" fillId="0" borderId="1" xfId="0" applyFont="1" applyBorder="1" applyAlignment="1" applyProtection="1">
      <alignment horizontal="center" vertical="center"/>
      <protection hidden="1"/>
    </xf>
    <xf numFmtId="0" fontId="22" fillId="0" borderId="1" xfId="0" applyFont="1" applyBorder="1" applyAlignment="1" applyProtection="1">
      <alignment horizontal="center" vertical="center"/>
      <protection hidden="1"/>
    </xf>
    <xf numFmtId="0" fontId="24" fillId="4" borderId="1" xfId="0" applyFont="1" applyFill="1" applyBorder="1" applyAlignment="1" applyProtection="1">
      <alignment horizontal="left" vertical="center"/>
      <protection hidden="1"/>
    </xf>
    <xf numFmtId="177" fontId="16" fillId="3" borderId="1" xfId="0" applyNumberFormat="1" applyFont="1" applyFill="1" applyBorder="1" applyAlignment="1" applyProtection="1">
      <alignment horizontal="center" vertical="center"/>
      <protection hidden="1"/>
    </xf>
    <xf numFmtId="178" fontId="16" fillId="3" borderId="1" xfId="0" applyNumberFormat="1" applyFont="1" applyFill="1" applyBorder="1" applyAlignment="1" applyProtection="1">
      <alignment horizontal="center" vertical="center"/>
      <protection hidden="1"/>
    </xf>
    <xf numFmtId="0" fontId="12" fillId="8" borderId="1" xfId="0" applyFont="1" applyFill="1" applyBorder="1" applyAlignment="1" applyProtection="1">
      <alignment horizontal="center" vertical="center"/>
      <protection hidden="1"/>
    </xf>
    <xf numFmtId="0" fontId="31" fillId="0" borderId="1" xfId="0" applyFont="1" applyBorder="1" applyAlignment="1" applyProtection="1">
      <alignment horizontal="center" vertical="center"/>
      <protection hidden="1"/>
    </xf>
    <xf numFmtId="0" fontId="32" fillId="4" borderId="1" xfId="0" applyFont="1" applyFill="1" applyBorder="1" applyAlignment="1" applyProtection="1">
      <alignment horizontal="center" vertical="center"/>
      <protection hidden="1"/>
    </xf>
    <xf numFmtId="0" fontId="32" fillId="0" borderId="1" xfId="0" applyFont="1" applyBorder="1" applyAlignment="1" applyProtection="1">
      <alignment horizontal="center" vertical="center"/>
      <protection hidden="1"/>
    </xf>
    <xf numFmtId="0" fontId="34" fillId="0" borderId="1" xfId="0" applyFont="1" applyBorder="1" applyAlignment="1" applyProtection="1">
      <alignment horizontal="center" vertical="center"/>
      <protection hidden="1"/>
    </xf>
    <xf numFmtId="0" fontId="26" fillId="0" borderId="1" xfId="0" applyFont="1" applyBorder="1" applyAlignment="1" applyProtection="1">
      <alignment horizontal="center" vertical="center"/>
      <protection hidden="1"/>
    </xf>
    <xf numFmtId="0" fontId="27" fillId="0" borderId="1" xfId="0" applyFont="1" applyBorder="1" applyAlignment="1" applyProtection="1">
      <alignment horizontal="center" vertical="center"/>
      <protection hidden="1"/>
    </xf>
    <xf numFmtId="0" fontId="31" fillId="4" borderId="1" xfId="0" applyFont="1" applyFill="1" applyBorder="1" applyAlignment="1" applyProtection="1">
      <alignment horizontal="center" vertical="center"/>
      <protection hidden="1"/>
    </xf>
    <xf numFmtId="0" fontId="36" fillId="4" borderId="1" xfId="0" applyFont="1" applyFill="1" applyBorder="1" applyAlignment="1" applyProtection="1">
      <alignment horizontal="center" vertical="center"/>
      <protection hidden="1"/>
    </xf>
    <xf numFmtId="0" fontId="28" fillId="4" borderId="1" xfId="0" applyFont="1" applyFill="1" applyBorder="1" applyAlignment="1" applyProtection="1">
      <alignment horizontal="center" vertical="center"/>
      <protection hidden="1"/>
    </xf>
    <xf numFmtId="0" fontId="37" fillId="4" borderId="1" xfId="0" applyFont="1" applyFill="1" applyBorder="1" applyAlignment="1" applyProtection="1">
      <alignment horizontal="center" vertical="center"/>
      <protection hidden="1"/>
    </xf>
    <xf numFmtId="0" fontId="30" fillId="4" borderId="1" xfId="0" applyFont="1" applyFill="1" applyBorder="1" applyAlignment="1" applyProtection="1">
      <alignment horizontal="center" vertical="center"/>
      <protection hidden="1"/>
    </xf>
    <xf numFmtId="0" fontId="29" fillId="4" borderId="1" xfId="0" applyFont="1" applyFill="1" applyBorder="1" applyAlignment="1" applyProtection="1">
      <alignment horizontal="center" vertical="center"/>
      <protection hidden="1"/>
    </xf>
    <xf numFmtId="0" fontId="33" fillId="4" borderId="1" xfId="0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7" fillId="0" borderId="14" xfId="0" applyFont="1" applyBorder="1" applyAlignment="1" applyProtection="1">
      <alignment horizontal="center" vertical="center"/>
      <protection hidden="1"/>
    </xf>
    <xf numFmtId="0" fontId="2" fillId="0" borderId="14" xfId="0" applyFont="1" applyBorder="1" applyAlignment="1" applyProtection="1">
      <alignment horizontal="center" vertical="center"/>
      <protection hidden="1"/>
    </xf>
    <xf numFmtId="0" fontId="3" fillId="4" borderId="0" xfId="0" applyFont="1" applyFill="1" applyBorder="1" applyAlignment="1" applyProtection="1">
      <alignment horizontal="center" vertical="center"/>
      <protection hidden="1"/>
    </xf>
    <xf numFmtId="0" fontId="31" fillId="4" borderId="0" xfId="0" applyFont="1" applyFill="1" applyBorder="1" applyAlignment="1" applyProtection="1">
      <alignment horizontal="center" vertical="center"/>
      <protection hidden="1"/>
    </xf>
    <xf numFmtId="0" fontId="0" fillId="4" borderId="0" xfId="0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center" vertical="center"/>
      <protection hidden="1"/>
    </xf>
    <xf numFmtId="0" fontId="2" fillId="4" borderId="0" xfId="0" applyFont="1" applyFill="1" applyBorder="1" applyAlignment="1" applyProtection="1">
      <alignment horizontal="center" vertical="center"/>
      <protection hidden="1"/>
    </xf>
    <xf numFmtId="0" fontId="31" fillId="4" borderId="0" xfId="0" applyFont="1" applyFill="1" applyBorder="1" applyAlignment="1" applyProtection="1">
      <alignment horizontal="center" vertical="center"/>
      <protection hidden="1"/>
    </xf>
    <xf numFmtId="0" fontId="33" fillId="4" borderId="0" xfId="0" applyFont="1" applyFill="1" applyBorder="1" applyAlignment="1" applyProtection="1">
      <alignment horizontal="center" vertical="center"/>
      <protection hidden="1"/>
    </xf>
    <xf numFmtId="0" fontId="25" fillId="7" borderId="2" xfId="0" applyFont="1" applyFill="1" applyBorder="1" applyAlignment="1" applyProtection="1">
      <alignment horizontal="center" vertical="center"/>
      <protection hidden="1"/>
    </xf>
    <xf numFmtId="0" fontId="25" fillId="7" borderId="5" xfId="0" applyFont="1" applyFill="1" applyBorder="1" applyAlignment="1" applyProtection="1">
      <alignment horizontal="center" vertical="center"/>
      <protection hidden="1"/>
    </xf>
    <xf numFmtId="0" fontId="25" fillId="7" borderId="3" xfId="0" applyFont="1" applyFill="1" applyBorder="1" applyAlignment="1" applyProtection="1">
      <alignment horizontal="center" vertical="center"/>
      <protection hidden="1"/>
    </xf>
    <xf numFmtId="0" fontId="29" fillId="4" borderId="2" xfId="0" applyFont="1" applyFill="1" applyBorder="1" applyAlignment="1" applyProtection="1">
      <alignment horizontal="center" vertical="center"/>
      <protection hidden="1"/>
    </xf>
    <xf numFmtId="0" fontId="29" fillId="4" borderId="3" xfId="0" applyFont="1" applyFill="1" applyBorder="1" applyAlignment="1">
      <alignment horizontal="center" vertical="center"/>
    </xf>
    <xf numFmtId="0" fontId="9" fillId="0" borderId="2" xfId="0" applyFont="1" applyBorder="1" applyAlignment="1" applyProtection="1">
      <alignment horizontal="left" vertical="center"/>
      <protection hidden="1"/>
    </xf>
    <xf numFmtId="0" fontId="10" fillId="0" borderId="5" xfId="0" applyFont="1" applyBorder="1" applyAlignment="1" applyProtection="1">
      <alignment horizontal="left" vertical="center"/>
      <protection hidden="1"/>
    </xf>
    <xf numFmtId="0" fontId="10" fillId="0" borderId="3" xfId="0" applyFont="1" applyBorder="1" applyAlignment="1" applyProtection="1">
      <alignment horizontal="left" vertical="center"/>
      <protection hidden="1"/>
    </xf>
    <xf numFmtId="0" fontId="8" fillId="0" borderId="10" xfId="0" applyFont="1" applyBorder="1" applyAlignment="1" applyProtection="1">
      <alignment horizontal="left" vertical="center" wrapText="1"/>
      <protection hidden="1"/>
    </xf>
    <xf numFmtId="0" fontId="0" fillId="0" borderId="11" xfId="0" applyBorder="1" applyAlignment="1" applyProtection="1">
      <alignment vertical="center" wrapText="1"/>
      <protection hidden="1"/>
    </xf>
    <xf numFmtId="0" fontId="0" fillId="0" borderId="12" xfId="0" applyBorder="1" applyAlignment="1" applyProtection="1">
      <alignment vertical="center" wrapText="1"/>
      <protection hidden="1"/>
    </xf>
    <xf numFmtId="0" fontId="0" fillId="0" borderId="8" xfId="0" applyBorder="1" applyAlignment="1" applyProtection="1">
      <alignment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9" xfId="0" applyBorder="1" applyAlignment="1" applyProtection="1">
      <alignment vertical="center" wrapText="1"/>
      <protection hidden="1"/>
    </xf>
    <xf numFmtId="0" fontId="0" fillId="0" borderId="13" xfId="0" applyBorder="1" applyAlignment="1" applyProtection="1">
      <alignment vertical="center" wrapText="1"/>
      <protection hidden="1"/>
    </xf>
    <xf numFmtId="0" fontId="0" fillId="0" borderId="7" xfId="0" applyBorder="1" applyAlignment="1" applyProtection="1">
      <alignment vertical="center" wrapText="1"/>
      <protection hidden="1"/>
    </xf>
    <xf numFmtId="0" fontId="0" fillId="0" borderId="6" xfId="0" applyBorder="1" applyAlignment="1" applyProtection="1">
      <alignment vertical="center" wrapText="1"/>
      <protection hidden="1"/>
    </xf>
    <xf numFmtId="0" fontId="35" fillId="4" borderId="2" xfId="0" applyFont="1" applyFill="1" applyBorder="1" applyAlignment="1" applyProtection="1">
      <alignment horizontal="center" vertical="center"/>
      <protection hidden="1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0000FF"/>
      <color rgb="FFFF3300"/>
      <color rgb="FF00CCFF"/>
      <color rgb="FFFF7C80"/>
      <color rgb="FF008000"/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2"/>
  <sheetViews>
    <sheetView tabSelected="1" zoomScale="85" zoomScaleNormal="85" workbookViewId="0">
      <selection activeCell="K27" sqref="K27"/>
    </sheetView>
  </sheetViews>
  <sheetFormatPr defaultRowHeight="16.5"/>
  <cols>
    <col min="1" max="1" width="6.375" style="1" customWidth="1"/>
    <col min="2" max="2" width="15.5" style="1" bestFit="1" customWidth="1"/>
    <col min="3" max="3" width="11.125" style="2" customWidth="1"/>
    <col min="4" max="4" width="8.25" style="3" customWidth="1"/>
    <col min="5" max="5" width="7.125" style="17" customWidth="1"/>
    <col min="6" max="6" width="14.625" style="1" customWidth="1"/>
    <col min="7" max="7" width="10.25" style="2" customWidth="1"/>
    <col min="8" max="8" width="9.5" style="3" customWidth="1"/>
    <col min="9" max="9" width="7.875" style="16" customWidth="1"/>
    <col min="10" max="10" width="14.5" style="1" customWidth="1"/>
    <col min="11" max="11" width="9.25" style="1" customWidth="1"/>
    <col min="12" max="12" width="10.125" style="1" bestFit="1" customWidth="1"/>
    <col min="13" max="13" width="11.25" style="21" customWidth="1"/>
    <col min="14" max="14" width="11.125" style="1" customWidth="1"/>
    <col min="15" max="15" width="9.125" style="1" customWidth="1"/>
    <col min="16" max="16" width="9.75" style="1" customWidth="1"/>
    <col min="17" max="17" width="9" style="2"/>
    <col min="18" max="18" width="9" style="1"/>
    <col min="19" max="19" width="8.875" style="1" customWidth="1"/>
    <col min="20" max="20" width="9.875" style="1" customWidth="1"/>
    <col min="21" max="16384" width="9" style="1"/>
  </cols>
  <sheetData>
    <row r="1" spans="1:18">
      <c r="A1" s="5"/>
      <c r="B1" s="5"/>
      <c r="C1" s="40"/>
      <c r="D1" s="41"/>
      <c r="E1" s="5"/>
      <c r="F1" s="5"/>
      <c r="G1" s="40"/>
      <c r="H1" s="41"/>
      <c r="I1" s="5"/>
      <c r="J1" s="5"/>
      <c r="K1" s="5"/>
      <c r="L1" s="5"/>
    </row>
    <row r="2" spans="1:18">
      <c r="A2" s="5"/>
      <c r="B2" s="5"/>
      <c r="C2" s="40"/>
      <c r="D2" s="41"/>
      <c r="E2" s="5"/>
      <c r="F2" s="5"/>
      <c r="G2" s="40"/>
      <c r="H2" s="41"/>
      <c r="I2" s="5"/>
      <c r="J2" s="5"/>
      <c r="K2" s="5"/>
      <c r="L2" s="5"/>
    </row>
    <row r="3" spans="1:18">
      <c r="A3" s="42"/>
      <c r="B3" s="75" t="s">
        <v>67</v>
      </c>
      <c r="C3" s="62"/>
      <c r="D3" s="43"/>
      <c r="E3" s="39"/>
      <c r="F3" s="61" t="s">
        <v>68</v>
      </c>
      <c r="G3" s="62"/>
      <c r="H3" s="43"/>
      <c r="I3" s="39"/>
      <c r="J3" s="61" t="s">
        <v>69</v>
      </c>
      <c r="K3" s="62"/>
      <c r="L3" s="34"/>
      <c r="M3" s="35"/>
      <c r="N3"/>
    </row>
    <row r="4" spans="1:18">
      <c r="A4" s="34"/>
      <c r="B4" s="34" t="s">
        <v>70</v>
      </c>
      <c r="C4" s="34">
        <f>C26*2^0.5</f>
        <v>280.01428534987286</v>
      </c>
      <c r="D4" s="43"/>
      <c r="E4" s="39"/>
      <c r="F4" s="34" t="s">
        <v>71</v>
      </c>
      <c r="G4" s="34">
        <v>1.5</v>
      </c>
      <c r="H4" s="44"/>
      <c r="I4" s="34"/>
      <c r="J4" s="34" t="s">
        <v>72</v>
      </c>
      <c r="K4" s="34">
        <f>Nps*Vref/( 2*Iout*Keai )</f>
        <v>0.42643842206407706</v>
      </c>
      <c r="L4" s="34"/>
      <c r="M4" s="35"/>
      <c r="N4" s="33"/>
    </row>
    <row r="5" spans="1:18">
      <c r="A5" s="34"/>
      <c r="B5" s="34" t="s">
        <v>73</v>
      </c>
      <c r="C5" s="34">
        <f>C27*2^0.5</f>
        <v>391.73715677734737</v>
      </c>
      <c r="D5" s="44"/>
      <c r="E5" s="34"/>
      <c r="F5" s="34" t="s">
        <v>74</v>
      </c>
      <c r="G5" s="34">
        <v>6</v>
      </c>
      <c r="H5" s="44"/>
      <c r="I5" s="34"/>
      <c r="J5" s="34" t="s">
        <v>75</v>
      </c>
      <c r="K5" s="34">
        <f>90*10^-6</f>
        <v>8.9999999999999992E-5</v>
      </c>
      <c r="L5" s="34"/>
      <c r="M5" s="35"/>
      <c r="N5" s="33"/>
    </row>
    <row r="6" spans="1:18">
      <c r="A6" s="34"/>
      <c r="B6" s="34" t="s">
        <v>76</v>
      </c>
      <c r="C6" s="34">
        <f>C30*0.001</f>
        <v>0.3</v>
      </c>
      <c r="D6" s="44"/>
      <c r="E6" s="34"/>
      <c r="F6" s="34" t="s">
        <v>77</v>
      </c>
      <c r="G6" s="34">
        <f>3*Vout/Vout.max</f>
        <v>2.5</v>
      </c>
      <c r="H6" s="44"/>
      <c r="I6" s="34"/>
      <c r="J6" s="34" t="s">
        <v>78</v>
      </c>
      <c r="K6" s="34">
        <v>2.95</v>
      </c>
      <c r="L6" s="34"/>
      <c r="M6" s="35"/>
      <c r="N6" s="33"/>
    </row>
    <row r="7" spans="1:18">
      <c r="A7" s="34"/>
      <c r="B7" s="39"/>
      <c r="C7" s="45"/>
      <c r="D7" s="44"/>
      <c r="E7" s="34"/>
      <c r="F7" s="34" t="s">
        <v>79</v>
      </c>
      <c r="G7" s="34">
        <f>IF(Vvs.rated&gt;2.35, 65000, 65000-27700*(2.35-Vvs.rated))</f>
        <v>65000</v>
      </c>
      <c r="H7" s="44"/>
      <c r="I7" s="34"/>
      <c r="J7" s="61" t="s">
        <v>80</v>
      </c>
      <c r="K7" s="62"/>
      <c r="L7" s="34"/>
      <c r="M7" s="35"/>
      <c r="N7" s="33"/>
    </row>
    <row r="8" spans="1:18">
      <c r="A8" s="34"/>
      <c r="B8" s="39"/>
      <c r="C8" s="45"/>
      <c r="D8" s="44"/>
      <c r="E8" s="34"/>
      <c r="F8" s="34" t="s">
        <v>81</v>
      </c>
      <c r="G8" s="34">
        <f>1/Freq.</f>
        <v>1.5384615384615384E-5</v>
      </c>
      <c r="H8" s="44"/>
      <c r="I8" s="34"/>
      <c r="J8" s="34" t="s">
        <v>82</v>
      </c>
      <c r="K8" s="34">
        <f>Lm*1.2</f>
        <v>7.7804861538461538E-4</v>
      </c>
      <c r="L8" s="34"/>
      <c r="M8" s="35"/>
      <c r="N8" s="33"/>
    </row>
    <row r="9" spans="1:18">
      <c r="A9" s="34"/>
      <c r="B9" s="39"/>
      <c r="C9" s="45"/>
      <c r="D9" s="44"/>
      <c r="E9" s="34"/>
      <c r="F9" s="34" t="s">
        <v>83</v>
      </c>
      <c r="G9" s="34">
        <f>G26*0.01</f>
        <v>0.3</v>
      </c>
      <c r="H9" s="44"/>
      <c r="I9" s="34"/>
      <c r="J9" s="34" t="s">
        <v>84</v>
      </c>
      <c r="K9" s="34">
        <f>0.715*10^-9</f>
        <v>7.1500000000000001E-10</v>
      </c>
      <c r="L9" s="34"/>
      <c r="M9" s="35"/>
      <c r="N9" s="33"/>
      <c r="Q9" s="20"/>
      <c r="R9" s="20"/>
    </row>
    <row r="10" spans="1:18">
      <c r="A10" s="34"/>
      <c r="B10" s="39"/>
      <c r="C10" s="45"/>
      <c r="D10" s="44"/>
      <c r="E10" s="34"/>
      <c r="F10" s="34" t="s">
        <v>85</v>
      </c>
      <c r="G10" s="34">
        <f>Ts*Max.duty</f>
        <v>4.6153846153846153E-6</v>
      </c>
      <c r="H10" s="44"/>
      <c r="I10" s="34"/>
      <c r="J10" s="34" t="s">
        <v>86</v>
      </c>
      <c r="K10" s="34">
        <v>0.15</v>
      </c>
      <c r="L10" s="34"/>
      <c r="M10" s="35"/>
      <c r="N10" s="33"/>
      <c r="P10" s="20"/>
      <c r="Q10" s="20"/>
      <c r="R10" s="20"/>
    </row>
    <row r="11" spans="1:18">
      <c r="A11" s="34"/>
      <c r="B11" s="39"/>
      <c r="C11" s="34"/>
      <c r="D11" s="44"/>
      <c r="E11" s="34"/>
      <c r="F11" s="34" t="s">
        <v>87</v>
      </c>
      <c r="G11" s="34">
        <f>G30*0.01</f>
        <v>0.86</v>
      </c>
      <c r="H11" s="44"/>
      <c r="I11" s="34"/>
      <c r="J11" s="34" t="s">
        <v>88</v>
      </c>
      <c r="K11" s="34">
        <f>Vcs.srsp*Max.Lm*Nap/(Rsense*TonxIvs)*1.2</f>
        <v>71682.747741701271</v>
      </c>
      <c r="L11" s="34"/>
      <c r="M11" s="35"/>
      <c r="N11" s="33"/>
      <c r="P11" s="20"/>
      <c r="Q11" s="20"/>
      <c r="R11" s="20"/>
    </row>
    <row r="12" spans="1:18">
      <c r="A12" s="34"/>
      <c r="B12" s="34"/>
      <c r="C12" s="34"/>
      <c r="D12" s="44"/>
      <c r="E12" s="34"/>
      <c r="F12" s="34" t="s">
        <v>89</v>
      </c>
      <c r="G12" s="34">
        <f>G31*10^-6</f>
        <v>9.7999999999999997E-5</v>
      </c>
      <c r="H12" s="44"/>
      <c r="I12" s="34"/>
      <c r="J12" s="61" t="s">
        <v>90</v>
      </c>
      <c r="K12" s="62"/>
      <c r="L12" s="34"/>
      <c r="M12" s="35"/>
      <c r="N12" s="33"/>
      <c r="P12" s="20"/>
      <c r="Q12" s="20"/>
      <c r="R12" s="20"/>
    </row>
    <row r="13" spans="1:18">
      <c r="A13" s="34"/>
      <c r="B13" s="34"/>
      <c r="C13" s="34"/>
      <c r="D13" s="44"/>
      <c r="E13" s="34"/>
      <c r="F13" s="34" t="s">
        <v>91</v>
      </c>
      <c r="G13" s="34">
        <f>Eff*Min.Vin^2*Freq.*Max.Ton^2/2/Pout</f>
        <v>6.4837384615384615E-4</v>
      </c>
      <c r="H13" s="44"/>
      <c r="I13" s="34"/>
      <c r="J13" s="34" t="s">
        <v>92</v>
      </c>
      <c r="K13" s="34">
        <f>2.89/0.722/13/10^-6</f>
        <v>307905.39100788411</v>
      </c>
      <c r="L13" s="34"/>
      <c r="M13" s="35"/>
      <c r="N13" s="33"/>
    </row>
    <row r="14" spans="1:18">
      <c r="A14" s="34"/>
      <c r="B14" s="39"/>
      <c r="C14" s="34"/>
      <c r="D14" s="44"/>
      <c r="E14" s="34"/>
      <c r="F14" s="34" t="s">
        <v>93</v>
      </c>
      <c r="G14" s="34">
        <f>Vcs.pk*Lm*2*Iout*Keai/(Min.Vin.pk*Max.Ton*Vref)</f>
        <v>1.0234522129537849</v>
      </c>
      <c r="H14" s="44"/>
      <c r="I14" s="34"/>
      <c r="J14" s="34" t="s">
        <v>94</v>
      </c>
      <c r="K14" s="34">
        <f>Max.Ton*Ncomi+0.7</f>
        <v>2.1211018046517727</v>
      </c>
      <c r="L14" s="34"/>
      <c r="M14" s="35"/>
      <c r="N14" s="33"/>
    </row>
    <row r="15" spans="1:18">
      <c r="A15" s="34"/>
      <c r="B15" s="34"/>
      <c r="C15" s="34"/>
      <c r="D15" s="44"/>
      <c r="E15" s="34"/>
      <c r="F15" s="61" t="s">
        <v>95</v>
      </c>
      <c r="G15" s="62"/>
      <c r="H15" s="44"/>
      <c r="I15" s="34"/>
      <c r="J15" s="34" t="s">
        <v>96</v>
      </c>
      <c r="K15" s="34">
        <f>616*10^-6</f>
        <v>6.1600000000000001E-4</v>
      </c>
      <c r="L15" s="34"/>
      <c r="M15" s="35"/>
      <c r="N15" s="33"/>
    </row>
    <row r="16" spans="1:18">
      <c r="A16" s="34"/>
      <c r="B16" s="34"/>
      <c r="C16" s="34"/>
      <c r="D16" s="44"/>
      <c r="E16" s="34"/>
      <c r="F16" s="34" t="s">
        <v>97</v>
      </c>
      <c r="G16" s="34">
        <f>Min.Vin.pk*Max.Ton/Lm</f>
        <v>1.993253787699923</v>
      </c>
      <c r="H16" s="44"/>
      <c r="I16" s="34"/>
      <c r="J16" s="34" t="s">
        <v>98</v>
      </c>
      <c r="K16" s="34">
        <f>Vcomi.steady*Min.Vin.pk*Nap/VcomixIvs</f>
        <v>150473.06385068802</v>
      </c>
      <c r="L16" s="34"/>
      <c r="M16" s="35"/>
      <c r="N16" s="33"/>
    </row>
    <row r="17" spans="1:14" ht="16.5" customHeight="1">
      <c r="A17" s="34"/>
      <c r="B17" s="39"/>
      <c r="C17" s="34"/>
      <c r="D17" s="44"/>
      <c r="E17" s="34"/>
      <c r="F17" s="34" t="s">
        <v>99</v>
      </c>
      <c r="G17" s="34">
        <f>G41*10^-6</f>
        <v>9.9999999999999991E-5</v>
      </c>
      <c r="H17" s="44"/>
      <c r="I17" s="34"/>
      <c r="J17" s="34" t="s">
        <v>100</v>
      </c>
      <c r="K17" s="34">
        <f>Nap*Vin.bnk/Ivs.bnk</f>
        <v>104041.47857003049</v>
      </c>
      <c r="L17" s="34"/>
      <c r="M17" s="35"/>
      <c r="N17" s="33"/>
    </row>
    <row r="18" spans="1:14">
      <c r="A18" s="39"/>
      <c r="B18" s="39"/>
      <c r="C18" s="45"/>
      <c r="D18" s="43"/>
      <c r="E18" s="39"/>
      <c r="F18" s="34" t="s">
        <v>101</v>
      </c>
      <c r="G18" s="34">
        <f>Vsn^2/( 0.5*Llk*Ipk^2*Freq.*Vsn/(Vsn-Nps*Vout) )</f>
        <v>315.80846905331344</v>
      </c>
      <c r="H18" s="39"/>
      <c r="I18" s="39"/>
      <c r="J18" s="34" t="s">
        <v>102</v>
      </c>
      <c r="K18" s="34">
        <f>Rvs.1*Vvs.ovp/ ( (Vout.max+Vf)*Nas - Vvs.ovp )</f>
        <v>15222.960113163974</v>
      </c>
      <c r="L18" s="39"/>
      <c r="M18" s="33"/>
      <c r="N18" s="33"/>
    </row>
    <row r="19" spans="1:14">
      <c r="A19" s="39"/>
      <c r="B19" s="39"/>
      <c r="C19" s="45"/>
      <c r="D19" s="43"/>
      <c r="E19" s="39"/>
      <c r="F19" s="34" t="s">
        <v>103</v>
      </c>
      <c r="G19" s="34">
        <f>Vsn/( Vsn.r*Rsn*Freq. )</f>
        <v>1.4614505523616802E-6</v>
      </c>
      <c r="H19" s="39"/>
      <c r="I19" s="39"/>
      <c r="J19" s="39"/>
      <c r="K19" s="39"/>
      <c r="L19" s="39"/>
      <c r="M19" s="33"/>
      <c r="N19" s="33"/>
    </row>
    <row r="20" spans="1:14">
      <c r="A20" s="39"/>
      <c r="B20" s="39"/>
      <c r="C20" s="45"/>
      <c r="D20" s="43"/>
      <c r="E20" s="39"/>
      <c r="F20" s="39"/>
      <c r="G20" s="45"/>
      <c r="H20" s="39"/>
      <c r="I20" s="39"/>
      <c r="J20" s="39"/>
      <c r="K20" s="39"/>
      <c r="L20" s="39"/>
      <c r="M20" s="33"/>
      <c r="N20" s="33"/>
    </row>
    <row r="21" spans="1:14">
      <c r="B21" s="37"/>
      <c r="C21" s="38"/>
      <c r="D21" s="36"/>
      <c r="E21" s="37"/>
      <c r="F21" s="37"/>
      <c r="G21" s="38"/>
      <c r="H21" s="37"/>
      <c r="I21" s="37"/>
      <c r="J21" s="37"/>
      <c r="K21" s="37"/>
      <c r="L21" s="37"/>
    </row>
    <row r="22" spans="1:14">
      <c r="B22" s="4" t="s">
        <v>0</v>
      </c>
      <c r="C22" s="22"/>
      <c r="D22" s="19"/>
      <c r="E22" s="18"/>
      <c r="H22" s="1"/>
      <c r="I22" s="1"/>
      <c r="L22" s="18"/>
    </row>
    <row r="23" spans="1:14">
      <c r="B23" s="6" t="s">
        <v>1</v>
      </c>
      <c r="C23" s="22"/>
      <c r="D23" s="19"/>
      <c r="E23" s="18"/>
      <c r="H23" s="1"/>
      <c r="I23" s="1"/>
      <c r="L23" s="18"/>
    </row>
    <row r="24" spans="1:14">
      <c r="C24" s="22"/>
      <c r="D24" s="19"/>
      <c r="E24" s="18"/>
      <c r="F24" s="24"/>
      <c r="G24" s="23"/>
      <c r="H24" s="1"/>
      <c r="I24" s="1"/>
      <c r="J24" s="24"/>
      <c r="K24" s="18"/>
      <c r="L24" s="18"/>
    </row>
    <row r="25" spans="1:14">
      <c r="B25" s="58" t="s">
        <v>61</v>
      </c>
      <c r="C25" s="59"/>
      <c r="D25" s="60"/>
      <c r="E25" s="25"/>
      <c r="F25" s="58" t="s">
        <v>62</v>
      </c>
      <c r="G25" s="59"/>
      <c r="H25" s="60"/>
      <c r="I25" s="18"/>
      <c r="J25" s="58" t="s">
        <v>63</v>
      </c>
      <c r="K25" s="59"/>
      <c r="L25" s="60"/>
    </row>
    <row r="26" spans="1:14">
      <c r="B26" s="11" t="s">
        <v>50</v>
      </c>
      <c r="C26" s="14">
        <v>198</v>
      </c>
      <c r="D26" s="11" t="s">
        <v>2</v>
      </c>
      <c r="E26" s="25"/>
      <c r="F26" s="12" t="s">
        <v>21</v>
      </c>
      <c r="G26" s="14">
        <v>30</v>
      </c>
      <c r="H26" s="11" t="s">
        <v>22</v>
      </c>
      <c r="I26" s="24"/>
      <c r="J26" s="13" t="s">
        <v>10</v>
      </c>
      <c r="K26" s="15">
        <f>Rsense</f>
        <v>0.42643842206407706</v>
      </c>
      <c r="L26" s="13" t="s">
        <v>9</v>
      </c>
      <c r="M26" s="25"/>
      <c r="N26" s="5"/>
    </row>
    <row r="27" spans="1:14">
      <c r="B27" s="11" t="s">
        <v>51</v>
      </c>
      <c r="C27" s="14">
        <v>277</v>
      </c>
      <c r="D27" s="11" t="s">
        <v>2</v>
      </c>
      <c r="E27" s="25"/>
      <c r="F27" s="13" t="s">
        <v>23</v>
      </c>
      <c r="G27" s="31">
        <f>Max.Ton*10^6</f>
        <v>4.615384615384615</v>
      </c>
      <c r="H27" s="13" t="s">
        <v>24</v>
      </c>
      <c r="I27" s="24"/>
      <c r="J27" s="11" t="s">
        <v>11</v>
      </c>
      <c r="K27" s="14">
        <v>60</v>
      </c>
      <c r="L27" s="11" t="s">
        <v>3</v>
      </c>
      <c r="M27" s="25"/>
      <c r="N27" s="5"/>
    </row>
    <row r="28" spans="1:14">
      <c r="B28" s="11" t="s">
        <v>52</v>
      </c>
      <c r="C28" s="14">
        <v>120</v>
      </c>
      <c r="D28" s="11" t="s">
        <v>3</v>
      </c>
      <c r="E28" s="25"/>
      <c r="F28" s="13" t="s">
        <v>60</v>
      </c>
      <c r="G28" s="30">
        <f>Freq./1000</f>
        <v>65</v>
      </c>
      <c r="H28" s="13" t="s">
        <v>56</v>
      </c>
      <c r="I28" s="24"/>
      <c r="J28" s="11" t="s">
        <v>12</v>
      </c>
      <c r="K28" s="14">
        <v>0.7</v>
      </c>
      <c r="L28" s="11" t="s">
        <v>3</v>
      </c>
      <c r="M28" s="25"/>
      <c r="N28" s="5"/>
    </row>
    <row r="29" spans="1:14">
      <c r="B29" s="11" t="s">
        <v>53</v>
      </c>
      <c r="C29" s="14">
        <f>Vout*1.2</f>
        <v>144</v>
      </c>
      <c r="D29" s="11" t="s">
        <v>3</v>
      </c>
      <c r="E29" s="25"/>
      <c r="F29" s="11" t="s">
        <v>57</v>
      </c>
      <c r="G29" s="14">
        <v>0.85</v>
      </c>
      <c r="H29" s="11" t="s">
        <v>58</v>
      </c>
      <c r="I29" s="24"/>
      <c r="J29" s="13" t="s">
        <v>13</v>
      </c>
      <c r="K29" s="30">
        <f>Rvs.1/1000</f>
        <v>104.04147857003049</v>
      </c>
      <c r="L29" s="13" t="s">
        <v>6</v>
      </c>
      <c r="M29" s="25"/>
      <c r="N29" s="5"/>
    </row>
    <row r="30" spans="1:14">
      <c r="B30" s="11" t="s">
        <v>54</v>
      </c>
      <c r="C30" s="14">
        <v>300</v>
      </c>
      <c r="D30" s="11" t="s">
        <v>4</v>
      </c>
      <c r="E30" s="25"/>
      <c r="F30" s="11" t="s">
        <v>25</v>
      </c>
      <c r="G30" s="14">
        <v>86</v>
      </c>
      <c r="H30" s="11" t="s">
        <v>22</v>
      </c>
      <c r="I30" s="24"/>
      <c r="J30" s="13" t="s">
        <v>14</v>
      </c>
      <c r="K30" s="30">
        <f>Rvs.2/1000</f>
        <v>15.222960113163975</v>
      </c>
      <c r="L30" s="13" t="s">
        <v>6</v>
      </c>
      <c r="M30" s="25"/>
      <c r="N30" s="5"/>
    </row>
    <row r="31" spans="1:14">
      <c r="B31" s="13" t="s">
        <v>55</v>
      </c>
      <c r="C31" s="15">
        <f>Vout*Iout</f>
        <v>36</v>
      </c>
      <c r="D31" s="13" t="s">
        <v>5</v>
      </c>
      <c r="E31" s="26"/>
      <c r="F31" s="11" t="s">
        <v>26</v>
      </c>
      <c r="G31" s="14">
        <v>98</v>
      </c>
      <c r="H31" s="11" t="s">
        <v>27</v>
      </c>
      <c r="I31" s="18"/>
      <c r="J31" s="11" t="s">
        <v>15</v>
      </c>
      <c r="K31" s="14">
        <v>5</v>
      </c>
      <c r="L31" s="11" t="s">
        <v>16</v>
      </c>
      <c r="M31" s="25"/>
      <c r="N31" s="5"/>
    </row>
    <row r="32" spans="1:14">
      <c r="B32" s="7"/>
      <c r="C32" s="8"/>
      <c r="D32" s="7"/>
      <c r="F32" s="11" t="s">
        <v>28</v>
      </c>
      <c r="G32" s="14">
        <v>0.25</v>
      </c>
      <c r="H32" s="11"/>
      <c r="I32" s="24"/>
      <c r="J32" s="11" t="s">
        <v>17</v>
      </c>
      <c r="K32" s="14">
        <v>2.2000000000000002</v>
      </c>
      <c r="L32" s="11" t="s">
        <v>7</v>
      </c>
      <c r="M32" s="25"/>
      <c r="N32" s="5"/>
    </row>
    <row r="33" spans="1:17">
      <c r="F33" s="13" t="s">
        <v>29</v>
      </c>
      <c r="G33" s="15">
        <f>Lm*1000</f>
        <v>0.64837384615384619</v>
      </c>
      <c r="H33" s="13" t="s">
        <v>30</v>
      </c>
      <c r="I33" s="24"/>
      <c r="J33" s="11" t="s">
        <v>18</v>
      </c>
      <c r="K33" s="14">
        <v>10</v>
      </c>
      <c r="L33" s="11" t="s">
        <v>7</v>
      </c>
      <c r="M33" s="25"/>
      <c r="N33" s="5"/>
    </row>
    <row r="34" spans="1:17" ht="16.5" customHeight="1">
      <c r="B34" s="66" t="s">
        <v>104</v>
      </c>
      <c r="C34" s="67"/>
      <c r="D34" s="68"/>
      <c r="F34" s="13" t="s">
        <v>31</v>
      </c>
      <c r="G34" s="15">
        <f>G14</f>
        <v>1.0234522129537849</v>
      </c>
      <c r="H34" s="13"/>
      <c r="I34" s="24"/>
      <c r="J34" s="13" t="s">
        <v>19</v>
      </c>
      <c r="K34" s="30">
        <f>23.5+Max.Vin.pk*Nap</f>
        <v>84.635369502902577</v>
      </c>
      <c r="L34" s="13" t="s">
        <v>3</v>
      </c>
      <c r="M34" s="25"/>
      <c r="N34" s="5"/>
    </row>
    <row r="35" spans="1:17">
      <c r="B35" s="69"/>
      <c r="C35" s="70"/>
      <c r="D35" s="71"/>
      <c r="F35" s="13" t="s">
        <v>32</v>
      </c>
      <c r="G35" s="15">
        <f>23/Vout.max</f>
        <v>0.15972222222222221</v>
      </c>
      <c r="H35" s="13"/>
      <c r="I35" s="24"/>
      <c r="J35" s="13" t="s">
        <v>20</v>
      </c>
      <c r="K35" s="30">
        <v>68</v>
      </c>
      <c r="L35" s="13" t="s">
        <v>6</v>
      </c>
      <c r="M35" s="25"/>
      <c r="N35" s="5"/>
    </row>
    <row r="36" spans="1:17">
      <c r="B36" s="72"/>
      <c r="C36" s="73"/>
      <c r="D36" s="74"/>
      <c r="F36" s="13" t="s">
        <v>33</v>
      </c>
      <c r="G36" s="15">
        <f>Nas/Nps</f>
        <v>0.1560622178550457</v>
      </c>
      <c r="H36" s="13"/>
      <c r="I36" s="24"/>
      <c r="J36" s="58" t="s">
        <v>65</v>
      </c>
      <c r="K36" s="59"/>
      <c r="L36" s="60"/>
      <c r="M36" s="25"/>
      <c r="N36" s="5"/>
    </row>
    <row r="37" spans="1:17">
      <c r="B37" s="63" t="s">
        <v>105</v>
      </c>
      <c r="C37" s="64"/>
      <c r="D37" s="65"/>
      <c r="F37" s="13" t="s">
        <v>34</v>
      </c>
      <c r="G37" s="31">
        <f>Min.Vin.pk*Max.Ton/(Bmax*Ae)</f>
        <v>52.749943864968202</v>
      </c>
      <c r="H37" s="13" t="s">
        <v>35</v>
      </c>
      <c r="I37" s="24"/>
      <c r="J37" s="13" t="s">
        <v>41</v>
      </c>
      <c r="K37" s="30">
        <f>Max.Vin.pk+Vsn</f>
        <v>541.73715677734731</v>
      </c>
      <c r="L37" s="13" t="s">
        <v>3</v>
      </c>
    </row>
    <row r="38" spans="1:17">
      <c r="B38" s="48"/>
      <c r="C38" s="49"/>
      <c r="D38" s="50"/>
      <c r="F38" s="11" t="s">
        <v>36</v>
      </c>
      <c r="G38" s="14">
        <v>53</v>
      </c>
      <c r="H38" s="11" t="s">
        <v>35</v>
      </c>
      <c r="I38" s="24"/>
      <c r="J38" s="13" t="s">
        <v>42</v>
      </c>
      <c r="K38" s="15">
        <f>Ipk</f>
        <v>1.993253787699923</v>
      </c>
      <c r="L38" s="13" t="s">
        <v>43</v>
      </c>
      <c r="M38" s="25"/>
      <c r="N38" s="5"/>
    </row>
    <row r="39" spans="1:17">
      <c r="A39" s="46"/>
      <c r="B39" s="53"/>
      <c r="C39" s="54"/>
      <c r="D39" s="55"/>
      <c r="E39" s="47"/>
      <c r="F39" s="32" t="s">
        <v>37</v>
      </c>
      <c r="G39" s="31">
        <f>G38/G34</f>
        <v>51.785515072596041</v>
      </c>
      <c r="H39" s="32" t="s">
        <v>35</v>
      </c>
      <c r="I39" s="24"/>
      <c r="J39" s="13" t="s">
        <v>44</v>
      </c>
      <c r="K39" s="30">
        <f>Vout.max+Max.Vin.pk/Nps</f>
        <v>526.7605742790422</v>
      </c>
      <c r="L39" s="13" t="s">
        <v>3</v>
      </c>
      <c r="M39" s="25"/>
      <c r="N39" s="5"/>
    </row>
    <row r="40" spans="1:17">
      <c r="A40" s="46"/>
      <c r="B40" s="51"/>
      <c r="C40" s="56"/>
      <c r="D40" s="56"/>
      <c r="E40" s="47"/>
      <c r="F40" s="32" t="s">
        <v>38</v>
      </c>
      <c r="G40" s="31">
        <f>G39*G35</f>
        <v>8.2712975463174221</v>
      </c>
      <c r="H40" s="32" t="s">
        <v>35</v>
      </c>
      <c r="I40" s="18"/>
      <c r="J40" s="13" t="s">
        <v>45</v>
      </c>
      <c r="K40" s="15">
        <f>Ipk*Nps</f>
        <v>2.04</v>
      </c>
      <c r="L40" s="13" t="s">
        <v>43</v>
      </c>
      <c r="M40" s="25"/>
      <c r="N40" s="5"/>
      <c r="O40" s="9"/>
      <c r="P40" s="9"/>
      <c r="Q40" s="10"/>
    </row>
    <row r="41" spans="1:17">
      <c r="A41" s="46"/>
      <c r="B41" s="52"/>
      <c r="C41" s="56"/>
      <c r="D41" s="56"/>
      <c r="E41" s="47"/>
      <c r="F41" s="11" t="s">
        <v>39</v>
      </c>
      <c r="G41" s="14">
        <v>100</v>
      </c>
      <c r="H41" s="11" t="s">
        <v>40</v>
      </c>
      <c r="I41" s="24"/>
      <c r="M41" s="25"/>
      <c r="N41" s="5"/>
    </row>
    <row r="42" spans="1:17">
      <c r="A42" s="46"/>
      <c r="B42" s="52"/>
      <c r="C42" s="56"/>
      <c r="D42" s="56"/>
      <c r="E42" s="47"/>
      <c r="F42" s="58" t="s">
        <v>64</v>
      </c>
      <c r="G42" s="59"/>
      <c r="H42" s="60"/>
      <c r="I42" s="24"/>
    </row>
    <row r="43" spans="1:17">
      <c r="A43" s="46"/>
      <c r="B43" s="52"/>
      <c r="C43" s="56"/>
      <c r="D43" s="56"/>
      <c r="E43" s="47"/>
      <c r="F43" s="32" t="s">
        <v>66</v>
      </c>
      <c r="G43" s="31">
        <f>Nps*Vout</f>
        <v>122.81426555445418</v>
      </c>
      <c r="H43" s="32" t="s">
        <v>59</v>
      </c>
      <c r="I43" s="24"/>
    </row>
    <row r="44" spans="1:17">
      <c r="A44" s="46"/>
      <c r="B44" s="52"/>
      <c r="C44" s="56"/>
      <c r="D44" s="56"/>
      <c r="E44" s="47"/>
      <c r="F44" s="11" t="s">
        <v>46</v>
      </c>
      <c r="G44" s="14">
        <v>150</v>
      </c>
      <c r="H44" s="11" t="s">
        <v>3</v>
      </c>
      <c r="I44" s="24"/>
    </row>
    <row r="45" spans="1:17">
      <c r="A45" s="46"/>
      <c r="B45" s="52"/>
      <c r="C45" s="57"/>
      <c r="D45" s="57"/>
      <c r="E45" s="47"/>
      <c r="F45" s="11" t="s">
        <v>47</v>
      </c>
      <c r="G45" s="14">
        <v>5</v>
      </c>
      <c r="H45" s="11" t="s">
        <v>3</v>
      </c>
      <c r="I45" s="18"/>
    </row>
    <row r="46" spans="1:17">
      <c r="A46" s="46"/>
      <c r="B46" s="52"/>
      <c r="C46" s="57"/>
      <c r="D46" s="57"/>
      <c r="E46" s="47"/>
      <c r="F46" s="13" t="s">
        <v>48</v>
      </c>
      <c r="G46" s="30">
        <f>Rsn/1000</f>
        <v>0.31580846905331345</v>
      </c>
      <c r="H46" s="13" t="s">
        <v>6</v>
      </c>
      <c r="I46" s="18"/>
    </row>
    <row r="47" spans="1:17">
      <c r="A47" s="46"/>
      <c r="B47" s="53"/>
      <c r="C47" s="53"/>
      <c r="D47" s="53"/>
      <c r="E47" s="47"/>
      <c r="F47" s="13" t="s">
        <v>49</v>
      </c>
      <c r="G47" s="30">
        <f>Csn*10^9</f>
        <v>1461.4505523616801</v>
      </c>
      <c r="H47" s="13" t="s">
        <v>8</v>
      </c>
    </row>
    <row r="48" spans="1:17">
      <c r="A48" s="46"/>
      <c r="B48" s="53"/>
      <c r="C48" s="53"/>
      <c r="D48" s="53"/>
      <c r="E48" s="47"/>
    </row>
    <row r="49" spans="1:12">
      <c r="A49" s="46"/>
      <c r="B49" s="53"/>
      <c r="C49" s="54"/>
      <c r="D49" s="55"/>
      <c r="E49" s="47"/>
    </row>
    <row r="50" spans="1:12">
      <c r="B50" s="9"/>
      <c r="C50" s="9"/>
      <c r="D50" s="9"/>
      <c r="G50" s="1"/>
      <c r="H50" s="1"/>
      <c r="I50" s="27"/>
    </row>
    <row r="51" spans="1:12">
      <c r="C51" s="1"/>
      <c r="D51" s="1"/>
      <c r="G51" s="1"/>
      <c r="H51" s="1"/>
      <c r="I51" s="27"/>
    </row>
    <row r="52" spans="1:12">
      <c r="C52" s="1"/>
      <c r="D52" s="1"/>
      <c r="G52" s="1"/>
      <c r="H52" s="1"/>
      <c r="I52" s="27"/>
    </row>
    <row r="53" spans="1:12">
      <c r="C53" s="1"/>
      <c r="D53" s="1"/>
      <c r="G53" s="1"/>
      <c r="H53" s="1"/>
      <c r="I53" s="29"/>
    </row>
    <row r="54" spans="1:12">
      <c r="C54" s="1"/>
      <c r="D54" s="1"/>
      <c r="E54" s="1"/>
      <c r="G54" s="1"/>
      <c r="H54" s="1"/>
      <c r="I54" s="1"/>
    </row>
    <row r="55" spans="1:12">
      <c r="C55" s="1"/>
      <c r="D55" s="1"/>
      <c r="E55" s="1"/>
      <c r="G55" s="1"/>
      <c r="H55" s="1"/>
      <c r="I55" s="1"/>
    </row>
    <row r="56" spans="1:12">
      <c r="C56" s="1"/>
      <c r="D56" s="1"/>
      <c r="E56" s="1"/>
      <c r="G56" s="1"/>
      <c r="H56" s="1"/>
      <c r="I56" s="1"/>
      <c r="L56" s="28"/>
    </row>
    <row r="57" spans="1:12">
      <c r="C57" s="1"/>
      <c r="D57" s="1"/>
      <c r="E57" s="1"/>
      <c r="G57" s="1"/>
      <c r="H57" s="1"/>
      <c r="I57" s="1"/>
    </row>
    <row r="58" spans="1:12">
      <c r="C58" s="1"/>
      <c r="D58" s="1"/>
      <c r="E58" s="1"/>
      <c r="G58" s="1"/>
      <c r="H58" s="1"/>
      <c r="I58" s="1"/>
    </row>
    <row r="59" spans="1:12">
      <c r="C59" s="1"/>
      <c r="D59" s="1"/>
      <c r="E59" s="1"/>
      <c r="G59" s="1"/>
      <c r="H59" s="1"/>
      <c r="I59" s="1"/>
    </row>
    <row r="60" spans="1:12">
      <c r="C60" s="1"/>
      <c r="D60" s="1"/>
      <c r="E60" s="1"/>
      <c r="G60" s="1"/>
      <c r="H60" s="1"/>
      <c r="I60" s="1"/>
      <c r="L60" s="28"/>
    </row>
    <row r="61" spans="1:12">
      <c r="C61" s="1"/>
      <c r="D61" s="1"/>
      <c r="E61" s="1"/>
      <c r="G61" s="1"/>
      <c r="H61" s="1"/>
      <c r="I61" s="1"/>
    </row>
    <row r="62" spans="1:12">
      <c r="C62" s="1"/>
      <c r="D62" s="1"/>
      <c r="E62" s="1"/>
      <c r="G62" s="1"/>
      <c r="H62" s="1"/>
      <c r="I62" s="1"/>
    </row>
  </sheetData>
  <sheetProtection password="B704" sheet="1" objects="1" scenarios="1" selectLockedCells="1"/>
  <mergeCells count="20">
    <mergeCell ref="J3:K3"/>
    <mergeCell ref="F42:H42"/>
    <mergeCell ref="B37:D37"/>
    <mergeCell ref="B34:D36"/>
    <mergeCell ref="J25:L25"/>
    <mergeCell ref="J36:L36"/>
    <mergeCell ref="F25:H25"/>
    <mergeCell ref="J7:K7"/>
    <mergeCell ref="J12:K12"/>
    <mergeCell ref="B3:C3"/>
    <mergeCell ref="F3:G3"/>
    <mergeCell ref="F15:G15"/>
    <mergeCell ref="C40:D40"/>
    <mergeCell ref="C41:D41"/>
    <mergeCell ref="C42:D42"/>
    <mergeCell ref="C43:D43"/>
    <mergeCell ref="C44:D44"/>
    <mergeCell ref="C45:D45"/>
    <mergeCell ref="C46:D46"/>
    <mergeCell ref="B25:D25"/>
  </mergeCells>
  <phoneticPr fontId="1" type="noConversion"/>
  <pageMargins left="0.7" right="0.7" top="0.75" bottom="0.75" header="0.3" footer="0.3"/>
  <pageSetup paperSize="9" orientation="portrait" r:id="rId1"/>
  <legacyDrawing r:id="rId2"/>
  <oleObjects>
    <oleObject progId="Visio.Drawing.11" shapeId="1053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49</vt:i4>
      </vt:variant>
    </vt:vector>
  </HeadingPairs>
  <TitlesOfParts>
    <vt:vector size="52" baseType="lpstr">
      <vt:lpstr>Sheet1</vt:lpstr>
      <vt:lpstr>Sheet2</vt:lpstr>
      <vt:lpstr>Sheet3</vt:lpstr>
      <vt:lpstr>Ae</vt:lpstr>
      <vt:lpstr>Bmax</vt:lpstr>
      <vt:lpstr>Csn</vt:lpstr>
      <vt:lpstr>Eff</vt:lpstr>
      <vt:lpstr>Freq.</vt:lpstr>
      <vt:lpstr>Iout</vt:lpstr>
      <vt:lpstr>Ipk</vt:lpstr>
      <vt:lpstr>Ivs.bnk</vt:lpstr>
      <vt:lpstr>Keai</vt:lpstr>
      <vt:lpstr>Llk</vt:lpstr>
      <vt:lpstr>Lm</vt:lpstr>
      <vt:lpstr>Max.duty</vt:lpstr>
      <vt:lpstr>Max.Lm</vt:lpstr>
      <vt:lpstr>Max.Rvs1</vt:lpstr>
      <vt:lpstr>Max.Ton</vt:lpstr>
      <vt:lpstr>Max.Vin</vt:lpstr>
      <vt:lpstr>Max.Vin.pk</vt:lpstr>
      <vt:lpstr>Min.Rvs1</vt:lpstr>
      <vt:lpstr>Min.Vin</vt:lpstr>
      <vt:lpstr>Min.Vin.pk</vt:lpstr>
      <vt:lpstr>Na</vt:lpstr>
      <vt:lpstr>Nap</vt:lpstr>
      <vt:lpstr>Nas</vt:lpstr>
      <vt:lpstr>Ncomi</vt:lpstr>
      <vt:lpstr>Np</vt:lpstr>
      <vt:lpstr>Np.min</vt:lpstr>
      <vt:lpstr>Nps</vt:lpstr>
      <vt:lpstr>Ns</vt:lpstr>
      <vt:lpstr>Pout</vt:lpstr>
      <vt:lpstr>Rsense</vt:lpstr>
      <vt:lpstr>Rsn</vt:lpstr>
      <vt:lpstr>Rvs.1</vt:lpstr>
      <vt:lpstr>Rvs.2</vt:lpstr>
      <vt:lpstr>Ton.max</vt:lpstr>
      <vt:lpstr>TonxIvs</vt:lpstr>
      <vt:lpstr>Ts</vt:lpstr>
      <vt:lpstr>Vcomi.steady</vt:lpstr>
      <vt:lpstr>VcomixIvs</vt:lpstr>
      <vt:lpstr>Vcs.pk</vt:lpstr>
      <vt:lpstr>Vcs.srsp</vt:lpstr>
      <vt:lpstr>Vf</vt:lpstr>
      <vt:lpstr>Vin.bnk</vt:lpstr>
      <vt:lpstr>Vout</vt:lpstr>
      <vt:lpstr>Vout.max</vt:lpstr>
      <vt:lpstr>Vref</vt:lpstr>
      <vt:lpstr>Vsn</vt:lpstr>
      <vt:lpstr>Vsn.r</vt:lpstr>
      <vt:lpstr>Vvs.ovp</vt:lpstr>
      <vt:lpstr>Vvs.rated</vt:lpstr>
    </vt:vector>
  </TitlesOfParts>
  <Company>Fairchild Semiconductor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</dc:creator>
  <cp:lastModifiedBy>desktop</cp:lastModifiedBy>
  <dcterms:created xsi:type="dcterms:W3CDTF">2011-11-09T23:25:24Z</dcterms:created>
  <dcterms:modified xsi:type="dcterms:W3CDTF">2014-11-06T04:17:44Z</dcterms:modified>
</cp:coreProperties>
</file>