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580" activeTab="0"/>
  </bookViews>
  <sheets>
    <sheet name="PWM Flyback" sheetId="1" r:id="rId1"/>
    <sheet name="PFC Calculation" sheetId="2" r:id="rId2"/>
    <sheet name="PFC Phase Study" sheetId="3" r:id="rId3"/>
    <sheet name="PFC Startup" sheetId="4" r:id="rId4"/>
  </sheets>
  <definedNames/>
  <calcPr fullCalcOnLoad="1"/>
</workbook>
</file>

<file path=xl/sharedStrings.xml><?xml version="1.0" encoding="utf-8"?>
<sst xmlns="http://schemas.openxmlformats.org/spreadsheetml/2006/main" count="368" uniqueCount="249">
  <si>
    <t>input box</t>
  </si>
  <si>
    <t>output box</t>
  </si>
  <si>
    <t>W</t>
  </si>
  <si>
    <t>A</t>
  </si>
  <si>
    <t>kahou.wong@onsemi.com</t>
  </si>
  <si>
    <t>Vdc</t>
  </si>
  <si>
    <t>kHz</t>
  </si>
  <si>
    <t>nF</t>
  </si>
  <si>
    <t>pF</t>
  </si>
  <si>
    <t>Prepared by : Kahou Wong</t>
  </si>
  <si>
    <t>Please enter Input Voltage (Low Line, RMS)</t>
  </si>
  <si>
    <t>Please enter Input Voltage (High Line, RMS)</t>
  </si>
  <si>
    <t>Output Shutdown threshold</t>
  </si>
  <si>
    <t>Please enter Oscillator Capacitor (C(osc))</t>
  </si>
  <si>
    <t>Please enter Ramp Capacitor (C(ramp))</t>
  </si>
  <si>
    <t>Zero Current Threshold</t>
  </si>
  <si>
    <t>Please enter the Line Frequency</t>
  </si>
  <si>
    <t>Hz</t>
  </si>
  <si>
    <t>Please enter the Output Capacitor</t>
  </si>
  <si>
    <t>V</t>
  </si>
  <si>
    <t>Please enter the Filtering Capacitor value (C(filter))</t>
  </si>
  <si>
    <t>Please enter the boost inductor value (L)</t>
  </si>
  <si>
    <t>%</t>
  </si>
  <si>
    <t>degree</t>
  </si>
  <si>
    <t>Vin</t>
  </si>
  <si>
    <t>Vout</t>
  </si>
  <si>
    <t>sw freq (kHz)</t>
  </si>
  <si>
    <t>sw period (us)</t>
  </si>
  <si>
    <t>High Line Input Voltage Condition</t>
  </si>
  <si>
    <t>Low Line Input Voltage Condition</t>
  </si>
  <si>
    <t>(adjust L(filter) to make reasonable impedance)</t>
  </si>
  <si>
    <t>(adjust C(filter) to make reasonable impedance)</t>
  </si>
  <si>
    <t>( *Assumption : output voltage is constant)</t>
  </si>
  <si>
    <t>t(1)+t(2), dcm</t>
  </si>
  <si>
    <t>t(1), dcm</t>
  </si>
  <si>
    <t>t(2), dcm</t>
  </si>
  <si>
    <t>t(1)+t(2), crm</t>
  </si>
  <si>
    <t>t(1), crm</t>
  </si>
  <si>
    <t>t(2), crm</t>
  </si>
  <si>
    <t>t(2), final</t>
  </si>
  <si>
    <t>t(1), final</t>
  </si>
  <si>
    <t>duty, final</t>
  </si>
  <si>
    <t>Vac (rms)</t>
  </si>
  <si>
    <t>Aac (rms)</t>
  </si>
  <si>
    <t>Minimum Ramp Capacitor</t>
  </si>
  <si>
    <t>Minimum Switching Period (T), DCM</t>
  </si>
  <si>
    <t>Part 2b. Scenario of Discontinouous Mode (DCM) at the Peak</t>
  </si>
  <si>
    <t>Part 3. Current Sense</t>
  </si>
  <si>
    <t>Maximum Switching Frequency (f(max)), DCM</t>
  </si>
  <si>
    <t>Peak-to-peak Low-Freq Output Ripple</t>
  </si>
  <si>
    <t>Part 1. Maximum Power</t>
  </si>
  <si>
    <t>% of high-freq current getting to input side</t>
  </si>
  <si>
    <t>( *Attention : It is an output page and cannot be edited)</t>
  </si>
  <si>
    <t>Part 5. Input Filtering Capacitor &amp; Inductor</t>
  </si>
  <si>
    <t>Please enter the Differential-Mode Inductor value (L(filter))</t>
  </si>
  <si>
    <t>Over-Current Protection Level</t>
  </si>
  <si>
    <t>Part 2a. Scenario of Critical Mode (CRM) at the Peak</t>
  </si>
  <si>
    <t>Please enter the estimated Efficiency (eff)</t>
  </si>
  <si>
    <t>Overall Input Current with addition of Filtering Capacitor</t>
  </si>
  <si>
    <t>Overall Input Current</t>
  </si>
  <si>
    <t>Worst frequency to be filtered</t>
  </si>
  <si>
    <t>Power on Currenst Sense Resistor (normal condition, Low Line)</t>
  </si>
  <si>
    <t>Target CRM Input Current, Low Line (Iac)</t>
  </si>
  <si>
    <t>Peak Inductor Current, Low Line (Ipk)</t>
  </si>
  <si>
    <t>Switching Period at Low Line Peak (t1+t2), DCM</t>
  </si>
  <si>
    <t>Switching Period at High Line Peak (t1+t2), DCM</t>
  </si>
  <si>
    <t>On time at Low Line Peak (t1), DCM</t>
  </si>
  <si>
    <t>On time at High Line Peak (t1), DCM</t>
  </si>
  <si>
    <t>Maximum Current Stress (Ipk), Low Line DCM</t>
  </si>
  <si>
    <t>On time at High Line Peak (t1), CRM</t>
  </si>
  <si>
    <t>On time at Low Line Peak (t1), CRM</t>
  </si>
  <si>
    <t>Switching Period at Low Line Peak (t1+t2), CRM</t>
  </si>
  <si>
    <t>Switching Period at High Line Peak (t1+t2), CRM</t>
  </si>
  <si>
    <t>Maximum Current Stress (Ipk), Low Line CRM</t>
  </si>
  <si>
    <t>Target minimum CRM inductor value, Low Line Peak</t>
  </si>
  <si>
    <t>Output Voltage at High Line, by the 96% regulation block, V(outH)</t>
  </si>
  <si>
    <t>Output Voltage at Low Line, by the 96% regulation block, V(outL)</t>
  </si>
  <si>
    <t>Please enter nominal Output Voltage 100%</t>
  </si>
  <si>
    <t>Maximum Over-Voltage Protection threshold</t>
  </si>
  <si>
    <t>Vcontrol at Low Line</t>
  </si>
  <si>
    <t>Vcontrol at High Line</t>
  </si>
  <si>
    <t>(Vcontrol close 1V means Vout is close its 96% in low line.)</t>
  </si>
  <si>
    <t>(assume no output voltage ripple)</t>
  </si>
  <si>
    <t>It must be greater than the Minimum ramp capacitor</t>
  </si>
  <si>
    <t>NCP1603 PFC-Section Design Worksheet</t>
  </si>
  <si>
    <t>NCP1603 PFC-Section Design Phase Study</t>
  </si>
  <si>
    <t>Feedback Resistor (R(FB1))</t>
  </si>
  <si>
    <t>Please enter the Current Sense Resistor (R(cs1))</t>
  </si>
  <si>
    <t>Please enter the Sense Resistor (R(s1))</t>
  </si>
  <si>
    <t>Minimum R(s1) is recommended to be 1 kohm</t>
  </si>
  <si>
    <t>Part I. Maximum Switch Current and Duty Consideration</t>
  </si>
  <si>
    <t>Please enter output voltage</t>
  </si>
  <si>
    <t>Please enter diode volt drop</t>
  </si>
  <si>
    <t>Please enter output current</t>
  </si>
  <si>
    <t>Please enter transformer ratio (n1/n2)</t>
  </si>
  <si>
    <t>(ratio)</t>
  </si>
  <si>
    <t>Duty (input high, CCM lossless)</t>
  </si>
  <si>
    <t>Equation used: duty = ((n1/n2) * (Vout + Vd) ) / (Vin + (n1/n2) * (Vout + Vd) )</t>
  </si>
  <si>
    <t>Duty (input low, CCM lossless)</t>
  </si>
  <si>
    <t>Maximum input power (input high, CCM, infinity inductance)</t>
  </si>
  <si>
    <t>Equation used: Pin, max = duty * Vin * Ipk</t>
  </si>
  <si>
    <t>Maximum input power (input low, CCM, infinity inductance)</t>
  </si>
  <si>
    <t>Required output power</t>
  </si>
  <si>
    <t>Equation used: Pout = Iout * Vout</t>
  </si>
  <si>
    <t>Required minimum efficiency (input high, CCM, infinity inductance)</t>
  </si>
  <si>
    <t>Equation used: eff = Pout / Pin</t>
  </si>
  <si>
    <t>Required minimum efficiency (input low, CCM, infinity inductance)</t>
  </si>
  <si>
    <t>&lt;--- Need to check if it is too high</t>
  </si>
  <si>
    <t>Part II. Inductance and Frequency Consideration</t>
  </si>
  <si>
    <t>Critical mode inductor value (input high)</t>
  </si>
  <si>
    <t>Equation used: L = Vin * duty / Ipk / freq</t>
  </si>
  <si>
    <t>Critical mode inductor value (input low)</t>
  </si>
  <si>
    <t>Please enter the primary inductance value</t>
  </si>
  <si>
    <t>Inductor current ripple (input high, CCM)</t>
  </si>
  <si>
    <t>Equation used: delta(i) = duty / freq * Vin / L</t>
  </si>
  <si>
    <t>Inductor current ripple (input low, CCM)</t>
  </si>
  <si>
    <t>&lt;--- Current ripple decides CCM or DCM</t>
  </si>
  <si>
    <t>Part IIIa. Continuous Conduction Mode Scenario</t>
  </si>
  <si>
    <t>When inductor current ripple is smaller than maximum switch current --&gt; Continuous Conduction Mode (CCM)</t>
  </si>
  <si>
    <t>Maximum input power (input high, CCM)</t>
  </si>
  <si>
    <t>Equation used: Pin, max = duty * Vin * (Ipk - delta(i) / 2)</t>
  </si>
  <si>
    <t>Maximum input power (input low, CCM)</t>
  </si>
  <si>
    <t>Required minimum efficiency (input high, CCM)</t>
  </si>
  <si>
    <t>Required minimum efficiency (input low, CCM)</t>
  </si>
  <si>
    <t>Part IIIb. Discontinuous Conduction Mode Scenario</t>
  </si>
  <si>
    <t>When inductor current ripple is bigger than maximum switch current --&gt; Discontinuous Conduction Mode (DCM)</t>
  </si>
  <si>
    <t>Duty (input high, DCM)</t>
  </si>
  <si>
    <t>Equation used: duty = Ipk * freq * L / Vin</t>
  </si>
  <si>
    <t>Duty (input low, DCM)</t>
  </si>
  <si>
    <t>Off-duty (input high, DCM)</t>
  </si>
  <si>
    <t>Equation used: off-duty = Vin / ((n1/n2) * (Vout + Vd) ) * duty</t>
  </si>
  <si>
    <t>Off-duty (input low, DCM)</t>
  </si>
  <si>
    <t>&lt;--- Need to check (duty + off-duty &lt; 100%)</t>
  </si>
  <si>
    <t>Maximum input power (input high, DCM)</t>
  </si>
  <si>
    <t>Equation used: Pin, max = duty * Vin * Ipk / 2</t>
  </si>
  <si>
    <t>Maximum input power (input low, DCM)</t>
  </si>
  <si>
    <t>Required minimum efficiency (input high, DCM)</t>
  </si>
  <si>
    <t>Required minimum effiiciency (input low, DCM)</t>
  </si>
  <si>
    <t>Equation used: V(switch) = Vin + (Vout + Vd) *(n1/n2)</t>
  </si>
  <si>
    <t>Diode stress</t>
  </si>
  <si>
    <t>Equation used: V(diode) = Vout + Vin / (n1/n2)</t>
  </si>
  <si>
    <t>Please enter additional output voltage</t>
  </si>
  <si>
    <t>Please enter the diode volt drop on this output</t>
  </si>
  <si>
    <t>Transformer ratio (n1/n3)</t>
  </si>
  <si>
    <t>Equation used: n1/n3 = n1/n2 * (Vout1+Vd1) / (Vout2+Vd2)</t>
  </si>
  <si>
    <t>Diode stress on this output</t>
  </si>
  <si>
    <t>Equation used: V(diode) = Vout + Vin / (n1/n3)</t>
  </si>
  <si>
    <t>Note that: Higher inductor value makes CCM operation</t>
  </si>
  <si>
    <t>constant box</t>
  </si>
  <si>
    <t>&lt;--- The flyback has to be with wide input range because it is needed</t>
  </si>
  <si>
    <t>to operate when PFC is on (high Vin) and PFC is off (low Vin)</t>
  </si>
  <si>
    <t>Ω</t>
  </si>
  <si>
    <t>Required current sense resistor (Rcs2)</t>
  </si>
  <si>
    <t>Switching frequency (*)</t>
  </si>
  <si>
    <t>(*) Consult factory for different frequency options</t>
  </si>
  <si>
    <t>Part V. Additional Output</t>
  </si>
  <si>
    <t>Equation used: Rcs = 1 / I(max)</t>
  </si>
  <si>
    <t>&lt;--- The circuit skips when duty &lt; 20%, and 80% is max. duty</t>
  </si>
  <si>
    <t>Please enter the maximum/peak switch current</t>
  </si>
  <si>
    <t>ms</t>
  </si>
  <si>
    <t>Conduction Duty, duty</t>
  </si>
  <si>
    <t>Minimum Rectified Voltage, V(min)</t>
  </si>
  <si>
    <t>Low line input, V(in)</t>
  </si>
  <si>
    <t>PFC stage OCP level, I(OCP)</t>
  </si>
  <si>
    <t>Line Frequency, f</t>
  </si>
  <si>
    <t>Bulk Capacitor, C(bulk)</t>
  </si>
  <si>
    <t>High line input, V(in)</t>
  </si>
  <si>
    <t>Part I. Background Data</t>
  </si>
  <si>
    <t>Instantaneous Peak Voltage, low-line, V(pk)</t>
  </si>
  <si>
    <t>Equation used: V(pk) = sqrt(2) * Vin</t>
  </si>
  <si>
    <t>Part III. Zero Current Accuracy at High Line</t>
  </si>
  <si>
    <t>Part II. Overcurrent Protection at Low Line</t>
  </si>
  <si>
    <t>Power drawing by the Flyback, Power</t>
  </si>
  <si>
    <t>Equation used: I(pk) = 2 * sqrt(2) * Power / V(in)</t>
  </si>
  <si>
    <t>High-line CRM peak current, I(pk)</t>
  </si>
  <si>
    <t>PFC stage Zero current level</t>
  </si>
  <si>
    <t xml:space="preserve">Conduction Time, t(on) </t>
  </si>
  <si>
    <t>Equation used: duty = t(on) * 2 * f</t>
  </si>
  <si>
    <t>Working with Go-To-Standby function, the PFC has to be able to startup at low-line full-load condition and the OCP level needs to be higher</t>
  </si>
  <si>
    <t>On other hand, the zero current level in high-line condition may be very closed to peak current and the PFC regulation may go bad.</t>
  </si>
  <si>
    <t>Average Voltage at the Conduction Time, V(avg)</t>
  </si>
  <si>
    <t>Equation used: I(avg) = Power / V(avg) / duty</t>
  </si>
  <si>
    <t>(data from PFC Calculation sheet)</t>
  </si>
  <si>
    <t>Equation used: t(on) = acos( V(min) / V(pk) ) / π / 2 / f )</t>
  </si>
  <si>
    <t>Equation used: V(avg) = V(pk) * sin( 2 π f t(on) ) / ( 2 π f t(on) )</t>
  </si>
  <si>
    <t>Average Pulse Current at the Conduction Time I(avg)</t>
  </si>
  <si>
    <t>Zero-Current-to-Peak-Current Percentage</t>
  </si>
  <si>
    <r>
      <t>RED</t>
    </r>
    <r>
      <rPr>
        <i/>
        <sz val="10"/>
        <rFont val="Arial"/>
        <family val="2"/>
      </rPr>
      <t xml:space="preserve"> color when output voltage is smaller than peak input voltage</t>
    </r>
  </si>
  <si>
    <r>
      <t>RED</t>
    </r>
    <r>
      <rPr>
        <i/>
        <sz val="10"/>
        <rFont val="Arial"/>
        <family val="2"/>
      </rPr>
      <t xml:space="preserve"> color means that it is too small for CRM</t>
    </r>
  </si>
  <si>
    <r>
      <t>RED</t>
    </r>
    <r>
      <rPr>
        <i/>
        <sz val="10"/>
        <rFont val="Arial"/>
        <family val="2"/>
      </rPr>
      <t xml:space="preserve"> color means it is over the maximum 1V limit</t>
    </r>
  </si>
  <si>
    <r>
      <t>RED</t>
    </r>
    <r>
      <rPr>
        <i/>
        <sz val="10"/>
        <rFont val="Arial"/>
        <family val="2"/>
      </rPr>
      <t xml:space="preserve"> color when it is in DCM which is not preferrable at the low line peak</t>
    </r>
  </si>
  <si>
    <r>
      <t xml:space="preserve">RED </t>
    </r>
    <r>
      <rPr>
        <i/>
        <sz val="10"/>
        <rFont val="Arial"/>
        <family val="2"/>
      </rPr>
      <t>color when it is in CRM ( t1 + t2 &gt; T)</t>
    </r>
  </si>
  <si>
    <r>
      <t>RED</t>
    </r>
    <r>
      <rPr>
        <i/>
        <sz val="10"/>
        <rFont val="Arial"/>
        <family val="2"/>
      </rPr>
      <t xml:space="preserve"> color when it is smaller than the low line max inductor current</t>
    </r>
  </si>
  <si>
    <t>Equation used: R(fb) = (Vout - 4) / 200uA</t>
  </si>
  <si>
    <t>Equation used: Vout(OVP) = 225uA * R(fb) + 5</t>
  </si>
  <si>
    <t>Equation used: Vout(Shutdown) = 8% * Vout</t>
  </si>
  <si>
    <t>Equation used: Iac = Pout/eff/Vac</t>
  </si>
  <si>
    <t>Equation used: (freq * [ C(osc) + 36pF] = constant)</t>
  </si>
  <si>
    <t>Equation used: T = 1 / f(max)</t>
  </si>
  <si>
    <t>Equation used: L &gt; (Vout - Vin) / Vout * Vin / 2 / Iin / f</t>
  </si>
  <si>
    <t>Equation used: Ipk = 2 * sqrt(2) * Iac</t>
  </si>
  <si>
    <t>Equation used: Cramp &gt; Iac / Vac * 2 * L * Ich, Ich = 100uA</t>
  </si>
  <si>
    <t>Equation used: Vcontrol = 2 * L * Ich / Vac² / Cramp * Pout / eff</t>
  </si>
  <si>
    <t>Equation used: t1 + t2 (CRM) = Vout / (Vout - Vin) * Cramp * Vcontrol / Ich</t>
  </si>
  <si>
    <t>Equation used: t1 (CRM) = Cramp * Vcontrol / Ich</t>
  </si>
  <si>
    <t>Equation used: Ipk (CRM) = Vac * sqrt(2) * t1 / L</t>
  </si>
  <si>
    <t>Equation used: t1 + t2 (DCM) = sqrt( (t1+t2(CRM)) * T)</t>
  </si>
  <si>
    <t>Equation used: t1 (DCM) = Cramp / Ich * Vcontrol * T / (t1 + t2)</t>
  </si>
  <si>
    <t>Equation used: Ipk (DCM) = Vin * sqrt(2) * t1 / L</t>
  </si>
  <si>
    <t>Equation used: Power = Iin² * R(cs1) * 1.5</t>
  </si>
  <si>
    <t>Equation used: IL(ZCD) = (R(s1) * 14uA - 7.5mV) / R(cs1)</t>
  </si>
  <si>
    <t>Equation used: IL(OCP) = (R(s1) * 200uA - 3.2mV) / R(cs1)</t>
  </si>
  <si>
    <t>Equation used: dv = sqrt(2) * Pout / Vout / 4 / f(L) / Cout</t>
  </si>
  <si>
    <t>Equation used: ratio = sqrt( 1+ (Vin² * eff / Pout * (2 * π * C * f))^2)</t>
  </si>
  <si>
    <t>Equation used: Iac (final) = (Iac increase) * Iac</t>
  </si>
  <si>
    <t>Equation used: ratio =1 / (4 * π² * f² * Lf *Cf - 1)</t>
  </si>
  <si>
    <t>MΩ</t>
  </si>
  <si>
    <t>kΩ</t>
  </si>
  <si>
    <t>µF</t>
  </si>
  <si>
    <t>µH</t>
  </si>
  <si>
    <t>µs</t>
  </si>
  <si>
    <t>MOSFET stress from reflected output voltage</t>
  </si>
  <si>
    <t>Part IV. Snubber Calculation</t>
  </si>
  <si>
    <t>Please enter the maximum primary leakage inductance</t>
  </si>
  <si>
    <t>Maximum power spending in the leakage inductance/ snubber</t>
  </si>
  <si>
    <t>Please enter the RCD snubber resistor</t>
  </si>
  <si>
    <t>Snubber voltage</t>
  </si>
  <si>
    <t>Equation used: Power = ½ * L * Ipk² * freq</t>
  </si>
  <si>
    <t>Equation used: voltage = sqrt( Power * Resistor)</t>
  </si>
  <si>
    <t>MOSFET stress (due to leakage inductance)</t>
  </si>
  <si>
    <t>Equation used: voltage = Vin + V(snubber)</t>
  </si>
  <si>
    <t>Minimum RCD snubber capacitor</t>
  </si>
  <si>
    <t>Equation used: C &gt; 2 * Power / (Voltage² * freq)</t>
  </si>
  <si>
    <t>Version 2 on Aug 3, 2005</t>
  </si>
  <si>
    <t>NCP1603 Low-line PFC Startup and High-line Distortion</t>
  </si>
  <si>
    <t>The flyback is asking for this output power</t>
  </si>
  <si>
    <t>Please enter Output Power of the PFC stage</t>
  </si>
  <si>
    <r>
      <t>RED</t>
    </r>
    <r>
      <rPr>
        <sz val="10"/>
        <rFont val="Arial"/>
        <family val="2"/>
      </rPr>
      <t xml:space="preserve"> color when the PFC-stage power is smaller than PWM-stage power</t>
    </r>
  </si>
  <si>
    <t xml:space="preserve">          The PFC circuit cannot startup successfully when OCP level is very low comparing to I(avg).</t>
  </si>
  <si>
    <t>In NCP1603-PFC stage, the OCP level of the PFC stage is indirectly linked to the zero current level.</t>
  </si>
  <si>
    <t>Please enter higher limit of the flyback input voltage</t>
  </si>
  <si>
    <t>Please enter lower limit of the flyback input voltage</t>
  </si>
  <si>
    <t>NCP1603 PWM-Section Flyback Design Sheet</t>
  </si>
  <si>
    <t>Note: the PFC regulation relies on zero current information. It may suffer if the percentage is too high.</t>
  </si>
  <si>
    <t>(Calculated data from PWM Flyback sheet)</t>
  </si>
  <si>
    <t>Please enter the assumed efficiency of the Flyback-stage</t>
  </si>
  <si>
    <t>Note : The I(avg) here is assumed to be constant for simplification in the calculation. I(avg) here is just an indicator for OCP threshold.</t>
  </si>
  <si>
    <t>Part 4. Bulk Capacitor</t>
  </si>
  <si>
    <t>Equation used: V(min) = sqrt( V(pk)² - Power / f / C(bulk)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</si>
</sst>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10.25"/>
      <name val="Arial"/>
      <family val="0"/>
    </font>
    <font>
      <i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2" fillId="0" borderId="0" xfId="2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10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2" fontId="0" fillId="3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0" fontId="13" fillId="0" borderId="0" xfId="0" applyFont="1" applyFill="1" applyAlignment="1">
      <alignment/>
    </xf>
    <xf numFmtId="0" fontId="14" fillId="3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/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Low Line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Switching Period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'PFC Phase Study'!$C$9:$C$31</c:f>
              <c:numCache/>
            </c:numRef>
          </c:xVal>
          <c:yVal>
            <c:numRef>
              <c:f>'PFC Phase Study'!$L$9:$L$31</c:f>
              <c:numCache>
                <c:ptCount val="23"/>
                <c:pt idx="0">
                  <c:v>9.327846364883403</c:v>
                </c:pt>
                <c:pt idx="1">
                  <c:v>9.459117553628802</c:v>
                </c:pt>
                <c:pt idx="2">
                  <c:v>10.086514247566036</c:v>
                </c:pt>
                <c:pt idx="3">
                  <c:v>10.75588985573967</c:v>
                </c:pt>
                <c:pt idx="4">
                  <c:v>11.442211264951185</c:v>
                </c:pt>
                <c:pt idx="5">
                  <c:v>12.109197783405984</c:v>
                </c:pt>
                <c:pt idx="6">
                  <c:v>12.710185044015342</c:v>
                </c:pt>
                <c:pt idx="7">
                  <c:v>13.192619004467256</c:v>
                </c:pt>
                <c:pt idx="8">
                  <c:v>13.373379813151375</c:v>
                </c:pt>
                <c:pt idx="9">
                  <c:v>13.506582714415842</c:v>
                </c:pt>
                <c:pt idx="10">
                  <c:v>13.588202496997331</c:v>
                </c:pt>
                <c:pt idx="11">
                  <c:v>13.615698639782163</c:v>
                </c:pt>
                <c:pt idx="12">
                  <c:v>13.588202496997331</c:v>
                </c:pt>
                <c:pt idx="13">
                  <c:v>13.506582714415842</c:v>
                </c:pt>
                <c:pt idx="14">
                  <c:v>13.373379813151375</c:v>
                </c:pt>
                <c:pt idx="15">
                  <c:v>13.192619004467257</c:v>
                </c:pt>
                <c:pt idx="16">
                  <c:v>12.710185044015343</c:v>
                </c:pt>
                <c:pt idx="17">
                  <c:v>12.109197783405984</c:v>
                </c:pt>
                <c:pt idx="18">
                  <c:v>11.442211264951185</c:v>
                </c:pt>
                <c:pt idx="19">
                  <c:v>10.75588985573967</c:v>
                </c:pt>
                <c:pt idx="20">
                  <c:v>10.086514247566036</c:v>
                </c:pt>
                <c:pt idx="21">
                  <c:v>9.459117553628804</c:v>
                </c:pt>
                <c:pt idx="22">
                  <c:v>9.327846364883403</c:v>
                </c:pt>
              </c:numCache>
            </c:numRef>
          </c:yVal>
          <c:smooth val="0"/>
        </c:ser>
        <c:ser>
          <c:idx val="1"/>
          <c:order val="1"/>
          <c:tx>
            <c:v>t(1)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'PFC Phase Study'!$C$9:$C$31</c:f>
              <c:numCache/>
            </c:numRef>
          </c:xVal>
          <c:yVal>
            <c:numRef>
              <c:f>'PFC Phase Study'!$I$9:$I$31</c:f>
              <c:numCache>
                <c:ptCount val="23"/>
                <c:pt idx="0">
                  <c:v>9.1057229207831</c:v>
                </c:pt>
                <c:pt idx="1">
                  <c:v>8.826994548884874</c:v>
                </c:pt>
                <c:pt idx="2">
                  <c:v>8.548061076907587</c:v>
                </c:pt>
                <c:pt idx="3">
                  <c:v>8.277801285211284</c:v>
                </c:pt>
                <c:pt idx="4">
                  <c:v>8.02570493145027</c:v>
                </c:pt>
                <c:pt idx="5">
                  <c:v>7.801542583850129</c:v>
                </c:pt>
                <c:pt idx="6">
                  <c:v>7.614865433135508</c:v>
                </c:pt>
                <c:pt idx="7">
                  <c:v>7.474336729342312</c:v>
                </c:pt>
                <c:pt idx="8">
                  <c:v>7.423651573441202</c:v>
                </c:pt>
                <c:pt idx="9">
                  <c:v>7.386954576222397</c:v>
                </c:pt>
                <c:pt idx="10">
                  <c:v>7.3647356792381755</c:v>
                </c:pt>
                <c:pt idx="11">
                  <c:v>7.357295584983415</c:v>
                </c:pt>
                <c:pt idx="12">
                  <c:v>7.3647356792381755</c:v>
                </c:pt>
                <c:pt idx="13">
                  <c:v>7.386954576222397</c:v>
                </c:pt>
                <c:pt idx="14">
                  <c:v>7.423651573441202</c:v>
                </c:pt>
                <c:pt idx="15">
                  <c:v>7.474336729342311</c:v>
                </c:pt>
                <c:pt idx="16">
                  <c:v>7.614865433135508</c:v>
                </c:pt>
                <c:pt idx="17">
                  <c:v>7.801542583850129</c:v>
                </c:pt>
                <c:pt idx="18">
                  <c:v>8.02570493145027</c:v>
                </c:pt>
                <c:pt idx="19">
                  <c:v>8.277801285211284</c:v>
                </c:pt>
                <c:pt idx="20">
                  <c:v>8.548061076907587</c:v>
                </c:pt>
                <c:pt idx="21">
                  <c:v>8.826994548884873</c:v>
                </c:pt>
                <c:pt idx="22">
                  <c:v>9.1057229207831</c:v>
                </c:pt>
              </c:numCache>
            </c:numRef>
          </c:yVal>
          <c:smooth val="0"/>
        </c:ser>
        <c:ser>
          <c:idx val="2"/>
          <c:order val="2"/>
          <c:tx>
            <c:v>t(2)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'PFC Phase Study'!$C$9:$C$31</c:f>
              <c:numCache/>
            </c:numRef>
          </c:xVal>
          <c:yVal>
            <c:numRef>
              <c:f>'PFC Phase Study'!$J$9:$J$31</c:f>
              <c:numCache>
                <c:ptCount val="23"/>
                <c:pt idx="0">
                  <c:v>0</c:v>
                </c:pt>
                <c:pt idx="1">
                  <c:v>0.5662580979686744</c:v>
                </c:pt>
                <c:pt idx="2">
                  <c:v>1.1517046552378805</c:v>
                </c:pt>
                <c:pt idx="3">
                  <c:v>1.738649587824911</c:v>
                </c:pt>
                <c:pt idx="4">
                  <c:v>2.305373848328868</c:v>
                </c:pt>
                <c:pt idx="5">
                  <c:v>2.826379909544226</c:v>
                </c:pt>
                <c:pt idx="6">
                  <c:v>3.273598800162681</c:v>
                </c:pt>
                <c:pt idx="7">
                  <c:v>3.6188469085549517</c:v>
                </c:pt>
                <c:pt idx="8">
                  <c:v>3.7452710369231994</c:v>
                </c:pt>
                <c:pt idx="9">
                  <c:v>3.8374531353079</c:v>
                </c:pt>
                <c:pt idx="10">
                  <c:v>3.893535292226143</c:v>
                </c:pt>
                <c:pt idx="11">
                  <c:v>3.91236035752166</c:v>
                </c:pt>
                <c:pt idx="12">
                  <c:v>3.893535292226143</c:v>
                </c:pt>
                <c:pt idx="13">
                  <c:v>3.8374531353079</c:v>
                </c:pt>
                <c:pt idx="14">
                  <c:v>3.7452710369231994</c:v>
                </c:pt>
                <c:pt idx="15">
                  <c:v>3.6188469085549544</c:v>
                </c:pt>
                <c:pt idx="16">
                  <c:v>3.273598800162681</c:v>
                </c:pt>
                <c:pt idx="17">
                  <c:v>2.826379909544226</c:v>
                </c:pt>
                <c:pt idx="18">
                  <c:v>2.305373848328868</c:v>
                </c:pt>
                <c:pt idx="19">
                  <c:v>1.738649587824911</c:v>
                </c:pt>
                <c:pt idx="20">
                  <c:v>1.1517046552378805</c:v>
                </c:pt>
                <c:pt idx="21">
                  <c:v>0.566258097968678</c:v>
                </c:pt>
                <c:pt idx="22">
                  <c:v>0</c:v>
                </c:pt>
              </c:numCache>
            </c:numRef>
          </c:yVal>
          <c:smooth val="0"/>
        </c:ser>
        <c:axId val="33944711"/>
        <c:axId val="37066944"/>
      </c:scatterChart>
      <c:valAx>
        <c:axId val="3394471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66944"/>
        <c:crosses val="autoZero"/>
        <c:crossBetween val="midCat"/>
        <c:dispUnits/>
        <c:majorUnit val="45"/>
      </c:valAx>
      <c:valAx>
        <c:axId val="3706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44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Low Line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'PFC Phase Study'!$C$9:$C$31</c:f>
              <c:numCache/>
            </c:numRef>
          </c:xVal>
          <c:yVal>
            <c:numRef>
              <c:f>'PFC Phase Study'!$M$9:$M$31</c:f>
              <c:numCache>
                <c:ptCount val="23"/>
                <c:pt idx="0">
                  <c:v>107.20588235294117</c:v>
                </c:pt>
                <c:pt idx="1">
                  <c:v>105.71810682449653</c:v>
                </c:pt>
                <c:pt idx="2">
                  <c:v>99.14227804132719</c:v>
                </c:pt>
                <c:pt idx="3">
                  <c:v>92.97231688053868</c:v>
                </c:pt>
                <c:pt idx="4">
                  <c:v>87.39569448985054</c:v>
                </c:pt>
                <c:pt idx="5">
                  <c:v>82.58185371869676</c:v>
                </c:pt>
                <c:pt idx="6">
                  <c:v>78.67706068298789</c:v>
                </c:pt>
                <c:pt idx="7">
                  <c:v>75.7999605431933</c:v>
                </c:pt>
                <c:pt idx="8">
                  <c:v>74.77541309464647</c:v>
                </c:pt>
                <c:pt idx="9">
                  <c:v>74.03797253117773</c:v>
                </c:pt>
                <c:pt idx="10">
                  <c:v>73.5932512207539</c:v>
                </c:pt>
                <c:pt idx="11">
                  <c:v>73.44463376107734</c:v>
                </c:pt>
                <c:pt idx="12">
                  <c:v>73.5932512207539</c:v>
                </c:pt>
                <c:pt idx="13">
                  <c:v>74.03797253117773</c:v>
                </c:pt>
                <c:pt idx="14">
                  <c:v>74.77541309464647</c:v>
                </c:pt>
                <c:pt idx="15">
                  <c:v>75.7999605431933</c:v>
                </c:pt>
                <c:pt idx="16">
                  <c:v>78.67706068298787</c:v>
                </c:pt>
                <c:pt idx="17">
                  <c:v>82.58185371869676</c:v>
                </c:pt>
                <c:pt idx="18">
                  <c:v>87.39569448985054</c:v>
                </c:pt>
                <c:pt idx="19">
                  <c:v>92.97231688053868</c:v>
                </c:pt>
                <c:pt idx="20">
                  <c:v>99.14227804132719</c:v>
                </c:pt>
                <c:pt idx="21">
                  <c:v>105.7181068244965</c:v>
                </c:pt>
                <c:pt idx="22">
                  <c:v>107.20588235294117</c:v>
                </c:pt>
              </c:numCache>
            </c:numRef>
          </c:yVal>
          <c:smooth val="0"/>
        </c:ser>
        <c:axId val="65167041"/>
        <c:axId val="49632458"/>
      </c:scatterChart>
      <c:valAx>
        <c:axId val="6516704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32458"/>
        <c:crosses val="autoZero"/>
        <c:crossBetween val="midCat"/>
        <c:dispUnits/>
        <c:majorUnit val="45"/>
      </c:valAx>
      <c:valAx>
        <c:axId val="49632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Switching 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67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High Line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Switching Period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'PFC Phase Study'!$C$34:$C$56</c:f>
              <c:numCache/>
            </c:numRef>
          </c:xVal>
          <c:yVal>
            <c:numRef>
              <c:f>'PFC Phase Study'!$L$34:$L$56</c:f>
              <c:numCache>
                <c:ptCount val="23"/>
                <c:pt idx="0">
                  <c:v>9.327846364883403</c:v>
                </c:pt>
                <c:pt idx="1">
                  <c:v>9.327846364883403</c:v>
                </c:pt>
                <c:pt idx="2">
                  <c:v>9.327846364883403</c:v>
                </c:pt>
                <c:pt idx="3">
                  <c:v>9.327846364883403</c:v>
                </c:pt>
                <c:pt idx="4">
                  <c:v>9.327846364883403</c:v>
                </c:pt>
                <c:pt idx="5">
                  <c:v>9.327846364883403</c:v>
                </c:pt>
                <c:pt idx="6">
                  <c:v>9.327846364883403</c:v>
                </c:pt>
                <c:pt idx="7">
                  <c:v>12.258523491786592</c:v>
                </c:pt>
                <c:pt idx="8">
                  <c:v>17.348322002792578</c:v>
                </c:pt>
                <c:pt idx="9">
                  <c:v>24.742768354615862</c:v>
                </c:pt>
                <c:pt idx="10">
                  <c:v>33.30318428613874</c:v>
                </c:pt>
                <c:pt idx="11">
                  <c:v>37.65704699910744</c:v>
                </c:pt>
                <c:pt idx="12">
                  <c:v>33.30318428613874</c:v>
                </c:pt>
                <c:pt idx="13">
                  <c:v>24.742768354615862</c:v>
                </c:pt>
                <c:pt idx="14">
                  <c:v>17.348322002792578</c:v>
                </c:pt>
                <c:pt idx="15">
                  <c:v>12.258523491786615</c:v>
                </c:pt>
                <c:pt idx="16">
                  <c:v>9.327846364883403</c:v>
                </c:pt>
                <c:pt idx="17">
                  <c:v>9.327846364883403</c:v>
                </c:pt>
                <c:pt idx="18">
                  <c:v>9.327846364883403</c:v>
                </c:pt>
                <c:pt idx="19">
                  <c:v>9.327846364883403</c:v>
                </c:pt>
                <c:pt idx="20">
                  <c:v>9.327846364883403</c:v>
                </c:pt>
                <c:pt idx="21">
                  <c:v>9.327846364883403</c:v>
                </c:pt>
                <c:pt idx="22">
                  <c:v>9.327846364883403</c:v>
                </c:pt>
              </c:numCache>
            </c:numRef>
          </c:yVal>
          <c:smooth val="0"/>
        </c:ser>
        <c:ser>
          <c:idx val="1"/>
          <c:order val="1"/>
          <c:tx>
            <c:v>t(1)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'PFC Phase Study'!$C$34:$C$56</c:f>
              <c:numCache/>
            </c:numRef>
          </c:xVal>
          <c:yVal>
            <c:numRef>
              <c:f>'PFC Phase Study'!$N$34:$N$56</c:f>
              <c:numCache>
                <c:ptCount val="23"/>
                <c:pt idx="0">
                  <c:v>3.1519810110403035</c:v>
                </c:pt>
                <c:pt idx="1">
                  <c:v>2.873775836699789</c:v>
                </c:pt>
                <c:pt idx="2">
                  <c:v>2.5754858360543005</c:v>
                </c:pt>
                <c:pt idx="3">
                  <c:v>2.2600867855075686</c:v>
                </c:pt>
                <c:pt idx="4">
                  <c:v>1.931197290326353</c:v>
                </c:pt>
                <c:pt idx="5">
                  <c:v>1.593613338419576</c:v>
                </c:pt>
                <c:pt idx="6">
                  <c:v>1.2547465380043348</c:v>
                </c:pt>
                <c:pt idx="7">
                  <c:v>1.0650887573964496</c:v>
                </c:pt>
                <c:pt idx="8">
                  <c:v>1.0650887573964496</c:v>
                </c:pt>
                <c:pt idx="9">
                  <c:v>1.0650887573964496</c:v>
                </c:pt>
                <c:pt idx="10">
                  <c:v>1.0650887573964496</c:v>
                </c:pt>
                <c:pt idx="11">
                  <c:v>1.0650887573964496</c:v>
                </c:pt>
                <c:pt idx="12">
                  <c:v>1.0650887573964496</c:v>
                </c:pt>
                <c:pt idx="13">
                  <c:v>1.0650887573964496</c:v>
                </c:pt>
                <c:pt idx="14">
                  <c:v>1.0650887573964496</c:v>
                </c:pt>
                <c:pt idx="15">
                  <c:v>1.0650887573964496</c:v>
                </c:pt>
                <c:pt idx="16">
                  <c:v>1.2547465380043343</c:v>
                </c:pt>
                <c:pt idx="17">
                  <c:v>1.593613338419576</c:v>
                </c:pt>
                <c:pt idx="18">
                  <c:v>1.9311972903263523</c:v>
                </c:pt>
                <c:pt idx="19">
                  <c:v>2.2600867855075686</c:v>
                </c:pt>
                <c:pt idx="20">
                  <c:v>2.5754858360543</c:v>
                </c:pt>
                <c:pt idx="21">
                  <c:v>2.8737758366997888</c:v>
                </c:pt>
                <c:pt idx="22">
                  <c:v>3.151981011040303</c:v>
                </c:pt>
              </c:numCache>
            </c:numRef>
          </c:yVal>
          <c:smooth val="0"/>
        </c:ser>
        <c:ser>
          <c:idx val="2"/>
          <c:order val="2"/>
          <c:tx>
            <c:v>t(2)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'PFC Phase Study'!$C$34:$C$56</c:f>
              <c:numCache/>
            </c:numRef>
          </c:xVal>
          <c:yVal>
            <c:numRef>
              <c:f>'PFC Phase Study'!$O$34:$O$56</c:f>
              <c:numCache>
                <c:ptCount val="23"/>
                <c:pt idx="0">
                  <c:v>0</c:v>
                </c:pt>
                <c:pt idx="1">
                  <c:v>0.5833429013322879</c:v>
                </c:pt>
                <c:pt idx="2">
                  <c:v>1.2820326774931328</c:v>
                </c:pt>
                <c:pt idx="3">
                  <c:v>2.135755160768606</c:v>
                </c:pt>
                <c:pt idx="4">
                  <c:v>3.2132715548426143</c:v>
                </c:pt>
                <c:pt idx="5">
                  <c:v>4.6406368742520945</c:v>
                </c:pt>
                <c:pt idx="6">
                  <c:v>6.663174725807377</c:v>
                </c:pt>
                <c:pt idx="7">
                  <c:v>11.193434734390143</c:v>
                </c:pt>
                <c:pt idx="8">
                  <c:v>16.28323324539613</c:v>
                </c:pt>
                <c:pt idx="9">
                  <c:v>23.677679597219413</c:v>
                </c:pt>
                <c:pt idx="10">
                  <c:v>32.238095528742285</c:v>
                </c:pt>
                <c:pt idx="11">
                  <c:v>36.59195824171099</c:v>
                </c:pt>
                <c:pt idx="12">
                  <c:v>32.238095528742285</c:v>
                </c:pt>
                <c:pt idx="13">
                  <c:v>23.677679597219413</c:v>
                </c:pt>
                <c:pt idx="14">
                  <c:v>16.28323324539613</c:v>
                </c:pt>
                <c:pt idx="15">
                  <c:v>11.193434734390166</c:v>
                </c:pt>
                <c:pt idx="16">
                  <c:v>6.66317472580738</c:v>
                </c:pt>
                <c:pt idx="17">
                  <c:v>4.6406368742520945</c:v>
                </c:pt>
                <c:pt idx="18">
                  <c:v>3.213271554842616</c:v>
                </c:pt>
                <c:pt idx="19">
                  <c:v>2.135755160768606</c:v>
                </c:pt>
                <c:pt idx="20">
                  <c:v>1.2820326774931337</c:v>
                </c:pt>
                <c:pt idx="21">
                  <c:v>0.5833429013322893</c:v>
                </c:pt>
                <c:pt idx="22">
                  <c:v>0</c:v>
                </c:pt>
              </c:numCache>
            </c:numRef>
          </c:yVal>
          <c:smooth val="0"/>
        </c:ser>
        <c:axId val="44038939"/>
        <c:axId val="60806132"/>
      </c:scatterChart>
      <c:valAx>
        <c:axId val="4403893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6132"/>
        <c:crosses val="autoZero"/>
        <c:crossBetween val="midCat"/>
        <c:dispUnits/>
        <c:majorUnit val="45"/>
      </c:valAx>
      <c:valAx>
        <c:axId val="6080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389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High Line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'PFC Phase Study'!$C$34:$C$56</c:f>
              <c:numCache/>
            </c:numRef>
          </c:xVal>
          <c:yVal>
            <c:numRef>
              <c:f>'PFC Phase Study'!$M$34:$M$56</c:f>
              <c:numCache>
                <c:ptCount val="23"/>
                <c:pt idx="0">
                  <c:v>107.20588235294117</c:v>
                </c:pt>
                <c:pt idx="1">
                  <c:v>107.20588235294117</c:v>
                </c:pt>
                <c:pt idx="2">
                  <c:v>107.20588235294117</c:v>
                </c:pt>
                <c:pt idx="3">
                  <c:v>107.20588235294117</c:v>
                </c:pt>
                <c:pt idx="4">
                  <c:v>107.20588235294117</c:v>
                </c:pt>
                <c:pt idx="5">
                  <c:v>107.20588235294117</c:v>
                </c:pt>
                <c:pt idx="6">
                  <c:v>107.20588235294117</c:v>
                </c:pt>
                <c:pt idx="7">
                  <c:v>81.57589294257306</c:v>
                </c:pt>
                <c:pt idx="8">
                  <c:v>57.64246247210704</c:v>
                </c:pt>
                <c:pt idx="9">
                  <c:v>40.41584941781367</c:v>
                </c:pt>
                <c:pt idx="10">
                  <c:v>30.02715870674908</c:v>
                </c:pt>
                <c:pt idx="11">
                  <c:v>26.5554545480877</c:v>
                </c:pt>
                <c:pt idx="12">
                  <c:v>30.02715870674908</c:v>
                </c:pt>
                <c:pt idx="13">
                  <c:v>40.41584941781367</c:v>
                </c:pt>
                <c:pt idx="14">
                  <c:v>57.64246247210704</c:v>
                </c:pt>
                <c:pt idx="15">
                  <c:v>81.5758929425729</c:v>
                </c:pt>
                <c:pt idx="16">
                  <c:v>107.20588235294117</c:v>
                </c:pt>
                <c:pt idx="17">
                  <c:v>107.20588235294117</c:v>
                </c:pt>
                <c:pt idx="18">
                  <c:v>107.20588235294117</c:v>
                </c:pt>
                <c:pt idx="19">
                  <c:v>107.20588235294117</c:v>
                </c:pt>
                <c:pt idx="20">
                  <c:v>107.20588235294117</c:v>
                </c:pt>
                <c:pt idx="21">
                  <c:v>107.20588235294117</c:v>
                </c:pt>
                <c:pt idx="22">
                  <c:v>107.20588235294117</c:v>
                </c:pt>
              </c:numCache>
            </c:numRef>
          </c:yVal>
          <c:smooth val="0"/>
        </c:ser>
        <c:axId val="10384277"/>
        <c:axId val="26349630"/>
      </c:scatterChart>
      <c:valAx>
        <c:axId val="1038427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49630"/>
        <c:crosses val="autoZero"/>
        <c:crossBetween val="midCat"/>
        <c:dispUnits/>
        <c:majorUnit val="45"/>
      </c:valAx>
      <c:valAx>
        <c:axId val="26349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Switching 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84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Low Line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'PFC Phase Study'!$C$9:$C$31</c:f>
              <c:numCache/>
            </c:numRef>
          </c:xVal>
          <c:yVal>
            <c:numRef>
              <c:f>'PFC Phase Study'!$D$9:$D$31</c:f>
              <c:numCache/>
            </c:numRef>
          </c:yVal>
          <c:smooth val="0"/>
        </c:ser>
        <c:axId val="35820079"/>
        <c:axId val="53945256"/>
      </c:scatterChart>
      <c:valAx>
        <c:axId val="35820079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45256"/>
        <c:crosses val="autoZero"/>
        <c:crossBetween val="midCat"/>
        <c:dispUnits/>
        <c:majorUnit val="45"/>
      </c:valAx>
      <c:valAx>
        <c:axId val="53945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Input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200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High Line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'PFC Phase Study'!$C$34:$C$56</c:f>
              <c:numCache/>
            </c:numRef>
          </c:xVal>
          <c:yVal>
            <c:numRef>
              <c:f>'PFC Phase Study'!$D$34:$D$56</c:f>
              <c:numCache/>
            </c:numRef>
          </c:yVal>
          <c:smooth val="0"/>
        </c:ser>
        <c:axId val="15745257"/>
        <c:axId val="7489586"/>
      </c:scatterChart>
      <c:valAx>
        <c:axId val="15745257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crossBetween val="midCat"/>
        <c:dispUnits/>
        <c:majorUnit val="45"/>
      </c:valAx>
      <c:valAx>
        <c:axId val="7489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Input 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9525</xdr:rowOff>
    </xdr:from>
    <xdr:to>
      <xdr:col>5</xdr:col>
      <xdr:colOff>76200</xdr:colOff>
      <xdr:row>5</xdr:row>
      <xdr:rowOff>28575</xdr:rowOff>
    </xdr:to>
    <xdr:pic>
      <xdr:nvPicPr>
        <xdr:cNvPr id="1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437197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</xdr:row>
      <xdr:rowOff>123825</xdr:rowOff>
    </xdr:from>
    <xdr:to>
      <xdr:col>9</xdr:col>
      <xdr:colOff>419100</xdr:colOff>
      <xdr:row>2</xdr:row>
      <xdr:rowOff>200025</xdr:rowOff>
    </xdr:to>
    <xdr:pic>
      <xdr:nvPicPr>
        <xdr:cNvPr id="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323850"/>
          <a:ext cx="2362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1</xdr:row>
      <xdr:rowOff>47625</xdr:rowOff>
    </xdr:from>
    <xdr:to>
      <xdr:col>10</xdr:col>
      <xdr:colOff>514350</xdr:colOff>
      <xdr:row>1</xdr:row>
      <xdr:rowOff>2324100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47650"/>
          <a:ext cx="23622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4</xdr:col>
      <xdr:colOff>523875</xdr:colOff>
      <xdr:row>4</xdr:row>
      <xdr:rowOff>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00025"/>
          <a:ext cx="44958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114300</xdr:rowOff>
    </xdr:from>
    <xdr:to>
      <xdr:col>0</xdr:col>
      <xdr:colOff>4914900</xdr:colOff>
      <xdr:row>61</xdr:row>
      <xdr:rowOff>28575</xdr:rowOff>
    </xdr:to>
    <xdr:graphicFrame>
      <xdr:nvGraphicFramePr>
        <xdr:cNvPr id="1" name="Chart 1"/>
        <xdr:cNvGraphicFramePr/>
      </xdr:nvGraphicFramePr>
      <xdr:xfrm>
        <a:off x="38100" y="9505950"/>
        <a:ext cx="48768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24</xdr:row>
      <xdr:rowOff>76200</xdr:rowOff>
    </xdr:from>
    <xdr:to>
      <xdr:col>0</xdr:col>
      <xdr:colOff>4914900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38100" y="6553200"/>
        <a:ext cx="48768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4914900</xdr:colOff>
      <xdr:row>42</xdr:row>
      <xdr:rowOff>114300</xdr:rowOff>
    </xdr:from>
    <xdr:to>
      <xdr:col>1</xdr:col>
      <xdr:colOff>95250</xdr:colOff>
      <xdr:row>61</xdr:row>
      <xdr:rowOff>28575</xdr:rowOff>
    </xdr:to>
    <xdr:graphicFrame>
      <xdr:nvGraphicFramePr>
        <xdr:cNvPr id="3" name="Chart 3"/>
        <xdr:cNvGraphicFramePr/>
      </xdr:nvGraphicFramePr>
      <xdr:xfrm>
        <a:off x="4914900" y="9505950"/>
        <a:ext cx="48768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4914900</xdr:colOff>
      <xdr:row>24</xdr:row>
      <xdr:rowOff>76200</xdr:rowOff>
    </xdr:from>
    <xdr:to>
      <xdr:col>1</xdr:col>
      <xdr:colOff>95250</xdr:colOff>
      <xdr:row>42</xdr:row>
      <xdr:rowOff>152400</xdr:rowOff>
    </xdr:to>
    <xdr:graphicFrame>
      <xdr:nvGraphicFramePr>
        <xdr:cNvPr id="4" name="Chart 4"/>
        <xdr:cNvGraphicFramePr/>
      </xdr:nvGraphicFramePr>
      <xdr:xfrm>
        <a:off x="4914900" y="6553200"/>
        <a:ext cx="4876800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6</xdr:row>
      <xdr:rowOff>9525</xdr:rowOff>
    </xdr:from>
    <xdr:to>
      <xdr:col>0</xdr:col>
      <xdr:colOff>4914900</xdr:colOff>
      <xdr:row>24</xdr:row>
      <xdr:rowOff>76200</xdr:rowOff>
    </xdr:to>
    <xdr:graphicFrame>
      <xdr:nvGraphicFramePr>
        <xdr:cNvPr id="5" name="Chart 5"/>
        <xdr:cNvGraphicFramePr/>
      </xdr:nvGraphicFramePr>
      <xdr:xfrm>
        <a:off x="47625" y="3571875"/>
        <a:ext cx="486727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4914900</xdr:colOff>
      <xdr:row>6</xdr:row>
      <xdr:rowOff>0</xdr:rowOff>
    </xdr:from>
    <xdr:to>
      <xdr:col>1</xdr:col>
      <xdr:colOff>95250</xdr:colOff>
      <xdr:row>24</xdr:row>
      <xdr:rowOff>76200</xdr:rowOff>
    </xdr:to>
    <xdr:graphicFrame>
      <xdr:nvGraphicFramePr>
        <xdr:cNvPr id="6" name="Chart 6"/>
        <xdr:cNvGraphicFramePr/>
      </xdr:nvGraphicFramePr>
      <xdr:xfrm>
        <a:off x="4914900" y="3562350"/>
        <a:ext cx="4876800" cy="2990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47625</xdr:colOff>
      <xdr:row>1</xdr:row>
      <xdr:rowOff>28575</xdr:rowOff>
    </xdr:from>
    <xdr:to>
      <xdr:col>0</xdr:col>
      <xdr:colOff>2409825</xdr:colOff>
      <xdr:row>1</xdr:row>
      <xdr:rowOff>2305050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228600"/>
          <a:ext cx="23622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15</xdr:row>
      <xdr:rowOff>38100</xdr:rowOff>
    </xdr:from>
    <xdr:to>
      <xdr:col>7</xdr:col>
      <xdr:colOff>161925</xdr:colOff>
      <xdr:row>15</xdr:row>
      <xdr:rowOff>1990725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962525"/>
          <a:ext cx="53625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27</xdr:row>
      <xdr:rowOff>76200</xdr:rowOff>
    </xdr:from>
    <xdr:to>
      <xdr:col>5</xdr:col>
      <xdr:colOff>371475</xdr:colOff>
      <xdr:row>27</xdr:row>
      <xdr:rowOff>2390775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8772525"/>
          <a:ext cx="43148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85725</xdr:rowOff>
    </xdr:from>
    <xdr:to>
      <xdr:col>2</xdr:col>
      <xdr:colOff>276225</xdr:colOff>
      <xdr:row>1</xdr:row>
      <xdr:rowOff>2362200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85750"/>
          <a:ext cx="23622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hou.wong@onsemi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hou.wong@onsemi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9.421875" style="0" customWidth="1"/>
    <col min="5" max="5" width="9.28125" style="0" customWidth="1"/>
    <col min="7" max="7" width="13.7109375" style="0" customWidth="1"/>
    <col min="8" max="8" width="8.00390625" style="0" customWidth="1"/>
  </cols>
  <sheetData>
    <row r="1" ht="15.75">
      <c r="A1" s="5" t="s">
        <v>242</v>
      </c>
    </row>
    <row r="2" ht="173.25" customHeight="1">
      <c r="A2" s="20"/>
    </row>
    <row r="3" spans="1:5" ht="20.25">
      <c r="A3" s="20"/>
      <c r="E3" s="21"/>
    </row>
    <row r="4" ht="20.25">
      <c r="A4" s="20"/>
    </row>
    <row r="5" spans="1:9" ht="14.25" customHeight="1">
      <c r="A5" s="20"/>
      <c r="G5" s="2" t="s">
        <v>1</v>
      </c>
      <c r="I5" t="s">
        <v>9</v>
      </c>
    </row>
    <row r="6" spans="7:9" ht="12.75">
      <c r="G6" s="1" t="s">
        <v>0</v>
      </c>
      <c r="I6" t="s">
        <v>233</v>
      </c>
    </row>
    <row r="7" spans="1:9" ht="12.75">
      <c r="A7" s="7" t="s">
        <v>90</v>
      </c>
      <c r="G7" s="11" t="s">
        <v>148</v>
      </c>
      <c r="I7" s="4" t="s">
        <v>4</v>
      </c>
    </row>
    <row r="8" spans="1:6" ht="12.75">
      <c r="A8" t="s">
        <v>240</v>
      </c>
      <c r="E8" s="26">
        <v>420</v>
      </c>
      <c r="F8" t="s">
        <v>19</v>
      </c>
    </row>
    <row r="9" spans="1:7" ht="12.75">
      <c r="A9" t="s">
        <v>241</v>
      </c>
      <c r="E9" s="26">
        <v>100</v>
      </c>
      <c r="F9" t="s">
        <v>19</v>
      </c>
      <c r="G9" s="22" t="s">
        <v>149</v>
      </c>
    </row>
    <row r="10" spans="1:8" ht="12.75">
      <c r="A10" t="s">
        <v>91</v>
      </c>
      <c r="E10" s="26">
        <v>19</v>
      </c>
      <c r="F10" t="s">
        <v>19</v>
      </c>
      <c r="G10" s="22" t="s">
        <v>150</v>
      </c>
      <c r="H10" s="4"/>
    </row>
    <row r="11" spans="1:8" ht="12.75">
      <c r="A11" t="s">
        <v>92</v>
      </c>
      <c r="E11" s="26">
        <v>1</v>
      </c>
      <c r="F11" t="s">
        <v>19</v>
      </c>
      <c r="H11" s="4"/>
    </row>
    <row r="12" spans="1:6" ht="12.75">
      <c r="A12" t="s">
        <v>93</v>
      </c>
      <c r="E12" s="26">
        <v>6.4</v>
      </c>
      <c r="F12" t="s">
        <v>3</v>
      </c>
    </row>
    <row r="13" spans="1:7" ht="12.75">
      <c r="A13" t="s">
        <v>102</v>
      </c>
      <c r="E13" s="10">
        <f>E12*E10</f>
        <v>121.60000000000001</v>
      </c>
      <c r="F13" t="s">
        <v>2</v>
      </c>
      <c r="G13" t="s">
        <v>103</v>
      </c>
    </row>
    <row r="14" spans="1:6" ht="12.75">
      <c r="A14" t="s">
        <v>94</v>
      </c>
      <c r="E14" s="26">
        <v>5.58</v>
      </c>
      <c r="F14" t="s">
        <v>95</v>
      </c>
    </row>
    <row r="15" spans="1:7" ht="12.75">
      <c r="A15" t="s">
        <v>96</v>
      </c>
      <c r="E15" s="10">
        <f>E14*(E10+E11)/(E14*(E10+E11)+E8)*100</f>
        <v>20.993227990970652</v>
      </c>
      <c r="F15" t="s">
        <v>22</v>
      </c>
      <c r="G15" s="22" t="s">
        <v>157</v>
      </c>
    </row>
    <row r="16" spans="1:7" ht="12.75">
      <c r="A16" t="s">
        <v>98</v>
      </c>
      <c r="E16" s="10">
        <f>E14*(E10+E11)/(E14*(E10+E11)+E9)*100</f>
        <v>52.74102079395085</v>
      </c>
      <c r="F16" t="s">
        <v>22</v>
      </c>
      <c r="G16" t="s">
        <v>97</v>
      </c>
    </row>
    <row r="17" spans="1:7" ht="12.75">
      <c r="A17" t="s">
        <v>139</v>
      </c>
      <c r="E17" s="10">
        <f>E8/E14+E10</f>
        <v>94.26881720430107</v>
      </c>
      <c r="F17" t="s">
        <v>19</v>
      </c>
      <c r="G17" t="s">
        <v>140</v>
      </c>
    </row>
    <row r="18" spans="1:7" ht="12.75">
      <c r="A18" t="s">
        <v>221</v>
      </c>
      <c r="E18" s="10">
        <f>E8+(E10+E11)*E14</f>
        <v>531.6</v>
      </c>
      <c r="F18" t="s">
        <v>19</v>
      </c>
      <c r="G18" t="s">
        <v>138</v>
      </c>
    </row>
    <row r="19" spans="1:6" ht="12.75">
      <c r="A19" t="s">
        <v>158</v>
      </c>
      <c r="E19" s="26">
        <v>4</v>
      </c>
      <c r="F19" t="s">
        <v>3</v>
      </c>
    </row>
    <row r="20" spans="1:7" ht="12.75">
      <c r="A20" t="s">
        <v>152</v>
      </c>
      <c r="E20" s="2">
        <f>1/E19</f>
        <v>0.25</v>
      </c>
      <c r="F20" t="s">
        <v>151</v>
      </c>
      <c r="G20" t="s">
        <v>156</v>
      </c>
    </row>
    <row r="21" spans="1:7" ht="12.75">
      <c r="A21" t="s">
        <v>99</v>
      </c>
      <c r="E21" s="10">
        <f>E15/100*E8*E19</f>
        <v>352.68623024830697</v>
      </c>
      <c r="F21" t="s">
        <v>2</v>
      </c>
      <c r="G21" t="s">
        <v>100</v>
      </c>
    </row>
    <row r="22" spans="1:6" ht="12.75">
      <c r="A22" t="s">
        <v>101</v>
      </c>
      <c r="E22" s="10">
        <f>E16/100*E9*E19</f>
        <v>210.9640831758034</v>
      </c>
      <c r="F22" t="s">
        <v>2</v>
      </c>
    </row>
    <row r="23" spans="1:7" ht="12.75">
      <c r="A23" t="s">
        <v>104</v>
      </c>
      <c r="E23" s="10">
        <f>E13/E21*100</f>
        <v>34.478238607270875</v>
      </c>
      <c r="F23" t="s">
        <v>22</v>
      </c>
      <c r="G23" t="s">
        <v>105</v>
      </c>
    </row>
    <row r="24" spans="1:7" ht="12.75">
      <c r="A24" t="s">
        <v>106</v>
      </c>
      <c r="E24" s="10">
        <f>E13/E22*100</f>
        <v>57.64014336917563</v>
      </c>
      <c r="F24" t="s">
        <v>22</v>
      </c>
      <c r="G24" s="22" t="s">
        <v>107</v>
      </c>
    </row>
    <row r="26" ht="12.75">
      <c r="A26" s="7" t="s">
        <v>108</v>
      </c>
    </row>
    <row r="27" spans="1:7" ht="12.75">
      <c r="A27" t="s">
        <v>153</v>
      </c>
      <c r="E27" s="11">
        <v>100</v>
      </c>
      <c r="F27" t="s">
        <v>6</v>
      </c>
      <c r="G27" s="3" t="s">
        <v>154</v>
      </c>
    </row>
    <row r="28" spans="1:7" ht="12.75">
      <c r="A28" t="s">
        <v>109</v>
      </c>
      <c r="E28" s="10">
        <f>E8*E15/100/E19/E27*1000</f>
        <v>220.42889390519184</v>
      </c>
      <c r="F28" t="s">
        <v>219</v>
      </c>
      <c r="G28" t="s">
        <v>110</v>
      </c>
    </row>
    <row r="29" spans="1:6" ht="12.75">
      <c r="A29" t="s">
        <v>111</v>
      </c>
      <c r="E29" s="10">
        <f>E9*E16/100/E19/E27*1000</f>
        <v>131.85255198487712</v>
      </c>
      <c r="F29" t="s">
        <v>219</v>
      </c>
    </row>
    <row r="30" spans="1:7" ht="12.75">
      <c r="A30" t="s">
        <v>112</v>
      </c>
      <c r="E30" s="26">
        <v>420</v>
      </c>
      <c r="F30" t="s">
        <v>219</v>
      </c>
      <c r="G30" s="3" t="s">
        <v>147</v>
      </c>
    </row>
    <row r="31" spans="1:7" ht="12.75">
      <c r="A31" t="s">
        <v>113</v>
      </c>
      <c r="E31" s="10">
        <f>E15/100/E27*E8/E30*1000</f>
        <v>2.0993227990970653</v>
      </c>
      <c r="F31" t="s">
        <v>3</v>
      </c>
      <c r="G31" t="s">
        <v>114</v>
      </c>
    </row>
    <row r="32" spans="1:7" ht="12.75">
      <c r="A32" t="s">
        <v>115</v>
      </c>
      <c r="E32" s="10">
        <f>E16/100/E27*E9/E30*1000</f>
        <v>1.2557385903321634</v>
      </c>
      <c r="F32" t="s">
        <v>3</v>
      </c>
      <c r="G32" s="22" t="s">
        <v>116</v>
      </c>
    </row>
    <row r="34" spans="1:7" ht="12.75">
      <c r="A34" s="7" t="s">
        <v>117</v>
      </c>
      <c r="G34" s="9"/>
    </row>
    <row r="35" ht="12.75">
      <c r="A35" s="3" t="s">
        <v>118</v>
      </c>
    </row>
    <row r="36" spans="1:7" ht="12.75">
      <c r="A36" t="s">
        <v>119</v>
      </c>
      <c r="E36" s="10">
        <f>E15/100*E8*(E19-E31/2)</f>
        <v>260.13594973732353</v>
      </c>
      <c r="F36" t="s">
        <v>2</v>
      </c>
      <c r="G36" t="s">
        <v>120</v>
      </c>
    </row>
    <row r="37" spans="1:6" ht="12.75">
      <c r="A37" t="s">
        <v>121</v>
      </c>
      <c r="E37" s="10">
        <f>E16/100*E9*(E19-E32/2)</f>
        <v>177.84961562356582</v>
      </c>
      <c r="F37" t="s">
        <v>2</v>
      </c>
    </row>
    <row r="38" spans="1:7" ht="12.75">
      <c r="A38" t="s">
        <v>122</v>
      </c>
      <c r="E38" s="10">
        <f>E13/E36*100</f>
        <v>46.74478868560365</v>
      </c>
      <c r="F38" t="s">
        <v>22</v>
      </c>
      <c r="G38" t="s">
        <v>105</v>
      </c>
    </row>
    <row r="39" spans="1:7" ht="12.75">
      <c r="A39" t="s">
        <v>123</v>
      </c>
      <c r="E39" s="10">
        <f>E13/E37*100</f>
        <v>68.37237155315364</v>
      </c>
      <c r="F39" t="s">
        <v>22</v>
      </c>
      <c r="G39" s="22" t="s">
        <v>107</v>
      </c>
    </row>
    <row r="41" ht="12.75">
      <c r="A41" s="7" t="s">
        <v>124</v>
      </c>
    </row>
    <row r="42" ht="12.75">
      <c r="A42" s="3" t="s">
        <v>125</v>
      </c>
    </row>
    <row r="43" spans="1:7" ht="12.75">
      <c r="A43" t="s">
        <v>126</v>
      </c>
      <c r="E43" s="10">
        <f>E19*E27*E30/E8/1000*100</f>
        <v>40</v>
      </c>
      <c r="F43" t="s">
        <v>22</v>
      </c>
      <c r="G43" t="s">
        <v>127</v>
      </c>
    </row>
    <row r="44" spans="1:7" ht="12.75">
      <c r="A44" t="s">
        <v>128</v>
      </c>
      <c r="E44" s="10">
        <f>E19*E27*E30/E9/1000*100</f>
        <v>168</v>
      </c>
      <c r="F44" t="s">
        <v>22</v>
      </c>
      <c r="G44" s="22" t="s">
        <v>157</v>
      </c>
    </row>
    <row r="45" spans="1:7" ht="12.75">
      <c r="A45" t="s">
        <v>129</v>
      </c>
      <c r="E45" s="10">
        <f>E8/(E10+E11)/E14*E43</f>
        <v>150.53763440860214</v>
      </c>
      <c r="F45" t="s">
        <v>22</v>
      </c>
      <c r="G45" t="s">
        <v>130</v>
      </c>
    </row>
    <row r="46" spans="1:7" ht="12.75">
      <c r="A46" t="s">
        <v>131</v>
      </c>
      <c r="E46" s="10">
        <f>E9/(E10+E11)/E14*E44</f>
        <v>150.53763440860214</v>
      </c>
      <c r="F46" t="s">
        <v>22</v>
      </c>
      <c r="G46" s="22" t="s">
        <v>132</v>
      </c>
    </row>
    <row r="47" spans="1:7" ht="12.75">
      <c r="A47" t="s">
        <v>133</v>
      </c>
      <c r="E47" s="10">
        <f>E43/100*E19/2*E8</f>
        <v>336</v>
      </c>
      <c r="F47" t="s">
        <v>2</v>
      </c>
      <c r="G47" t="s">
        <v>134</v>
      </c>
    </row>
    <row r="48" spans="1:6" ht="12.75">
      <c r="A48" t="s">
        <v>135</v>
      </c>
      <c r="E48" s="10">
        <f>E44/100*E19/2*E9</f>
        <v>336</v>
      </c>
      <c r="F48" t="s">
        <v>2</v>
      </c>
    </row>
    <row r="49" spans="1:7" ht="12.75">
      <c r="A49" t="s">
        <v>136</v>
      </c>
      <c r="E49" s="10">
        <f>E13/E47*100</f>
        <v>36.1904761904762</v>
      </c>
      <c r="F49" t="s">
        <v>22</v>
      </c>
      <c r="G49" t="s">
        <v>105</v>
      </c>
    </row>
    <row r="50" spans="1:7" ht="12.75">
      <c r="A50" t="s">
        <v>137</v>
      </c>
      <c r="E50" s="10">
        <f>E13/E48*100</f>
        <v>36.1904761904762</v>
      </c>
      <c r="F50" t="s">
        <v>22</v>
      </c>
      <c r="G50" s="22" t="s">
        <v>107</v>
      </c>
    </row>
    <row r="52" ht="12.75">
      <c r="A52" s="7" t="s">
        <v>222</v>
      </c>
    </row>
    <row r="53" spans="1:6" ht="12.75">
      <c r="A53" t="s">
        <v>223</v>
      </c>
      <c r="E53" s="26">
        <v>6.5</v>
      </c>
      <c r="F53" t="s">
        <v>219</v>
      </c>
    </row>
    <row r="54" spans="1:7" ht="12.75">
      <c r="A54" t="s">
        <v>224</v>
      </c>
      <c r="E54" s="2">
        <f>0.5*E53*E19^2*E27/1000</f>
        <v>5.2</v>
      </c>
      <c r="F54" t="s">
        <v>2</v>
      </c>
      <c r="G54" t="s">
        <v>227</v>
      </c>
    </row>
    <row r="55" spans="1:6" ht="12.75">
      <c r="A55" t="s">
        <v>225</v>
      </c>
      <c r="E55" s="26">
        <v>4.7</v>
      </c>
      <c r="F55" t="s">
        <v>217</v>
      </c>
    </row>
    <row r="56" spans="1:7" ht="12.75">
      <c r="A56" t="s">
        <v>226</v>
      </c>
      <c r="E56" s="10">
        <f>SQRT(E54*E55*1000)</f>
        <v>156.33297796690243</v>
      </c>
      <c r="F56" t="s">
        <v>19</v>
      </c>
      <c r="G56" t="s">
        <v>228</v>
      </c>
    </row>
    <row r="57" spans="1:7" ht="12.75">
      <c r="A57" t="s">
        <v>229</v>
      </c>
      <c r="E57" s="10">
        <f>E56+E8</f>
        <v>576.3329779669025</v>
      </c>
      <c r="F57" t="s">
        <v>19</v>
      </c>
      <c r="G57" t="s">
        <v>230</v>
      </c>
    </row>
    <row r="58" spans="1:7" ht="12.75">
      <c r="A58" t="s">
        <v>231</v>
      </c>
      <c r="E58" s="10">
        <f>2*E54/E56^2/E27*1000000</f>
        <v>4.25531914893617</v>
      </c>
      <c r="F58" t="s">
        <v>7</v>
      </c>
      <c r="G58" t="s">
        <v>232</v>
      </c>
    </row>
    <row r="60" ht="12.75">
      <c r="A60" s="7" t="s">
        <v>155</v>
      </c>
    </row>
    <row r="61" spans="1:6" ht="12.75">
      <c r="A61" t="s">
        <v>141</v>
      </c>
      <c r="E61" s="26">
        <v>15</v>
      </c>
      <c r="F61" t="s">
        <v>19</v>
      </c>
    </row>
    <row r="62" spans="1:6" ht="12.75">
      <c r="A62" t="s">
        <v>142</v>
      </c>
      <c r="E62" s="26">
        <v>0.8</v>
      </c>
      <c r="F62" t="s">
        <v>19</v>
      </c>
    </row>
    <row r="63" spans="1:7" ht="12.75">
      <c r="A63" t="s">
        <v>143</v>
      </c>
      <c r="E63" s="10">
        <f>E14*(E10+E11)/(E61+E62)</f>
        <v>7.063291139240506</v>
      </c>
      <c r="F63" t="s">
        <v>95</v>
      </c>
      <c r="G63" t="s">
        <v>144</v>
      </c>
    </row>
    <row r="64" spans="1:7" ht="12.75">
      <c r="A64" t="s">
        <v>145</v>
      </c>
      <c r="E64" s="10">
        <f>E61+E8/E63</f>
        <v>74.46236559139786</v>
      </c>
      <c r="F64" t="s">
        <v>19</v>
      </c>
      <c r="G64" t="s">
        <v>146</v>
      </c>
    </row>
  </sheetData>
  <sheetProtection sheet="1" objects="1" scenarios="1"/>
  <conditionalFormatting sqref="E43:E44 E15:E16">
    <cfRule type="cellIs" priority="1" dxfId="0" operator="notBetween" stopIfTrue="1">
      <formula>20</formula>
      <formula>80</formula>
    </cfRule>
  </conditionalFormatting>
  <hyperlinks>
    <hyperlink ref="I7" r:id="rId1" display="kahou.wong@onsemi.com"/>
  </hyperlinks>
  <printOptions/>
  <pageMargins left="0.75" right="0.75" top="1" bottom="1" header="0.5" footer="0.5"/>
  <pageSetup horizontalDpi="600" verticalDpi="600" orientation="portrait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E16" sqref="E16"/>
    </sheetView>
  </sheetViews>
  <sheetFormatPr defaultColWidth="9.140625" defaultRowHeight="12.75"/>
  <cols>
    <col min="1" max="1" width="32.7109375" style="0" customWidth="1"/>
    <col min="6" max="6" width="11.7109375" style="0" customWidth="1"/>
    <col min="7" max="7" width="9.140625" style="9" customWidth="1"/>
    <col min="8" max="8" width="10.00390625" style="0" customWidth="1"/>
  </cols>
  <sheetData>
    <row r="1" ht="15.75">
      <c r="A1" s="5" t="s">
        <v>84</v>
      </c>
    </row>
    <row r="2" ht="202.5" customHeight="1">
      <c r="I2" s="8"/>
    </row>
    <row r="3" ht="12.75"/>
    <row r="4" spans="8:10" ht="12.75">
      <c r="H4" s="17" t="s">
        <v>0</v>
      </c>
      <c r="J4" t="s">
        <v>9</v>
      </c>
    </row>
    <row r="5" spans="8:10" ht="12.75">
      <c r="H5" s="18" t="s">
        <v>1</v>
      </c>
      <c r="J5" t="s">
        <v>233</v>
      </c>
    </row>
    <row r="6" spans="1:10" ht="12.75">
      <c r="A6" s="7" t="s">
        <v>50</v>
      </c>
      <c r="J6" s="4" t="s">
        <v>4</v>
      </c>
    </row>
    <row r="7" spans="1:6" ht="12.75">
      <c r="A7" t="s">
        <v>11</v>
      </c>
      <c r="E7" s="26">
        <v>260</v>
      </c>
      <c r="F7" t="s">
        <v>42</v>
      </c>
    </row>
    <row r="8" spans="1:6" ht="12.75">
      <c r="A8" t="s">
        <v>10</v>
      </c>
      <c r="E8" s="26">
        <v>90</v>
      </c>
      <c r="F8" t="s">
        <v>42</v>
      </c>
    </row>
    <row r="9" spans="1:7" ht="12.75">
      <c r="A9" t="s">
        <v>77</v>
      </c>
      <c r="E9" s="26">
        <v>380</v>
      </c>
      <c r="F9" t="s">
        <v>5</v>
      </c>
      <c r="G9" s="22" t="s">
        <v>187</v>
      </c>
    </row>
    <row r="10" spans="1:7" ht="12.75">
      <c r="A10" t="s">
        <v>86</v>
      </c>
      <c r="E10" s="2">
        <f>(E9-4)/0.0002*0.000001</f>
        <v>1.88</v>
      </c>
      <c r="F10" t="s">
        <v>216</v>
      </c>
      <c r="G10" s="9" t="s">
        <v>193</v>
      </c>
    </row>
    <row r="11" spans="1:7" ht="12.75">
      <c r="A11" t="s">
        <v>78</v>
      </c>
      <c r="E11" s="2">
        <f>225*E10+5</f>
        <v>428</v>
      </c>
      <c r="F11" t="s">
        <v>5</v>
      </c>
      <c r="G11" s="9" t="s">
        <v>194</v>
      </c>
    </row>
    <row r="12" spans="1:7" ht="12.75">
      <c r="A12" t="s">
        <v>12</v>
      </c>
      <c r="E12" s="2">
        <f>E10*28</f>
        <v>52.64</v>
      </c>
      <c r="F12" t="s">
        <v>5</v>
      </c>
      <c r="G12" s="9" t="s">
        <v>195</v>
      </c>
    </row>
    <row r="13" spans="1:6" ht="12.75">
      <c r="A13" t="s">
        <v>245</v>
      </c>
      <c r="E13" s="26">
        <v>90</v>
      </c>
      <c r="F13" t="s">
        <v>22</v>
      </c>
    </row>
    <row r="14" spans="1:7" ht="12.75">
      <c r="A14" t="s">
        <v>235</v>
      </c>
      <c r="E14" s="10">
        <f>'PWM Flyback'!$E$13*100/E13</f>
        <v>135.11111111111111</v>
      </c>
      <c r="F14" t="s">
        <v>2</v>
      </c>
      <c r="G14" s="3" t="s">
        <v>244</v>
      </c>
    </row>
    <row r="15" spans="1:7" ht="12.75">
      <c r="A15" t="s">
        <v>236</v>
      </c>
      <c r="E15" s="26">
        <v>150</v>
      </c>
      <c r="F15" t="s">
        <v>2</v>
      </c>
      <c r="G15" s="22" t="s">
        <v>237</v>
      </c>
    </row>
    <row r="16" spans="1:6" ht="12.75">
      <c r="A16" t="s">
        <v>57</v>
      </c>
      <c r="E16" s="26">
        <v>90</v>
      </c>
      <c r="F16" t="s">
        <v>22</v>
      </c>
    </row>
    <row r="17" spans="1:7" ht="12.75">
      <c r="A17" t="s">
        <v>62</v>
      </c>
      <c r="E17" s="10">
        <f>E15/E16*100/E8</f>
        <v>1.851851851851852</v>
      </c>
      <c r="F17" t="s">
        <v>43</v>
      </c>
      <c r="G17" s="9" t="s">
        <v>196</v>
      </c>
    </row>
    <row r="18" spans="1:7" ht="12.75">
      <c r="A18" t="s">
        <v>13</v>
      </c>
      <c r="E18" s="26">
        <v>100</v>
      </c>
      <c r="F18" t="s">
        <v>8</v>
      </c>
      <c r="G18" s="9" t="s">
        <v>197</v>
      </c>
    </row>
    <row r="19" spans="1:6" ht="12.75">
      <c r="A19" t="s">
        <v>48</v>
      </c>
      <c r="E19" s="10">
        <f>36/(E18+36)*405</f>
        <v>107.20588235294117</v>
      </c>
      <c r="F19" t="s">
        <v>6</v>
      </c>
    </row>
    <row r="20" spans="1:7" ht="12.75">
      <c r="A20" t="s">
        <v>45</v>
      </c>
      <c r="E20" s="10">
        <f>1000/E19</f>
        <v>9.327846364883403</v>
      </c>
      <c r="F20" t="s">
        <v>220</v>
      </c>
      <c r="G20" s="9" t="s">
        <v>198</v>
      </c>
    </row>
    <row r="21" spans="1:7" ht="12.75">
      <c r="A21" t="s">
        <v>74</v>
      </c>
      <c r="E21" s="10">
        <f>E8/2/E17*(E9-SQRT(2)*E8)/E9/E19*1000</f>
        <v>150.74572805505838</v>
      </c>
      <c r="F21" t="s">
        <v>219</v>
      </c>
      <c r="G21" s="9" t="s">
        <v>199</v>
      </c>
    </row>
    <row r="22" spans="1:7" ht="12.75">
      <c r="A22" t="s">
        <v>21</v>
      </c>
      <c r="E22" s="26">
        <v>180</v>
      </c>
      <c r="F22" t="s">
        <v>219</v>
      </c>
      <c r="G22" s="22" t="s">
        <v>188</v>
      </c>
    </row>
    <row r="23" spans="1:7" ht="12.75">
      <c r="A23" t="s">
        <v>63</v>
      </c>
      <c r="E23" s="10">
        <f>2*SQRT(2)*E17</f>
        <v>5.237828008789242</v>
      </c>
      <c r="F23" t="s">
        <v>3</v>
      </c>
      <c r="G23" s="9" t="s">
        <v>200</v>
      </c>
    </row>
    <row r="24" spans="1:7" ht="12.75">
      <c r="A24" t="s">
        <v>44</v>
      </c>
      <c r="E24" s="16">
        <f>E17/E8*2*E22*0.0001*1000</f>
        <v>0.7407407407407409</v>
      </c>
      <c r="F24" t="s">
        <v>7</v>
      </c>
      <c r="G24" s="9" t="s">
        <v>201</v>
      </c>
    </row>
    <row r="25" spans="1:7" ht="12.75">
      <c r="A25" t="s">
        <v>14</v>
      </c>
      <c r="E25" s="26">
        <v>1</v>
      </c>
      <c r="F25" t="s">
        <v>7</v>
      </c>
      <c r="G25" s="3" t="s">
        <v>83</v>
      </c>
    </row>
    <row r="26" spans="1:7" ht="12.75">
      <c r="A26" t="s">
        <v>79</v>
      </c>
      <c r="E26" s="10">
        <f>20*E22/E8/E8/E25*E15/E16</f>
        <v>0.7407407407407406</v>
      </c>
      <c r="F26" t="s">
        <v>19</v>
      </c>
      <c r="G26" s="9" t="s">
        <v>202</v>
      </c>
    </row>
    <row r="27" spans="1:7" ht="12.75">
      <c r="A27" t="s">
        <v>80</v>
      </c>
      <c r="E27" s="10">
        <f>20*E22/E7/E7/E25*E15/E16</f>
        <v>0.08875739644970415</v>
      </c>
      <c r="F27" t="s">
        <v>19</v>
      </c>
      <c r="G27" s="22" t="s">
        <v>189</v>
      </c>
    </row>
    <row r="28" spans="1:7" ht="12.75">
      <c r="A28" t="s">
        <v>76</v>
      </c>
      <c r="E28" s="10">
        <f>(E9-4)*(1-0.04*E26)+4</f>
        <v>368.85925925925926</v>
      </c>
      <c r="F28" t="s">
        <v>19</v>
      </c>
      <c r="G28" s="3" t="s">
        <v>81</v>
      </c>
    </row>
    <row r="29" spans="1:7" ht="12.75">
      <c r="A29" t="s">
        <v>75</v>
      </c>
      <c r="E29" s="10">
        <f>(E9-4)*(1-0.04*E27)+4</f>
        <v>378.66508875739646</v>
      </c>
      <c r="F29" t="s">
        <v>19</v>
      </c>
      <c r="G29" s="3" t="s">
        <v>82</v>
      </c>
    </row>
    <row r="30" ht="12.75">
      <c r="E30" s="13"/>
    </row>
    <row r="31" spans="1:7" ht="12.75">
      <c r="A31" s="7" t="s">
        <v>56</v>
      </c>
      <c r="E31" s="13"/>
      <c r="G31" s="6"/>
    </row>
    <row r="32" spans="1:7" ht="12.75">
      <c r="A32" t="s">
        <v>71</v>
      </c>
      <c r="E32" s="10">
        <f>E28/(E28-SQRT(2)*E8)*E25*E26/0.0001/1000</f>
        <v>11.310085157057314</v>
      </c>
      <c r="F32" t="s">
        <v>220</v>
      </c>
      <c r="G32" s="9" t="s">
        <v>203</v>
      </c>
    </row>
    <row r="33" spans="1:7" ht="12.75">
      <c r="A33" t="s">
        <v>72</v>
      </c>
      <c r="E33" s="10">
        <f>E29/(E29-SQRT(2)*E7)*E25*E27/0.0001/1000</f>
        <v>30.63871260202726</v>
      </c>
      <c r="F33" t="s">
        <v>220</v>
      </c>
      <c r="G33" s="22" t="s">
        <v>190</v>
      </c>
    </row>
    <row r="34" spans="1:7" ht="12.75">
      <c r="A34" t="s">
        <v>70</v>
      </c>
      <c r="E34" s="10">
        <f>E25*E26/0.0001/1000</f>
        <v>7.407407407407405</v>
      </c>
      <c r="F34" t="s">
        <v>220</v>
      </c>
      <c r="G34" s="9" t="s">
        <v>204</v>
      </c>
    </row>
    <row r="35" spans="1:6" ht="12.75">
      <c r="A35" t="s">
        <v>69</v>
      </c>
      <c r="E35" s="10">
        <f>E25*E27/0.0001/1000</f>
        <v>0.8875739644970415</v>
      </c>
      <c r="F35" t="s">
        <v>220</v>
      </c>
    </row>
    <row r="36" spans="1:7" ht="12.75">
      <c r="A36" t="s">
        <v>73</v>
      </c>
      <c r="E36" s="10">
        <f>SQRT(2)*E8*E34/E22</f>
        <v>5.237828008789239</v>
      </c>
      <c r="F36" t="s">
        <v>3</v>
      </c>
      <c r="G36" s="9" t="s">
        <v>205</v>
      </c>
    </row>
    <row r="37" spans="1:5" ht="12.75">
      <c r="A37" s="7" t="s">
        <v>46</v>
      </c>
      <c r="E37" s="13"/>
    </row>
    <row r="38" spans="1:7" ht="12.75">
      <c r="A38" t="s">
        <v>64</v>
      </c>
      <c r="E38" s="10">
        <f>SQRT(E32*E20)</f>
        <v>10.271257796335306</v>
      </c>
      <c r="F38" t="s">
        <v>220</v>
      </c>
      <c r="G38" s="9" t="s">
        <v>206</v>
      </c>
    </row>
    <row r="39" spans="1:7" ht="12.75">
      <c r="A39" t="s">
        <v>65</v>
      </c>
      <c r="E39" s="10">
        <f>SQRT(E33*E20)</f>
        <v>16.90541936686361</v>
      </c>
      <c r="F39" t="s">
        <v>220</v>
      </c>
      <c r="G39" s="22" t="s">
        <v>191</v>
      </c>
    </row>
    <row r="40" spans="1:7" ht="12.75">
      <c r="A40" t="s">
        <v>66</v>
      </c>
      <c r="E40" s="10">
        <f>E25/0.0001*E26*E20/E38/1000</f>
        <v>6.727039631217133</v>
      </c>
      <c r="F40" t="s">
        <v>220</v>
      </c>
      <c r="G40" s="9" t="s">
        <v>207</v>
      </c>
    </row>
    <row r="41" spans="1:6" ht="12.75">
      <c r="A41" t="s">
        <v>67</v>
      </c>
      <c r="E41" s="10">
        <f>E25/0.0001*E27*E20/E39/1000</f>
        <v>0.4897337001013347</v>
      </c>
      <c r="F41" t="s">
        <v>220</v>
      </c>
    </row>
    <row r="42" spans="1:7" ht="12.75">
      <c r="A42" t="s">
        <v>68</v>
      </c>
      <c r="E42" s="10">
        <f>SQRT(2)*E8*E40/E22</f>
        <v>4.756735340544287</v>
      </c>
      <c r="F42" t="s">
        <v>3</v>
      </c>
      <c r="G42" s="9" t="s">
        <v>208</v>
      </c>
    </row>
    <row r="44" ht="12.75">
      <c r="A44" s="7" t="s">
        <v>47</v>
      </c>
    </row>
    <row r="45" spans="1:6" ht="12.75">
      <c r="A45" t="s">
        <v>87</v>
      </c>
      <c r="E45" s="26">
        <v>0.025</v>
      </c>
      <c r="F45" t="s">
        <v>151</v>
      </c>
    </row>
    <row r="46" spans="1:7" ht="12.75">
      <c r="A46" t="s">
        <v>61</v>
      </c>
      <c r="E46" s="10">
        <f>E17^2*E45*1.5</f>
        <v>0.12860082304526751</v>
      </c>
      <c r="F46" t="s">
        <v>2</v>
      </c>
      <c r="G46" s="9" t="s">
        <v>209</v>
      </c>
    </row>
    <row r="47" spans="1:7" ht="12.75">
      <c r="A47" t="s">
        <v>88</v>
      </c>
      <c r="E47" s="26">
        <v>1</v>
      </c>
      <c r="F47" t="s">
        <v>217</v>
      </c>
      <c r="G47" s="3" t="s">
        <v>89</v>
      </c>
    </row>
    <row r="48" spans="1:7" ht="12.75">
      <c r="A48" t="s">
        <v>15</v>
      </c>
      <c r="E48" s="2">
        <f>(E47*0.014-0.0075)/E45</f>
        <v>0.26</v>
      </c>
      <c r="F48" t="s">
        <v>3</v>
      </c>
      <c r="G48" s="9" t="s">
        <v>210</v>
      </c>
    </row>
    <row r="49" spans="1:7" ht="12.75">
      <c r="A49" t="s">
        <v>55</v>
      </c>
      <c r="E49" s="2">
        <f>(E47*0.2-0.0032)/E45</f>
        <v>7.872</v>
      </c>
      <c r="F49" t="s">
        <v>3</v>
      </c>
      <c r="G49" s="9" t="s">
        <v>211</v>
      </c>
    </row>
    <row r="50" ht="12.75">
      <c r="G50" s="22" t="s">
        <v>192</v>
      </c>
    </row>
    <row r="51" ht="12.75">
      <c r="A51" s="7" t="s">
        <v>247</v>
      </c>
    </row>
    <row r="52" spans="1:6" ht="12.75">
      <c r="A52" t="s">
        <v>16</v>
      </c>
      <c r="E52" s="26">
        <v>50</v>
      </c>
      <c r="F52" t="s">
        <v>17</v>
      </c>
    </row>
    <row r="53" spans="1:6" ht="12.75">
      <c r="A53" t="s">
        <v>18</v>
      </c>
      <c r="E53" s="26">
        <v>200</v>
      </c>
      <c r="F53" t="s">
        <v>218</v>
      </c>
    </row>
    <row r="54" spans="1:7" ht="12.75">
      <c r="A54" t="s">
        <v>49</v>
      </c>
      <c r="E54" s="10">
        <f>SQRT(2)*E15/E9/4/E52/E53*1000000</f>
        <v>13.956054891839752</v>
      </c>
      <c r="F54" t="s">
        <v>19</v>
      </c>
      <c r="G54" s="9" t="s">
        <v>212</v>
      </c>
    </row>
    <row r="56" ht="12.75">
      <c r="A56" s="7" t="s">
        <v>53</v>
      </c>
    </row>
    <row r="57" spans="1:7" ht="12.75">
      <c r="A57" t="s">
        <v>20</v>
      </c>
      <c r="E57" s="26">
        <v>1</v>
      </c>
      <c r="F57" t="s">
        <v>218</v>
      </c>
      <c r="G57" s="3" t="s">
        <v>31</v>
      </c>
    </row>
    <row r="58" spans="1:7" ht="12.75">
      <c r="A58" t="s">
        <v>58</v>
      </c>
      <c r="E58" s="10">
        <f>SQRT(1+(E7^2*E16/100/E15*2*PI()*E57/1000000*E52)^2)*100</f>
        <v>100.80856215752965</v>
      </c>
      <c r="F58" s="3" t="s">
        <v>22</v>
      </c>
      <c r="G58" s="9" t="s">
        <v>213</v>
      </c>
    </row>
    <row r="59" spans="1:7" ht="12.75">
      <c r="A59" t="s">
        <v>59</v>
      </c>
      <c r="E59" s="10">
        <f>E17*(E58/100)</f>
        <v>1.8668252251394382</v>
      </c>
      <c r="F59" s="3" t="s">
        <v>43</v>
      </c>
      <c r="G59" s="9" t="s">
        <v>214</v>
      </c>
    </row>
    <row r="60" spans="1:6" ht="12.75">
      <c r="A60" t="s">
        <v>60</v>
      </c>
      <c r="E60" s="10">
        <f>IF(E33&gt;E32,1000/E33,1000/E32)</f>
        <v>32.63844708454993</v>
      </c>
      <c r="F60" t="s">
        <v>6</v>
      </c>
    </row>
    <row r="61" spans="1:7" ht="12.75">
      <c r="A61" t="s">
        <v>54</v>
      </c>
      <c r="E61" s="26">
        <v>1000</v>
      </c>
      <c r="F61" t="s">
        <v>219</v>
      </c>
      <c r="G61" s="3" t="s">
        <v>30</v>
      </c>
    </row>
    <row r="62" spans="1:7" ht="12.75">
      <c r="A62" t="s">
        <v>51</v>
      </c>
      <c r="E62" s="10">
        <f>100/(4*PI()*PI()*E60*E60/1000000*E61*E57-1)</f>
        <v>2.435750743073271</v>
      </c>
      <c r="F62" s="3" t="s">
        <v>22</v>
      </c>
      <c r="G62" s="9" t="s">
        <v>215</v>
      </c>
    </row>
    <row r="63" ht="12.75">
      <c r="E63" s="13"/>
    </row>
  </sheetData>
  <sheetProtection sheet="1" objects="1" scenarios="1"/>
  <conditionalFormatting sqref="E49">
    <cfRule type="cellIs" priority="1" dxfId="1" operator="lessThan" stopIfTrue="1">
      <formula>$E$36</formula>
    </cfRule>
  </conditionalFormatting>
  <conditionalFormatting sqref="E38:E39">
    <cfRule type="cellIs" priority="2" dxfId="1" operator="greaterThan" stopIfTrue="1">
      <formula>$E$20</formula>
    </cfRule>
  </conditionalFormatting>
  <conditionalFormatting sqref="E32:E33">
    <cfRule type="cellIs" priority="3" dxfId="1" operator="lessThanOrEqual" stopIfTrue="1">
      <formula>$E$20</formula>
    </cfRule>
  </conditionalFormatting>
  <conditionalFormatting sqref="E26:E27">
    <cfRule type="cellIs" priority="4" dxfId="1" operator="greaterThan" stopIfTrue="1">
      <formula>1</formula>
    </cfRule>
  </conditionalFormatting>
  <conditionalFormatting sqref="E19">
    <cfRule type="cellIs" priority="5" dxfId="1" operator="greaterThan" stopIfTrue="1">
      <formula>250</formula>
    </cfRule>
  </conditionalFormatting>
  <conditionalFormatting sqref="E22">
    <cfRule type="cellIs" priority="6" dxfId="1" operator="lessThan" stopIfTrue="1">
      <formula>$E$21</formula>
    </cfRule>
  </conditionalFormatting>
  <conditionalFormatting sqref="E9">
    <cfRule type="cellIs" priority="7" dxfId="1" operator="lessThan" stopIfTrue="1">
      <formula>SQRT(2)*$E$7</formula>
    </cfRule>
  </conditionalFormatting>
  <conditionalFormatting sqref="E15">
    <cfRule type="cellIs" priority="8" dxfId="0" operator="lessThan" stopIfTrue="1">
      <formula>$E$14</formula>
    </cfRule>
  </conditionalFormatting>
  <hyperlinks>
    <hyperlink ref="J6" r:id="rId1" display="kahou.wong@onsemi.com"/>
  </hyperlinks>
  <printOptions/>
  <pageMargins left="0.75" right="0.75" top="1" bottom="1" header="0.5" footer="0.5"/>
  <pageSetup horizontalDpi="600" verticalDpi="600" orientation="portrait" scale="6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workbookViewId="0" topLeftCell="A13">
      <selection activeCell="A4" sqref="A4"/>
    </sheetView>
  </sheetViews>
  <sheetFormatPr defaultColWidth="9.140625" defaultRowHeight="12.75"/>
  <cols>
    <col min="1" max="1" width="145.421875" style="0" customWidth="1"/>
    <col min="2" max="3" width="4.28125" style="0" customWidth="1"/>
    <col min="4" max="5" width="7.140625" style="0" customWidth="1"/>
    <col min="6" max="6" width="8.28125" style="0" customWidth="1"/>
    <col min="7" max="7" width="8.00390625" style="0" customWidth="1"/>
    <col min="8" max="8" width="12.28125" style="0" customWidth="1"/>
    <col min="11" max="11" width="12.8515625" style="0" customWidth="1"/>
  </cols>
  <sheetData>
    <row r="1" spans="1:2" ht="15.75">
      <c r="A1" s="5" t="s">
        <v>85</v>
      </c>
      <c r="B1" s="5"/>
    </row>
    <row r="2" spans="1:9" ht="204.75" customHeight="1">
      <c r="A2" s="5"/>
      <c r="B2" s="5"/>
      <c r="I2" s="23"/>
    </row>
    <row r="3" spans="1:9" ht="21.75" customHeight="1">
      <c r="A3" s="5"/>
      <c r="B3" s="5"/>
      <c r="I3" s="23"/>
    </row>
    <row r="4" spans="1:2" ht="12.75">
      <c r="A4" s="12" t="s">
        <v>52</v>
      </c>
      <c r="B4" s="12"/>
    </row>
    <row r="5" spans="1:2" ht="12.75">
      <c r="A5" s="12" t="s">
        <v>32</v>
      </c>
      <c r="B5" s="12"/>
    </row>
    <row r="6" ht="12.75">
      <c r="C6" s="9"/>
    </row>
    <row r="7" ht="12.75">
      <c r="C7" s="15" t="s">
        <v>29</v>
      </c>
    </row>
    <row r="8" spans="3:24" ht="12.75">
      <c r="C8" s="7" t="s">
        <v>23</v>
      </c>
      <c r="D8" s="7" t="s">
        <v>24</v>
      </c>
      <c r="E8" s="7" t="s">
        <v>25</v>
      </c>
      <c r="F8" s="7" t="s">
        <v>37</v>
      </c>
      <c r="G8" s="7" t="s">
        <v>38</v>
      </c>
      <c r="H8" s="7" t="s">
        <v>36</v>
      </c>
      <c r="I8" s="7" t="s">
        <v>34</v>
      </c>
      <c r="J8" s="7" t="s">
        <v>35</v>
      </c>
      <c r="K8" s="7" t="s">
        <v>33</v>
      </c>
      <c r="L8" s="7" t="s">
        <v>27</v>
      </c>
      <c r="M8" s="7" t="s">
        <v>26</v>
      </c>
      <c r="N8" s="7" t="s">
        <v>40</v>
      </c>
      <c r="O8" s="7" t="s">
        <v>39</v>
      </c>
      <c r="P8" s="7" t="s">
        <v>41</v>
      </c>
      <c r="R8" s="7"/>
      <c r="S8" s="7"/>
      <c r="T8" s="7"/>
      <c r="U8" s="7"/>
      <c r="V8" s="7"/>
      <c r="W8" s="7"/>
      <c r="X8" s="7"/>
    </row>
    <row r="9" spans="3:24" ht="12.75">
      <c r="C9" s="11">
        <v>0</v>
      </c>
      <c r="D9" s="11">
        <f>'PFC Calculation'!$E$8*SQRT(2)*SIN(C9/180*PI())</f>
        <v>0</v>
      </c>
      <c r="E9" s="19">
        <f>'PFC Calculation'!$E$28</f>
        <v>368.85925925925926</v>
      </c>
      <c r="F9" s="11">
        <f>'PFC Calculation'!$E$25*'PFC Calculation'!$E$26/0.0001/1000</f>
        <v>7.407407407407405</v>
      </c>
      <c r="G9" s="11">
        <f aca="true" t="shared" si="0" ref="G9:G31">H9-F9</f>
        <v>0</v>
      </c>
      <c r="H9" s="11">
        <f aca="true" t="shared" si="1" ref="H9:H31">E9/(E9-D9)*F9</f>
        <v>7.407407407407405</v>
      </c>
      <c r="I9" s="11">
        <f>SQRT('PFC Calculation'!$E$20*F9*(1-D9/E9))</f>
        <v>8.312349743507882</v>
      </c>
      <c r="J9" s="11">
        <f aca="true" t="shared" si="2" ref="J9:J31">K9-I9</f>
        <v>0</v>
      </c>
      <c r="K9" s="11">
        <f>SQRT('PFC Calculation'!$E$20*H9)</f>
        <v>8.312349743507882</v>
      </c>
      <c r="L9" s="11">
        <f>IF(H9&gt;'PFC Calculation'!$E$20,H9,'PFC Calculation'!$E$20)</f>
        <v>9.327846364883403</v>
      </c>
      <c r="M9" s="11">
        <f aca="true" t="shared" si="3" ref="M9:M31">1000/L9</f>
        <v>107.20588235294117</v>
      </c>
      <c r="N9" s="11">
        <f>IF(H9&gt;'PFC Calculation'!$E$20,F9,I9)</f>
        <v>8.312349743507882</v>
      </c>
      <c r="O9" s="11">
        <f>IF(H9&gt;'PFC Calculation'!$E$20,G9,J9)</f>
        <v>0</v>
      </c>
      <c r="P9" s="11">
        <f>IF(H9&gt;'PFC Calculation'!$E$20,F9/(F9+G9),I9/'PFC Calculation'!$E$20)</f>
        <v>0.8911327886790067</v>
      </c>
      <c r="R9" s="14"/>
      <c r="S9" s="14"/>
      <c r="T9" s="14"/>
      <c r="U9" s="14"/>
      <c r="V9" s="14"/>
      <c r="W9" s="14"/>
      <c r="X9" s="14"/>
    </row>
    <row r="10" spans="3:24" ht="12.75">
      <c r="C10" s="11">
        <v>10</v>
      </c>
      <c r="D10" s="11">
        <f>'PFC Calculation'!$E$8*SQRT(2)*SIN(C10/180*PI())</f>
        <v>22.10180471441511</v>
      </c>
      <c r="E10" s="19">
        <f>'PFC Calculation'!$E$28</f>
        <v>368.85925925925926</v>
      </c>
      <c r="F10" s="11">
        <f>'PFC Calculation'!$E$25*'PFC Calculation'!$E$26/0.0001/1000</f>
        <v>7.407407407407405</v>
      </c>
      <c r="G10" s="11">
        <f t="shared" si="0"/>
        <v>0.4721371373934167</v>
      </c>
      <c r="H10" s="11">
        <f t="shared" si="1"/>
        <v>7.8795445448008214</v>
      </c>
      <c r="I10" s="11">
        <f>SQRT('PFC Calculation'!$E$20*F10*(1-D10/E10))</f>
        <v>8.05946783144454</v>
      </c>
      <c r="J10" s="11">
        <f t="shared" si="2"/>
        <v>0.5136984995650948</v>
      </c>
      <c r="K10" s="11">
        <f>SQRT('PFC Calculation'!$E$20*H10)</f>
        <v>8.573166331009634</v>
      </c>
      <c r="L10" s="11">
        <f>IF(H10&gt;'PFC Calculation'!$E$20,H10,'PFC Calculation'!$E$20)</f>
        <v>9.327846364883403</v>
      </c>
      <c r="M10" s="11">
        <f t="shared" si="3"/>
        <v>107.20588235294117</v>
      </c>
      <c r="N10" s="11">
        <f>IF(H10&gt;'PFC Calculation'!$E$20,F10,I10)</f>
        <v>8.05946783144454</v>
      </c>
      <c r="O10" s="11">
        <f>IF(H10&gt;'PFC Calculation'!$E$20,G10,J10)</f>
        <v>0.5136984995650948</v>
      </c>
      <c r="P10" s="11">
        <f>IF(H10&gt;'PFC Calculation'!$E$20,F10/(F10+G10),I10/'PFC Calculation'!$E$20)</f>
        <v>0.8640223601651572</v>
      </c>
      <c r="R10" s="14"/>
      <c r="S10" s="14"/>
      <c r="T10" s="14"/>
      <c r="U10" s="14"/>
      <c r="V10" s="14"/>
      <c r="W10" s="14"/>
      <c r="X10" s="14"/>
    </row>
    <row r="11" spans="3:24" ht="12.75">
      <c r="C11" s="11">
        <v>20</v>
      </c>
      <c r="D11" s="11">
        <f>'PFC Calculation'!$E$8*SQRT(2)*SIN(C11/180*PI())</f>
        <v>43.53205727663555</v>
      </c>
      <c r="E11" s="19">
        <f>'PFC Calculation'!$E$28</f>
        <v>368.85925925925926</v>
      </c>
      <c r="F11" s="11">
        <f>'PFC Calculation'!$E$25*'PFC Calculation'!$E$26/0.0001/1000</f>
        <v>7.407407407407405</v>
      </c>
      <c r="G11" s="11">
        <f t="shared" si="0"/>
        <v>0.991185740280816</v>
      </c>
      <c r="H11" s="11">
        <f t="shared" si="1"/>
        <v>8.39859314768822</v>
      </c>
      <c r="I11" s="11">
        <f>SQRT('PFC Calculation'!$E$20*F11*(1-D11/E11))</f>
        <v>7.806451251836977</v>
      </c>
      <c r="J11" s="11">
        <f t="shared" si="2"/>
        <v>1.0445818270074483</v>
      </c>
      <c r="K11" s="11">
        <f>SQRT('PFC Calculation'!$E$20*H11)</f>
        <v>8.851033078844425</v>
      </c>
      <c r="L11" s="11">
        <f>IF(H11&gt;'PFC Calculation'!$E$20,H11,'PFC Calculation'!$E$20)</f>
        <v>9.327846364883403</v>
      </c>
      <c r="M11" s="11">
        <f t="shared" si="3"/>
        <v>107.20588235294117</v>
      </c>
      <c r="N11" s="11">
        <f>IF(H11&gt;'PFC Calculation'!$E$20,F11,I11)</f>
        <v>7.806451251836977</v>
      </c>
      <c r="O11" s="11">
        <f>IF(H11&gt;'PFC Calculation'!$E$20,G11,J11)</f>
        <v>1.0445818270074483</v>
      </c>
      <c r="P11" s="11">
        <f>IF(H11&gt;'PFC Calculation'!$E$20,F11/(F11+G11),I11/'PFC Calculation'!$E$20)</f>
        <v>0.8368974944984052</v>
      </c>
      <c r="R11" s="14"/>
      <c r="S11" s="14"/>
      <c r="T11" s="14"/>
      <c r="U11" s="14"/>
      <c r="V11" s="14"/>
      <c r="W11" s="14"/>
      <c r="X11" s="14"/>
    </row>
    <row r="12" spans="3:24" ht="12.75">
      <c r="C12" s="11">
        <v>30</v>
      </c>
      <c r="D12" s="11">
        <f>'PFC Calculation'!$E$8*SQRT(2)*SIN(C12/180*PI())</f>
        <v>63.63961030678927</v>
      </c>
      <c r="E12" s="19">
        <f>'PFC Calculation'!$E$28</f>
        <v>368.85925925925926</v>
      </c>
      <c r="F12" s="11">
        <f>'PFC Calculation'!$E$25*'PFC Calculation'!$E$26/0.0001/1000</f>
        <v>7.407407407407405</v>
      </c>
      <c r="G12" s="11">
        <f t="shared" si="0"/>
        <v>1.5444763219174025</v>
      </c>
      <c r="H12" s="11">
        <f t="shared" si="1"/>
        <v>8.951883729324807</v>
      </c>
      <c r="I12" s="11">
        <f>SQRT('PFC Calculation'!$E$20*F12*(1-D12/E12))</f>
        <v>7.56135637496215</v>
      </c>
      <c r="J12" s="11">
        <f t="shared" si="2"/>
        <v>1.5765753441656134</v>
      </c>
      <c r="K12" s="11">
        <f>SQRT('PFC Calculation'!$E$20*H12)</f>
        <v>9.137931719127764</v>
      </c>
      <c r="L12" s="11">
        <f>IF(H12&gt;'PFC Calculation'!$E$20,H12,'PFC Calculation'!$E$20)</f>
        <v>9.327846364883403</v>
      </c>
      <c r="M12" s="11">
        <f t="shared" si="3"/>
        <v>107.20588235294117</v>
      </c>
      <c r="N12" s="11">
        <f>IF(H12&gt;'PFC Calculation'!$E$20,F12,I12)</f>
        <v>7.56135637496215</v>
      </c>
      <c r="O12" s="11">
        <f>IF(H12&gt;'PFC Calculation'!$E$20,G12,J12)</f>
        <v>1.5765753441656134</v>
      </c>
      <c r="P12" s="11">
        <f>IF(H12&gt;'PFC Calculation'!$E$20,F12/(F12+G12),I12/'PFC Calculation'!$E$20)</f>
        <v>0.810621881962854</v>
      </c>
      <c r="R12" s="14"/>
      <c r="S12" s="14"/>
      <c r="T12" s="14"/>
      <c r="U12" s="14"/>
      <c r="V12" s="14"/>
      <c r="W12" s="14"/>
      <c r="X12" s="14"/>
    </row>
    <row r="13" spans="3:24" ht="12.75">
      <c r="C13" s="11">
        <v>40</v>
      </c>
      <c r="D13" s="11">
        <f>'PFC Calculation'!$E$8*SQRT(2)*SIN(C13/180*PI())</f>
        <v>81.81350598096786</v>
      </c>
      <c r="E13" s="19">
        <f>'PFC Calculation'!$E$28</f>
        <v>368.85925925925926</v>
      </c>
      <c r="F13" s="11">
        <f>'PFC Calculation'!$E$25*'PFC Calculation'!$E$26/0.0001/1000</f>
        <v>7.407407407407405</v>
      </c>
      <c r="G13" s="11">
        <f t="shared" si="0"/>
        <v>2.1112521725477276</v>
      </c>
      <c r="H13" s="11">
        <f t="shared" si="1"/>
        <v>9.518659579955132</v>
      </c>
      <c r="I13" s="11">
        <f>SQRT('PFC Calculation'!$E$20*F13*(1-D13/E13))</f>
        <v>7.332786259197845</v>
      </c>
      <c r="J13" s="11">
        <f t="shared" si="2"/>
        <v>2.089983724275542</v>
      </c>
      <c r="K13" s="11">
        <f>SQRT('PFC Calculation'!$E$20*H13)</f>
        <v>9.422769983473387</v>
      </c>
      <c r="L13" s="11">
        <f>IF(H13&gt;'PFC Calculation'!$E$20,H13,'PFC Calculation'!$E$20)</f>
        <v>9.518659579955132</v>
      </c>
      <c r="M13" s="11">
        <f t="shared" si="3"/>
        <v>105.05680885004543</v>
      </c>
      <c r="N13" s="11">
        <f>IF(H13&gt;'PFC Calculation'!$E$20,F13,I13)</f>
        <v>7.407407407407405</v>
      </c>
      <c r="O13" s="11">
        <f>IF(H13&gt;'PFC Calculation'!$E$20,G13,J13)</f>
        <v>2.1112521725477276</v>
      </c>
      <c r="P13" s="11">
        <f>IF(H13&gt;'PFC Calculation'!$E$20,F13/(F13+G13),I13/'PFC Calculation'!$E$20)</f>
        <v>0.7781985840744102</v>
      </c>
      <c r="R13" s="14"/>
      <c r="S13" s="14"/>
      <c r="T13" s="14"/>
      <c r="U13" s="14"/>
      <c r="V13" s="14"/>
      <c r="W13" s="14"/>
      <c r="X13" s="14"/>
    </row>
    <row r="14" spans="3:24" ht="12.75">
      <c r="C14" s="11">
        <v>50</v>
      </c>
      <c r="D14" s="11">
        <f>'PFC Calculation'!$E$8*SQRT(2)*SIN(C14/180*PI())</f>
        <v>97.50153967554634</v>
      </c>
      <c r="E14" s="19">
        <f>'PFC Calculation'!$E$28</f>
        <v>368.85925925925926</v>
      </c>
      <c r="F14" s="11">
        <f>'PFC Calculation'!$E$25*'PFC Calculation'!$E$26/0.0001/1000</f>
        <v>7.407407407407405</v>
      </c>
      <c r="G14" s="11">
        <f t="shared" si="0"/>
        <v>2.6615554859992194</v>
      </c>
      <c r="H14" s="11">
        <f t="shared" si="1"/>
        <v>10.068962893406624</v>
      </c>
      <c r="I14" s="11">
        <f>SQRT('PFC Calculation'!$E$20*F14*(1-D14/E14))</f>
        <v>7.12958996440375</v>
      </c>
      <c r="J14" s="11">
        <f t="shared" si="2"/>
        <v>2.5617329031623113</v>
      </c>
      <c r="K14" s="11">
        <f>SQRT('PFC Calculation'!$E$20*H14)</f>
        <v>9.691322867566061</v>
      </c>
      <c r="L14" s="11">
        <f>IF(H14&gt;'PFC Calculation'!$E$20,H14,'PFC Calculation'!$E$20)</f>
        <v>10.068962893406624</v>
      </c>
      <c r="M14" s="11">
        <f t="shared" si="3"/>
        <v>99.31509437330648</v>
      </c>
      <c r="N14" s="11">
        <f>IF(H14&gt;'PFC Calculation'!$E$20,F14,I14)</f>
        <v>7.407407407407405</v>
      </c>
      <c r="O14" s="11">
        <f>IF(H14&gt;'PFC Calculation'!$E$20,G14,J14)</f>
        <v>2.6615554859992194</v>
      </c>
      <c r="P14" s="11">
        <f>IF(H14&gt;'PFC Calculation'!$E$20,F14/(F14+G14),I14/'PFC Calculation'!$E$20)</f>
        <v>0.7356673657281959</v>
      </c>
      <c r="R14" s="14"/>
      <c r="S14" s="14"/>
      <c r="T14" s="14"/>
      <c r="U14" s="14"/>
      <c r="V14" s="14"/>
      <c r="W14" s="14"/>
      <c r="X14" s="14"/>
    </row>
    <row r="15" spans="3:24" ht="12.75">
      <c r="C15" s="11">
        <v>60</v>
      </c>
      <c r="D15" s="11">
        <f>'PFC Calculation'!$E$8*SQRT(2)*SIN(C15/180*PI())</f>
        <v>110.22703842524301</v>
      </c>
      <c r="E15" s="19">
        <f>'PFC Calculation'!$E$28</f>
        <v>368.85925925925926</v>
      </c>
      <c r="F15" s="11">
        <f>'PFC Calculation'!$E$25*'PFC Calculation'!$E$26/0.0001/1000</f>
        <v>7.407407407407405</v>
      </c>
      <c r="G15" s="11">
        <f t="shared" si="0"/>
        <v>3.1569793519722857</v>
      </c>
      <c r="H15" s="11">
        <f t="shared" si="1"/>
        <v>10.56438675937969</v>
      </c>
      <c r="I15" s="11">
        <f>SQRT('PFC Calculation'!$E$20*F15*(1-D15/E15))</f>
        <v>6.960409283391795</v>
      </c>
      <c r="J15" s="11">
        <f t="shared" si="2"/>
        <v>2.9664722325074555</v>
      </c>
      <c r="K15" s="11">
        <f>SQRT('PFC Calculation'!$E$20*H15)</f>
        <v>9.92688151589925</v>
      </c>
      <c r="L15" s="11">
        <f>IF(H15&gt;'PFC Calculation'!$E$20,H15,'PFC Calculation'!$E$20)</f>
        <v>10.56438675937969</v>
      </c>
      <c r="M15" s="11">
        <f t="shared" si="3"/>
        <v>94.65764769660109</v>
      </c>
      <c r="N15" s="11">
        <f>IF(H15&gt;'PFC Calculation'!$E$20,F15,I15)</f>
        <v>7.407407407407405</v>
      </c>
      <c r="O15" s="11">
        <f>IF(H15&gt;'PFC Calculation'!$E$20,G15,J15)</f>
        <v>3.1569793519722857</v>
      </c>
      <c r="P15" s="11">
        <f>IF(H15&gt;'PFC Calculation'!$E$20,F15/(F15+G15),I15/'PFC Calculation'!$E$20)</f>
        <v>0.7011677607155634</v>
      </c>
      <c r="R15" s="14"/>
      <c r="S15" s="14"/>
      <c r="T15" s="14"/>
      <c r="U15" s="14"/>
      <c r="V15" s="14"/>
      <c r="W15" s="14"/>
      <c r="X15" s="14"/>
    </row>
    <row r="16" spans="3:24" ht="12.75">
      <c r="C16" s="11">
        <v>70</v>
      </c>
      <c r="D16" s="11">
        <f>'PFC Calculation'!$E$8*SQRT(2)*SIN(C16/180*PI())</f>
        <v>119.60334438996144</v>
      </c>
      <c r="E16" s="19">
        <f>'PFC Calculation'!$E$28</f>
        <v>368.85925925925926</v>
      </c>
      <c r="F16" s="11">
        <f>'PFC Calculation'!$E$25*'PFC Calculation'!$E$26/0.0001/1000</f>
        <v>7.407407407407405</v>
      </c>
      <c r="G16" s="11">
        <f t="shared" si="0"/>
        <v>3.554381847465743</v>
      </c>
      <c r="H16" s="11">
        <f t="shared" si="1"/>
        <v>10.961789254873148</v>
      </c>
      <c r="I16" s="11">
        <f>SQRT('PFC Calculation'!$E$20*F16*(1-D16/E16))</f>
        <v>6.833075188245806</v>
      </c>
      <c r="J16" s="11">
        <f t="shared" si="2"/>
        <v>3.2787933855483793</v>
      </c>
      <c r="K16" s="11">
        <f>SQRT('PFC Calculation'!$E$20*H16)</f>
        <v>10.111868573794185</v>
      </c>
      <c r="L16" s="11">
        <f>IF(H16&gt;'PFC Calculation'!$E$20,H16,'PFC Calculation'!$E$20)</f>
        <v>10.961789254873148</v>
      </c>
      <c r="M16" s="11">
        <f t="shared" si="3"/>
        <v>91.22598298041922</v>
      </c>
      <c r="N16" s="11">
        <f>IF(H16&gt;'PFC Calculation'!$E$20,F16,I16)</f>
        <v>7.407407407407405</v>
      </c>
      <c r="O16" s="11">
        <f>IF(H16&gt;'PFC Calculation'!$E$20,G16,J16)</f>
        <v>3.554381847465743</v>
      </c>
      <c r="P16" s="11">
        <f>IF(H16&gt;'PFC Calculation'!$E$20,F16/(F16+G16),I16/'PFC Calculation'!$E$20)</f>
        <v>0.6757480220771791</v>
      </c>
      <c r="R16" s="14"/>
      <c r="S16" s="14"/>
      <c r="T16" s="14"/>
      <c r="U16" s="14"/>
      <c r="V16" s="14"/>
      <c r="W16" s="14"/>
      <c r="X16" s="14"/>
    </row>
    <row r="17" spans="3:24" ht="12.75">
      <c r="C17" s="11">
        <v>75</v>
      </c>
      <c r="D17" s="11">
        <f>'PFC Calculation'!$E$8*SQRT(2)*SIN(C17/180*PI())</f>
        <v>122.94228634059948</v>
      </c>
      <c r="E17" s="19">
        <f>'PFC Calculation'!$E$28</f>
        <v>368.85925925925926</v>
      </c>
      <c r="F17" s="11">
        <f>'PFC Calculation'!$E$25*'PFC Calculation'!$E$26/0.0001/1000</f>
        <v>7.407407407407405</v>
      </c>
      <c r="G17" s="11">
        <f aca="true" t="shared" si="4" ref="G17:G23">H17-F17</f>
        <v>3.7032157305554474</v>
      </c>
      <c r="H17" s="11">
        <f aca="true" t="shared" si="5" ref="H17:H23">E17/(E17-D17)*F17</f>
        <v>11.110623137962852</v>
      </c>
      <c r="I17" s="11">
        <f>SQRT('PFC Calculation'!$E$20*F17*(1-D17/E17))</f>
        <v>6.787154184390803</v>
      </c>
      <c r="J17" s="11">
        <f aca="true" t="shared" si="6" ref="J17:J23">K17-I17</f>
        <v>3.3931299790810696</v>
      </c>
      <c r="K17" s="11">
        <f>SQRT('PFC Calculation'!$E$20*H17)</f>
        <v>10.180284163471873</v>
      </c>
      <c r="L17" s="11">
        <f>IF(H17&gt;'PFC Calculation'!$E$20,H17,'PFC Calculation'!$E$20)</f>
        <v>11.110623137962852</v>
      </c>
      <c r="M17" s="11">
        <f t="shared" si="3"/>
        <v>90.0039527560964</v>
      </c>
      <c r="N17" s="11">
        <f>IF(H17&gt;'PFC Calculation'!$E$20,F17,I17)</f>
        <v>7.407407407407405</v>
      </c>
      <c r="O17" s="11">
        <f>IF(H17&gt;'PFC Calculation'!$E$20,G17,J17)</f>
        <v>3.7032157305554474</v>
      </c>
      <c r="P17" s="11">
        <f>IF(H17&gt;'PFC Calculation'!$E$20,F17/(F17+G17),I17/'PFC Calculation'!$E$20)</f>
        <v>0.6666959463414546</v>
      </c>
      <c r="R17" s="14"/>
      <c r="S17" s="14"/>
      <c r="T17" s="14"/>
      <c r="U17" s="14"/>
      <c r="V17" s="14"/>
      <c r="W17" s="14"/>
      <c r="X17" s="14"/>
    </row>
    <row r="18" spans="3:24" ht="12.75">
      <c r="C18" s="11">
        <v>80</v>
      </c>
      <c r="D18" s="11">
        <f>'PFC Calculation'!$E$8*SQRT(2)*SIN(C18/180*PI())</f>
        <v>125.34556325760342</v>
      </c>
      <c r="E18" s="19">
        <f>'PFC Calculation'!$E$28</f>
        <v>368.85925925925926</v>
      </c>
      <c r="F18" s="11">
        <f>'PFC Calculation'!$E$25*'PFC Calculation'!$E$26/0.0001/1000</f>
        <v>7.407407407407405</v>
      </c>
      <c r="G18" s="11">
        <f t="shared" si="4"/>
        <v>3.8128683068147087</v>
      </c>
      <c r="H18" s="11">
        <f t="shared" si="5"/>
        <v>11.220275714222113</v>
      </c>
      <c r="I18" s="11">
        <f>SQRT('PFC Calculation'!$E$20*F18*(1-D18/E18))</f>
        <v>6.753908291648049</v>
      </c>
      <c r="J18" s="11">
        <f t="shared" si="6"/>
        <v>3.4764879877683192</v>
      </c>
      <c r="K18" s="11">
        <f>SQRT('PFC Calculation'!$E$20*H18)</f>
        <v>10.230396279416368</v>
      </c>
      <c r="L18" s="11">
        <f>IF(H18&gt;'PFC Calculation'!$E$20,H18,'PFC Calculation'!$E$20)</f>
        <v>11.220275714222113</v>
      </c>
      <c r="M18" s="11">
        <f t="shared" si="3"/>
        <v>89.12436962065586</v>
      </c>
      <c r="N18" s="11">
        <f>IF(H18&gt;'PFC Calculation'!$E$20,F18,I18)</f>
        <v>7.407407407407405</v>
      </c>
      <c r="O18" s="11">
        <f>IF(H18&gt;'PFC Calculation'!$E$20,G18,J18)</f>
        <v>3.8128683068147087</v>
      </c>
      <c r="P18" s="11">
        <f>IF(H18&gt;'PFC Calculation'!$E$20,F18/(F18+G18),I18/'PFC Calculation'!$E$20)</f>
        <v>0.6601805157085616</v>
      </c>
      <c r="R18" s="14"/>
      <c r="S18" s="14"/>
      <c r="T18" s="14"/>
      <c r="U18" s="14"/>
      <c r="V18" s="14"/>
      <c r="W18" s="14"/>
      <c r="X18" s="14"/>
    </row>
    <row r="19" spans="3:24" ht="12.75">
      <c r="C19" s="11">
        <v>85</v>
      </c>
      <c r="D19" s="11">
        <f>'PFC Calculation'!$E$8*SQRT(2)*SIN(C19/180*PI())</f>
        <v>126.79488475249657</v>
      </c>
      <c r="E19" s="19">
        <f>'PFC Calculation'!$E$28</f>
        <v>368.85925925925926</v>
      </c>
      <c r="F19" s="11">
        <f>'PFC Calculation'!$E$25*'PFC Calculation'!$E$26/0.0001/1000</f>
        <v>7.407407407407405</v>
      </c>
      <c r="G19" s="11">
        <f t="shared" si="4"/>
        <v>3.880047902343316</v>
      </c>
      <c r="H19" s="11">
        <f t="shared" si="5"/>
        <v>11.28745530975072</v>
      </c>
      <c r="I19" s="11">
        <f>SQRT('PFC Calculation'!$E$20*F19*(1-D19/E19))</f>
        <v>6.7337796647643495</v>
      </c>
      <c r="J19" s="11">
        <f t="shared" si="6"/>
        <v>3.5271973345199834</v>
      </c>
      <c r="K19" s="11">
        <f>SQRT('PFC Calculation'!$E$20*H19)</f>
        <v>10.260976999284333</v>
      </c>
      <c r="L19" s="11">
        <f>IF(H19&gt;'PFC Calculation'!$E$20,H19,'PFC Calculation'!$E$20)</f>
        <v>11.28745530975072</v>
      </c>
      <c r="M19" s="11">
        <f t="shared" si="3"/>
        <v>88.59392773286511</v>
      </c>
      <c r="N19" s="11">
        <f>IF(H19&gt;'PFC Calculation'!$E$20,F19,I19)</f>
        <v>7.407407407407405</v>
      </c>
      <c r="O19" s="11">
        <f>IF(H19&gt;'PFC Calculation'!$E$20,G19,J19)</f>
        <v>3.880047902343316</v>
      </c>
      <c r="P19" s="11">
        <f>IF(H19&gt;'PFC Calculation'!$E$20,F19/(F19+G19),I19/'PFC Calculation'!$E$20)</f>
        <v>0.6562513165397413</v>
      </c>
      <c r="R19" s="14"/>
      <c r="S19" s="14"/>
      <c r="T19" s="14"/>
      <c r="U19" s="14"/>
      <c r="V19" s="14"/>
      <c r="W19" s="14"/>
      <c r="X19" s="14"/>
    </row>
    <row r="20" spans="3:24" ht="12.75">
      <c r="C20" s="11">
        <v>90</v>
      </c>
      <c r="D20" s="11">
        <f>'PFC Calculation'!$E$8*SQRT(2)*SIN(C20/180*PI())</f>
        <v>127.27922061357856</v>
      </c>
      <c r="E20" s="19">
        <f>'PFC Calculation'!$E$28</f>
        <v>368.85925925925926</v>
      </c>
      <c r="F20" s="11">
        <f>'PFC Calculation'!$E$25*'PFC Calculation'!$E$26/0.0001/1000</f>
        <v>7.407407407407405</v>
      </c>
      <c r="G20" s="11">
        <f t="shared" si="4"/>
        <v>3.902677749649909</v>
      </c>
      <c r="H20" s="11">
        <f t="shared" si="5"/>
        <v>11.310085157057314</v>
      </c>
      <c r="I20" s="11">
        <f>SQRT('PFC Calculation'!$E$20*F20*(1-D20/E20))</f>
        <v>6.727039631217133</v>
      </c>
      <c r="J20" s="11">
        <f t="shared" si="6"/>
        <v>3.5442181651181723</v>
      </c>
      <c r="K20" s="11">
        <f>SQRT('PFC Calculation'!$E$20*H20)</f>
        <v>10.271257796335306</v>
      </c>
      <c r="L20" s="11">
        <f>IF(H20&gt;'PFC Calculation'!$E$20,H20,'PFC Calculation'!$E$20)</f>
        <v>11.310085157057314</v>
      </c>
      <c r="M20" s="11">
        <f t="shared" si="3"/>
        <v>88.41666407577982</v>
      </c>
      <c r="N20" s="11">
        <f>IF(H20&gt;'PFC Calculation'!$E$20,F20,I20)</f>
        <v>7.407407407407405</v>
      </c>
      <c r="O20" s="11">
        <f>IF(H20&gt;'PFC Calculation'!$E$20,G20,J20)</f>
        <v>3.902677749649909</v>
      </c>
      <c r="P20" s="11">
        <f>IF(H20&gt;'PFC Calculation'!$E$20,F20/(F20+G20),I20/'PFC Calculation'!$E$20)</f>
        <v>0.6549382524131836</v>
      </c>
      <c r="R20" s="14"/>
      <c r="S20" s="14"/>
      <c r="T20" s="14"/>
      <c r="U20" s="14"/>
      <c r="V20" s="14"/>
      <c r="W20" s="14"/>
      <c r="X20" s="14"/>
    </row>
    <row r="21" spans="3:24" ht="12.75">
      <c r="C21" s="11">
        <v>95</v>
      </c>
      <c r="D21" s="11">
        <f>'PFC Calculation'!$E$8*SQRT(2)*SIN(C21/180*PI())</f>
        <v>126.79488475249657</v>
      </c>
      <c r="E21" s="19">
        <f>'PFC Calculation'!$E$28</f>
        <v>368.85925925925926</v>
      </c>
      <c r="F21" s="11">
        <f>'PFC Calculation'!$E$25*'PFC Calculation'!$E$26/0.0001/1000</f>
        <v>7.407407407407405</v>
      </c>
      <c r="G21" s="11">
        <f t="shared" si="4"/>
        <v>3.880047902343316</v>
      </c>
      <c r="H21" s="11">
        <f t="shared" si="5"/>
        <v>11.28745530975072</v>
      </c>
      <c r="I21" s="11">
        <f>SQRT('PFC Calculation'!$E$20*F21*(1-D21/E21))</f>
        <v>6.7337796647643495</v>
      </c>
      <c r="J21" s="11">
        <f t="shared" si="6"/>
        <v>3.5271973345199834</v>
      </c>
      <c r="K21" s="11">
        <f>SQRT('PFC Calculation'!$E$20*H21)</f>
        <v>10.260976999284333</v>
      </c>
      <c r="L21" s="11">
        <f>IF(H21&gt;'PFC Calculation'!$E$20,H21,'PFC Calculation'!$E$20)</f>
        <v>11.28745530975072</v>
      </c>
      <c r="M21" s="11">
        <f t="shared" si="3"/>
        <v>88.59392773286511</v>
      </c>
      <c r="N21" s="11">
        <f>IF(H21&gt;'PFC Calculation'!$E$20,F21,I21)</f>
        <v>7.407407407407405</v>
      </c>
      <c r="O21" s="11">
        <f>IF(H21&gt;'PFC Calculation'!$E$20,G21,J21)</f>
        <v>3.880047902343316</v>
      </c>
      <c r="P21" s="11">
        <f>IF(H21&gt;'PFC Calculation'!$E$20,F21/(F21+G21),I21/'PFC Calculation'!$E$20)</f>
        <v>0.6562513165397413</v>
      </c>
      <c r="R21" s="14"/>
      <c r="S21" s="14"/>
      <c r="T21" s="14"/>
      <c r="U21" s="14"/>
      <c r="V21" s="14"/>
      <c r="W21" s="14"/>
      <c r="X21" s="14"/>
    </row>
    <row r="22" spans="3:24" ht="12.75">
      <c r="C22" s="11">
        <v>100</v>
      </c>
      <c r="D22" s="11">
        <f>'PFC Calculation'!$E$8*SQRT(2)*SIN(C22/180*PI())</f>
        <v>125.34556325760342</v>
      </c>
      <c r="E22" s="19">
        <f>'PFC Calculation'!$E$28</f>
        <v>368.85925925925926</v>
      </c>
      <c r="F22" s="11">
        <f>'PFC Calculation'!$E$25*'PFC Calculation'!$E$26/0.0001/1000</f>
        <v>7.407407407407405</v>
      </c>
      <c r="G22" s="11">
        <f t="shared" si="4"/>
        <v>3.8128683068147087</v>
      </c>
      <c r="H22" s="11">
        <f t="shared" si="5"/>
        <v>11.220275714222113</v>
      </c>
      <c r="I22" s="11">
        <f>SQRT('PFC Calculation'!$E$20*F22*(1-D22/E22))</f>
        <v>6.753908291648049</v>
      </c>
      <c r="J22" s="11">
        <f t="shared" si="6"/>
        <v>3.4764879877683192</v>
      </c>
      <c r="K22" s="11">
        <f>SQRT('PFC Calculation'!$E$20*H22)</f>
        <v>10.230396279416368</v>
      </c>
      <c r="L22" s="11">
        <f>IF(H22&gt;'PFC Calculation'!$E$20,H22,'PFC Calculation'!$E$20)</f>
        <v>11.220275714222113</v>
      </c>
      <c r="M22" s="11">
        <f t="shared" si="3"/>
        <v>89.12436962065586</v>
      </c>
      <c r="N22" s="11">
        <f>IF(H22&gt;'PFC Calculation'!$E$20,F22,I22)</f>
        <v>7.407407407407405</v>
      </c>
      <c r="O22" s="11">
        <f>IF(H22&gt;'PFC Calculation'!$E$20,G22,J22)</f>
        <v>3.8128683068147087</v>
      </c>
      <c r="P22" s="11">
        <f>IF(H22&gt;'PFC Calculation'!$E$20,F22/(F22+G22),I22/'PFC Calculation'!$E$20)</f>
        <v>0.6601805157085616</v>
      </c>
      <c r="R22" s="14"/>
      <c r="S22" s="14"/>
      <c r="T22" s="14"/>
      <c r="U22" s="14"/>
      <c r="V22" s="14"/>
      <c r="W22" s="14"/>
      <c r="X22" s="14"/>
    </row>
    <row r="23" spans="3:24" ht="12.75">
      <c r="C23" s="11">
        <v>105</v>
      </c>
      <c r="D23" s="11">
        <f>'PFC Calculation'!$E$8*SQRT(2)*SIN(C23/180*PI())</f>
        <v>122.94228634059948</v>
      </c>
      <c r="E23" s="19">
        <f>'PFC Calculation'!$E$28</f>
        <v>368.85925925925926</v>
      </c>
      <c r="F23" s="11">
        <f>'PFC Calculation'!$E$25*'PFC Calculation'!$E$26/0.0001/1000</f>
        <v>7.407407407407405</v>
      </c>
      <c r="G23" s="11">
        <f t="shared" si="4"/>
        <v>3.7032157305554474</v>
      </c>
      <c r="H23" s="11">
        <f t="shared" si="5"/>
        <v>11.110623137962852</v>
      </c>
      <c r="I23" s="11">
        <f>SQRT('PFC Calculation'!$E$20*F23*(1-D23/E23))</f>
        <v>6.787154184390803</v>
      </c>
      <c r="J23" s="11">
        <f t="shared" si="6"/>
        <v>3.3931299790810696</v>
      </c>
      <c r="K23" s="11">
        <f>SQRT('PFC Calculation'!$E$20*H23)</f>
        <v>10.180284163471873</v>
      </c>
      <c r="L23" s="11">
        <f>IF(H23&gt;'PFC Calculation'!$E$20,H23,'PFC Calculation'!$E$20)</f>
        <v>11.110623137962852</v>
      </c>
      <c r="M23" s="11">
        <f t="shared" si="3"/>
        <v>90.0039527560964</v>
      </c>
      <c r="N23" s="11">
        <f>IF(H23&gt;'PFC Calculation'!$E$20,F23,I23)</f>
        <v>7.407407407407405</v>
      </c>
      <c r="O23" s="11">
        <f>IF(H23&gt;'PFC Calculation'!$E$20,G23,J23)</f>
        <v>3.7032157305554474</v>
      </c>
      <c r="P23" s="11">
        <f>IF(H23&gt;'PFC Calculation'!$E$20,F23/(F23+G23),I23/'PFC Calculation'!$E$20)</f>
        <v>0.6666959463414546</v>
      </c>
      <c r="R23" s="14"/>
      <c r="S23" s="14"/>
      <c r="T23" s="14"/>
      <c r="U23" s="14"/>
      <c r="V23" s="14"/>
      <c r="W23" s="14"/>
      <c r="X23" s="14"/>
    </row>
    <row r="24" spans="3:24" ht="12.75">
      <c r="C24" s="11">
        <v>110</v>
      </c>
      <c r="D24" s="11">
        <f>'PFC Calculation'!$E$8*SQRT(2)*SIN(C24/180*PI())</f>
        <v>119.60334438996145</v>
      </c>
      <c r="E24" s="19">
        <f>'PFC Calculation'!$E$28</f>
        <v>368.85925925925926</v>
      </c>
      <c r="F24" s="11">
        <f>'PFC Calculation'!$E$25*'PFC Calculation'!$E$26/0.0001/1000</f>
        <v>7.407407407407405</v>
      </c>
      <c r="G24" s="11">
        <f t="shared" si="0"/>
        <v>3.554381847465745</v>
      </c>
      <c r="H24" s="11">
        <f t="shared" si="1"/>
        <v>10.96178925487315</v>
      </c>
      <c r="I24" s="11">
        <f>SQRT('PFC Calculation'!$E$20*F24*(1-D24/E24))</f>
        <v>6.833075188245806</v>
      </c>
      <c r="J24" s="11">
        <f t="shared" si="2"/>
        <v>3.2787933855483793</v>
      </c>
      <c r="K24" s="11">
        <f>SQRT('PFC Calculation'!$E$20*H24)</f>
        <v>10.111868573794185</v>
      </c>
      <c r="L24" s="11">
        <f>IF(H24&gt;'PFC Calculation'!$E$20,H24,'PFC Calculation'!$E$20)</f>
        <v>10.96178925487315</v>
      </c>
      <c r="M24" s="11">
        <f t="shared" si="3"/>
        <v>91.2259829804192</v>
      </c>
      <c r="N24" s="11">
        <f>IF(H24&gt;'PFC Calculation'!$E$20,F24,I24)</f>
        <v>7.407407407407405</v>
      </c>
      <c r="O24" s="11">
        <f>IF(H24&gt;'PFC Calculation'!$E$20,G24,J24)</f>
        <v>3.554381847465745</v>
      </c>
      <c r="P24" s="11">
        <f>IF(H24&gt;'PFC Calculation'!$E$20,F24/(F24+G24),I24/'PFC Calculation'!$E$20)</f>
        <v>0.675748022077179</v>
      </c>
      <c r="R24" s="14"/>
      <c r="S24" s="14"/>
      <c r="T24" s="14"/>
      <c r="U24" s="14"/>
      <c r="V24" s="14"/>
      <c r="W24" s="14"/>
      <c r="X24" s="14"/>
    </row>
    <row r="25" spans="3:24" ht="12.75">
      <c r="C25" s="11">
        <v>120</v>
      </c>
      <c r="D25" s="11">
        <f>'PFC Calculation'!$E$8*SQRT(2)*SIN(C25/180*PI())</f>
        <v>110.22703842524302</v>
      </c>
      <c r="E25" s="19">
        <f>'PFC Calculation'!$E$28</f>
        <v>368.85925925925926</v>
      </c>
      <c r="F25" s="11">
        <f>'PFC Calculation'!$E$25*'PFC Calculation'!$E$26/0.0001/1000</f>
        <v>7.407407407407405</v>
      </c>
      <c r="G25" s="11">
        <f t="shared" si="0"/>
        <v>3.1569793519722857</v>
      </c>
      <c r="H25" s="11">
        <f t="shared" si="1"/>
        <v>10.56438675937969</v>
      </c>
      <c r="I25" s="11">
        <f>SQRT('PFC Calculation'!$E$20*F25*(1-D25/E25))</f>
        <v>6.960409283391795</v>
      </c>
      <c r="J25" s="11">
        <f t="shared" si="2"/>
        <v>2.9664722325074555</v>
      </c>
      <c r="K25" s="11">
        <f>SQRT('PFC Calculation'!$E$20*H25)</f>
        <v>9.92688151589925</v>
      </c>
      <c r="L25" s="11">
        <f>IF(H25&gt;'PFC Calculation'!$E$20,H25,'PFC Calculation'!$E$20)</f>
        <v>10.56438675937969</v>
      </c>
      <c r="M25" s="11">
        <f t="shared" si="3"/>
        <v>94.65764769660109</v>
      </c>
      <c r="N25" s="11">
        <f>IF(H25&gt;'PFC Calculation'!$E$20,F25,I25)</f>
        <v>7.407407407407405</v>
      </c>
      <c r="O25" s="11">
        <f>IF(H25&gt;'PFC Calculation'!$E$20,G25,J25)</f>
        <v>3.1569793519722857</v>
      </c>
      <c r="P25" s="11">
        <f>IF(H25&gt;'PFC Calculation'!$E$20,F25/(F25+G25),I25/'PFC Calculation'!$E$20)</f>
        <v>0.7011677607155634</v>
      </c>
      <c r="R25" s="14"/>
      <c r="S25" s="14"/>
      <c r="T25" s="14"/>
      <c r="U25" s="14"/>
      <c r="V25" s="14"/>
      <c r="W25" s="14"/>
      <c r="X25" s="14"/>
    </row>
    <row r="26" spans="3:24" ht="12.75">
      <c r="C26" s="11">
        <v>130</v>
      </c>
      <c r="D26" s="11">
        <f>'PFC Calculation'!$E$8*SQRT(2)*SIN(C26/180*PI())</f>
        <v>97.50153967554634</v>
      </c>
      <c r="E26" s="19">
        <f>'PFC Calculation'!$E$28</f>
        <v>368.85925925925926</v>
      </c>
      <c r="F26" s="11">
        <f>'PFC Calculation'!$E$25*'PFC Calculation'!$E$26/0.0001/1000</f>
        <v>7.407407407407405</v>
      </c>
      <c r="G26" s="11">
        <f t="shared" si="0"/>
        <v>2.6615554859992194</v>
      </c>
      <c r="H26" s="11">
        <f t="shared" si="1"/>
        <v>10.068962893406624</v>
      </c>
      <c r="I26" s="11">
        <f>SQRT('PFC Calculation'!$E$20*F26*(1-D26/E26))</f>
        <v>7.12958996440375</v>
      </c>
      <c r="J26" s="11">
        <f t="shared" si="2"/>
        <v>2.5617329031623113</v>
      </c>
      <c r="K26" s="11">
        <f>SQRT('PFC Calculation'!$E$20*H26)</f>
        <v>9.691322867566061</v>
      </c>
      <c r="L26" s="11">
        <f>IF(H26&gt;'PFC Calculation'!$E$20,H26,'PFC Calculation'!$E$20)</f>
        <v>10.068962893406624</v>
      </c>
      <c r="M26" s="11">
        <f t="shared" si="3"/>
        <v>99.31509437330648</v>
      </c>
      <c r="N26" s="11">
        <f>IF(H26&gt;'PFC Calculation'!$E$20,F26,I26)</f>
        <v>7.407407407407405</v>
      </c>
      <c r="O26" s="11">
        <f>IF(H26&gt;'PFC Calculation'!$E$20,G26,J26)</f>
        <v>2.6615554859992194</v>
      </c>
      <c r="P26" s="11">
        <f>IF(H26&gt;'PFC Calculation'!$E$20,F26/(F26+G26),I26/'PFC Calculation'!$E$20)</f>
        <v>0.7356673657281959</v>
      </c>
      <c r="R26" s="14"/>
      <c r="S26" s="14"/>
      <c r="T26" s="14"/>
      <c r="U26" s="14"/>
      <c r="V26" s="14"/>
      <c r="W26" s="14"/>
      <c r="X26" s="14"/>
    </row>
    <row r="27" spans="3:24" ht="12.75">
      <c r="C27" s="11">
        <v>140</v>
      </c>
      <c r="D27" s="11">
        <f>'PFC Calculation'!$E$8*SQRT(2)*SIN(C27/180*PI())</f>
        <v>81.81350598096789</v>
      </c>
      <c r="E27" s="19">
        <f>'PFC Calculation'!$E$28</f>
        <v>368.85925925925926</v>
      </c>
      <c r="F27" s="11">
        <f>'PFC Calculation'!$E$25*'PFC Calculation'!$E$26/0.0001/1000</f>
        <v>7.407407407407405</v>
      </c>
      <c r="G27" s="11">
        <f t="shared" si="0"/>
        <v>2.1112521725477276</v>
      </c>
      <c r="H27" s="11">
        <f t="shared" si="1"/>
        <v>9.518659579955132</v>
      </c>
      <c r="I27" s="11">
        <f>SQRT('PFC Calculation'!$E$20*F27*(1-D27/E27))</f>
        <v>7.332786259197845</v>
      </c>
      <c r="J27" s="11">
        <f t="shared" si="2"/>
        <v>2.089983724275542</v>
      </c>
      <c r="K27" s="11">
        <f>SQRT('PFC Calculation'!$E$20*H27)</f>
        <v>9.422769983473387</v>
      </c>
      <c r="L27" s="11">
        <f>IF(H27&gt;'PFC Calculation'!$E$20,H27,'PFC Calculation'!$E$20)</f>
        <v>9.518659579955132</v>
      </c>
      <c r="M27" s="11">
        <f t="shared" si="3"/>
        <v>105.05680885004543</v>
      </c>
      <c r="N27" s="11">
        <f>IF(H27&gt;'PFC Calculation'!$E$20,F27,I27)</f>
        <v>7.407407407407405</v>
      </c>
      <c r="O27" s="11">
        <f>IF(H27&gt;'PFC Calculation'!$E$20,G27,J27)</f>
        <v>2.1112521725477276</v>
      </c>
      <c r="P27" s="11">
        <f>IF(H27&gt;'PFC Calculation'!$E$20,F27/(F27+G27),I27/'PFC Calculation'!$E$20)</f>
        <v>0.7781985840744102</v>
      </c>
      <c r="R27" s="14"/>
      <c r="S27" s="14"/>
      <c r="T27" s="14"/>
      <c r="U27" s="14"/>
      <c r="V27" s="14"/>
      <c r="W27" s="14"/>
      <c r="X27" s="14"/>
    </row>
    <row r="28" spans="3:24" ht="12.75">
      <c r="C28" s="11">
        <v>150</v>
      </c>
      <c r="D28" s="11">
        <f>'PFC Calculation'!$E$8*SQRT(2)*SIN(C28/180*PI())</f>
        <v>63.63961030678927</v>
      </c>
      <c r="E28" s="19">
        <f>'PFC Calculation'!$E$28</f>
        <v>368.85925925925926</v>
      </c>
      <c r="F28" s="11">
        <f>'PFC Calculation'!$E$25*'PFC Calculation'!$E$26/0.0001/1000</f>
        <v>7.407407407407405</v>
      </c>
      <c r="G28" s="11">
        <f t="shared" si="0"/>
        <v>1.5444763219174025</v>
      </c>
      <c r="H28" s="11">
        <f t="shared" si="1"/>
        <v>8.951883729324807</v>
      </c>
      <c r="I28" s="11">
        <f>SQRT('PFC Calculation'!$E$20*F28*(1-D28/E28))</f>
        <v>7.56135637496215</v>
      </c>
      <c r="J28" s="11">
        <f t="shared" si="2"/>
        <v>1.5765753441656134</v>
      </c>
      <c r="K28" s="11">
        <f>SQRT('PFC Calculation'!$E$20*H28)</f>
        <v>9.137931719127764</v>
      </c>
      <c r="L28" s="11">
        <f>IF(H28&gt;'PFC Calculation'!$E$20,H28,'PFC Calculation'!$E$20)</f>
        <v>9.327846364883403</v>
      </c>
      <c r="M28" s="11">
        <f t="shared" si="3"/>
        <v>107.20588235294117</v>
      </c>
      <c r="N28" s="11">
        <f>IF(H28&gt;'PFC Calculation'!$E$20,F28,I28)</f>
        <v>7.56135637496215</v>
      </c>
      <c r="O28" s="11">
        <f>IF(H28&gt;'PFC Calculation'!$E$20,G28,J28)</f>
        <v>1.5765753441656134</v>
      </c>
      <c r="P28" s="11">
        <f>IF(H28&gt;'PFC Calculation'!$E$20,F28/(F28+G28),I28/'PFC Calculation'!$E$20)</f>
        <v>0.810621881962854</v>
      </c>
      <c r="R28" s="14"/>
      <c r="S28" s="14"/>
      <c r="T28" s="14"/>
      <c r="U28" s="14"/>
      <c r="V28" s="14"/>
      <c r="W28" s="14"/>
      <c r="X28" s="14"/>
    </row>
    <row r="29" spans="3:24" ht="12.75">
      <c r="C29" s="11">
        <v>160</v>
      </c>
      <c r="D29" s="11">
        <f>'PFC Calculation'!$E$8*SQRT(2)*SIN(C29/180*PI())</f>
        <v>43.53205727663557</v>
      </c>
      <c r="E29" s="19">
        <f>'PFC Calculation'!$E$28</f>
        <v>368.85925925925926</v>
      </c>
      <c r="F29" s="11">
        <f>'PFC Calculation'!$E$25*'PFC Calculation'!$E$26/0.0001/1000</f>
        <v>7.407407407407405</v>
      </c>
      <c r="G29" s="11">
        <f t="shared" si="0"/>
        <v>0.991185740280816</v>
      </c>
      <c r="H29" s="11">
        <f t="shared" si="1"/>
        <v>8.39859314768822</v>
      </c>
      <c r="I29" s="11">
        <f>SQRT('PFC Calculation'!$E$20*F29*(1-D29/E29))</f>
        <v>7.806451251836976</v>
      </c>
      <c r="J29" s="11">
        <f t="shared" si="2"/>
        <v>1.0445818270074492</v>
      </c>
      <c r="K29" s="11">
        <f>SQRT('PFC Calculation'!$E$20*H29)</f>
        <v>8.851033078844425</v>
      </c>
      <c r="L29" s="11">
        <f>IF(H29&gt;'PFC Calculation'!$E$20,H29,'PFC Calculation'!$E$20)</f>
        <v>9.327846364883403</v>
      </c>
      <c r="M29" s="11">
        <f t="shared" si="3"/>
        <v>107.20588235294117</v>
      </c>
      <c r="N29" s="11">
        <f>IF(H29&gt;'PFC Calculation'!$E$20,F29,I29)</f>
        <v>7.806451251836976</v>
      </c>
      <c r="O29" s="11">
        <f>IF(H29&gt;'PFC Calculation'!$E$20,G29,J29)</f>
        <v>1.0445818270074492</v>
      </c>
      <c r="P29" s="11">
        <f>IF(H29&gt;'PFC Calculation'!$E$20,F29/(F29+G29),I29/'PFC Calculation'!$E$20)</f>
        <v>0.8368974944984052</v>
      </c>
      <c r="R29" s="14"/>
      <c r="S29" s="14"/>
      <c r="T29" s="14"/>
      <c r="U29" s="14"/>
      <c r="V29" s="14"/>
      <c r="W29" s="14"/>
      <c r="X29" s="14"/>
    </row>
    <row r="30" spans="3:24" ht="12.75">
      <c r="C30" s="11">
        <v>170</v>
      </c>
      <c r="D30" s="11">
        <f>'PFC Calculation'!$E$8*SQRT(2)*SIN(C30/180*PI())</f>
        <v>22.101804714415156</v>
      </c>
      <c r="E30" s="19">
        <f>'PFC Calculation'!$E$28</f>
        <v>368.85925925925926</v>
      </c>
      <c r="F30" s="11">
        <f>'PFC Calculation'!$E$25*'PFC Calculation'!$E$26/0.0001/1000</f>
        <v>7.407407407407405</v>
      </c>
      <c r="G30" s="11">
        <f t="shared" si="0"/>
        <v>0.47213713739341756</v>
      </c>
      <c r="H30" s="11">
        <f t="shared" si="1"/>
        <v>7.879544544800822</v>
      </c>
      <c r="I30" s="11">
        <f>SQRT('PFC Calculation'!$E$20*F30*(1-D30/E30))</f>
        <v>8.05946783144454</v>
      </c>
      <c r="J30" s="11">
        <f t="shared" si="2"/>
        <v>0.5136984995650948</v>
      </c>
      <c r="K30" s="11">
        <f>SQRT('PFC Calculation'!$E$20*H30)</f>
        <v>8.573166331009634</v>
      </c>
      <c r="L30" s="11">
        <f>IF(H30&gt;'PFC Calculation'!$E$20,H30,'PFC Calculation'!$E$20)</f>
        <v>9.327846364883403</v>
      </c>
      <c r="M30" s="11">
        <f t="shared" si="3"/>
        <v>107.20588235294117</v>
      </c>
      <c r="N30" s="11">
        <f>IF(H30&gt;'PFC Calculation'!$E$20,F30,I30)</f>
        <v>8.05946783144454</v>
      </c>
      <c r="O30" s="11">
        <f>IF(H30&gt;'PFC Calculation'!$E$20,G30,J30)</f>
        <v>0.5136984995650948</v>
      </c>
      <c r="P30" s="11">
        <f>IF(H30&gt;'PFC Calculation'!$E$20,F30/(F30+G30),I30/'PFC Calculation'!$E$20)</f>
        <v>0.8640223601651572</v>
      </c>
      <c r="R30" s="14"/>
      <c r="S30" s="14"/>
      <c r="T30" s="14"/>
      <c r="U30" s="14"/>
      <c r="V30" s="14"/>
      <c r="W30" s="14"/>
      <c r="X30" s="14"/>
    </row>
    <row r="31" spans="3:24" ht="12.75">
      <c r="C31" s="11">
        <v>180</v>
      </c>
      <c r="D31" s="11">
        <f>'PFC Calculation'!$E$8*SQRT(2)*SIN(C31/180*PI())</f>
        <v>1.5593594047669914E-14</v>
      </c>
      <c r="E31" s="19">
        <f>'PFC Calculation'!$E$28</f>
        <v>368.85925925925926</v>
      </c>
      <c r="F31" s="11">
        <f>'PFC Calculation'!$E$25*'PFC Calculation'!$E$26/0.0001/1000</f>
        <v>7.407407407407405</v>
      </c>
      <c r="G31" s="11">
        <f t="shared" si="0"/>
        <v>0</v>
      </c>
      <c r="H31" s="11">
        <f t="shared" si="1"/>
        <v>7.407407407407405</v>
      </c>
      <c r="I31" s="11">
        <f>SQRT('PFC Calculation'!$E$20*F31*(1-D31/E31))</f>
        <v>8.312349743507882</v>
      </c>
      <c r="J31" s="11">
        <f t="shared" si="2"/>
        <v>0</v>
      </c>
      <c r="K31" s="11">
        <f>SQRT('PFC Calculation'!$E$20*H31)</f>
        <v>8.312349743507882</v>
      </c>
      <c r="L31" s="11">
        <f>IF(H31&gt;'PFC Calculation'!$E$20,H31,'PFC Calculation'!$E$20)</f>
        <v>9.327846364883403</v>
      </c>
      <c r="M31" s="11">
        <f t="shared" si="3"/>
        <v>107.20588235294117</v>
      </c>
      <c r="N31" s="11">
        <f>IF(H31&gt;'PFC Calculation'!$E$20,F31,I31)</f>
        <v>8.312349743507882</v>
      </c>
      <c r="O31" s="11">
        <f>IF(H31&gt;'PFC Calculation'!$E$20,G31,J31)</f>
        <v>0</v>
      </c>
      <c r="P31" s="11">
        <f>IF(H31&gt;'PFC Calculation'!$E$20,F31/(F31+G31),I31/'PFC Calculation'!$E$20)</f>
        <v>0.8911327886790067</v>
      </c>
      <c r="R31" s="14"/>
      <c r="S31" s="14"/>
      <c r="T31" s="14"/>
      <c r="U31" s="14"/>
      <c r="V31" s="14"/>
      <c r="W31" s="14"/>
      <c r="X31" s="14"/>
    </row>
    <row r="32" ht="12.75">
      <c r="C32" s="15" t="s">
        <v>28</v>
      </c>
    </row>
    <row r="33" spans="3:16" ht="12.75">
      <c r="C33" s="7" t="s">
        <v>23</v>
      </c>
      <c r="D33" s="7" t="s">
        <v>24</v>
      </c>
      <c r="E33" s="7" t="s">
        <v>25</v>
      </c>
      <c r="F33" s="7" t="s">
        <v>37</v>
      </c>
      <c r="G33" s="7" t="s">
        <v>38</v>
      </c>
      <c r="H33" s="7" t="s">
        <v>36</v>
      </c>
      <c r="I33" s="7" t="s">
        <v>34</v>
      </c>
      <c r="J33" s="7" t="s">
        <v>35</v>
      </c>
      <c r="K33" s="7" t="s">
        <v>33</v>
      </c>
      <c r="L33" s="7" t="s">
        <v>27</v>
      </c>
      <c r="M33" s="7" t="s">
        <v>26</v>
      </c>
      <c r="N33" s="7" t="s">
        <v>40</v>
      </c>
      <c r="O33" s="7" t="s">
        <v>39</v>
      </c>
      <c r="P33" s="7" t="s">
        <v>41</v>
      </c>
    </row>
    <row r="34" spans="3:16" ht="12.75">
      <c r="C34" s="11">
        <v>0</v>
      </c>
      <c r="D34" s="11">
        <f>'PFC Calculation'!$E$7*SQRT(2)*SIN(C34/180*PI())</f>
        <v>0</v>
      </c>
      <c r="E34" s="19">
        <f>'PFC Calculation'!$E$29</f>
        <v>378.66508875739646</v>
      </c>
      <c r="F34" s="11">
        <f>'PFC Calculation'!$E$25*'PFC Calculation'!$E$27/0.0001/1000</f>
        <v>0.8875739644970415</v>
      </c>
      <c r="G34" s="11">
        <f aca="true" t="shared" si="7" ref="G34:G56">H34-F34</f>
        <v>0</v>
      </c>
      <c r="H34" s="11">
        <f aca="true" t="shared" si="8" ref="H34:H56">E34/(E34-D34)*F34</f>
        <v>0.8875739644970415</v>
      </c>
      <c r="I34" s="11">
        <f>SQRT('PFC Calculation'!$E$20*F34*(1-D34/E34))</f>
        <v>2.8773518342911903</v>
      </c>
      <c r="J34" s="11">
        <f aca="true" t="shared" si="9" ref="J34:J56">K34-I34</f>
        <v>0</v>
      </c>
      <c r="K34" s="11">
        <f>SQRT('PFC Calculation'!$E$20*H34)</f>
        <v>2.8773518342911903</v>
      </c>
      <c r="L34" s="11">
        <f>IF(H34&gt;'PFC Calculation'!$E$20,H34,'PFC Calculation'!$E$20)</f>
        <v>9.327846364883403</v>
      </c>
      <c r="M34" s="11">
        <f aca="true" t="shared" si="10" ref="M34:M56">1000/L34</f>
        <v>107.20588235294117</v>
      </c>
      <c r="N34" s="11">
        <f>IF(H34&gt;'PFC Calculation'!$E$20,F34,I34)</f>
        <v>2.8773518342911903</v>
      </c>
      <c r="O34" s="11">
        <f>IF(H34&gt;'PFC Calculation'!$E$20,G34,J34)</f>
        <v>0</v>
      </c>
      <c r="P34" s="11">
        <f>IF(H34&gt;'PFC Calculation'!$E$20,F34/(F34+G34),I34/'PFC Calculation'!$E$20)</f>
        <v>0.30846904223504085</v>
      </c>
    </row>
    <row r="35" spans="3:16" ht="12.75">
      <c r="C35" s="11">
        <v>10</v>
      </c>
      <c r="D35" s="11">
        <f>'PFC Calculation'!$E$7*SQRT(2)*SIN(C35/180*PI())</f>
        <v>63.849658063865874</v>
      </c>
      <c r="E35" s="19">
        <f>'PFC Calculation'!$E$29</f>
        <v>378.66508875739646</v>
      </c>
      <c r="F35" s="11">
        <f>'PFC Calculation'!$E$25*'PFC Calculation'!$E$27/0.0001/1000</f>
        <v>0.8875739644970415</v>
      </c>
      <c r="G35" s="11">
        <f t="shared" si="7"/>
        <v>0.18001434686565565</v>
      </c>
      <c r="H35" s="11">
        <f t="shared" si="8"/>
        <v>1.0675883113626972</v>
      </c>
      <c r="I35" s="11">
        <f>SQRT('PFC Calculation'!$E$20*F35*(1-D35/E35))</f>
        <v>2.623574140163102</v>
      </c>
      <c r="J35" s="11">
        <f t="shared" si="9"/>
        <v>0.532103243432462</v>
      </c>
      <c r="K35" s="11">
        <f>SQRT('PFC Calculation'!$E$20*H35)</f>
        <v>3.155677383595564</v>
      </c>
      <c r="L35" s="11">
        <f>IF(H35&gt;'PFC Calculation'!$E$20,H35,'PFC Calculation'!$E$20)</f>
        <v>9.327846364883403</v>
      </c>
      <c r="M35" s="11">
        <f t="shared" si="10"/>
        <v>107.20588235294117</v>
      </c>
      <c r="N35" s="11">
        <f>IF(H35&gt;'PFC Calculation'!$E$20,F35,I35)</f>
        <v>2.623574140163102</v>
      </c>
      <c r="O35" s="11">
        <f>IF(H35&gt;'PFC Calculation'!$E$20,G35,J35)</f>
        <v>0.532103243432462</v>
      </c>
      <c r="P35" s="11">
        <f>IF(H35&gt;'PFC Calculation'!$E$20,F35/(F35+G35),I35/'PFC Calculation'!$E$20)</f>
        <v>0.2812625806145443</v>
      </c>
    </row>
    <row r="36" spans="3:16" ht="12.75">
      <c r="C36" s="11">
        <v>20</v>
      </c>
      <c r="D36" s="11">
        <f>'PFC Calculation'!$E$7*SQRT(2)*SIN(C36/180*PI())</f>
        <v>125.75927657694713</v>
      </c>
      <c r="E36" s="19">
        <f>'PFC Calculation'!$E$29</f>
        <v>378.66508875739646</v>
      </c>
      <c r="F36" s="11">
        <f>'PFC Calculation'!$E$25*'PFC Calculation'!$E$27/0.0001/1000</f>
        <v>0.8875739644970415</v>
      </c>
      <c r="G36" s="11">
        <f t="shared" si="7"/>
        <v>0.44135268668336924</v>
      </c>
      <c r="H36" s="11">
        <f t="shared" si="8"/>
        <v>1.3289266511804108</v>
      </c>
      <c r="I36" s="11">
        <f>SQRT('PFC Calculation'!$E$20*F36*(1-D36/E36))</f>
        <v>2.3514986895956422</v>
      </c>
      <c r="J36" s="11">
        <f t="shared" si="9"/>
        <v>1.1693000312076172</v>
      </c>
      <c r="K36" s="11">
        <f>SQRT('PFC Calculation'!$E$20*H36)</f>
        <v>3.5207987208032594</v>
      </c>
      <c r="L36" s="11">
        <f>IF(H36&gt;'PFC Calculation'!$E$20,H36,'PFC Calculation'!$E$20)</f>
        <v>9.327846364883403</v>
      </c>
      <c r="M36" s="11">
        <f t="shared" si="10"/>
        <v>107.20588235294117</v>
      </c>
      <c r="N36" s="11">
        <f>IF(H36&gt;'PFC Calculation'!$E$20,F36,I36)</f>
        <v>2.3514986895956422</v>
      </c>
      <c r="O36" s="11">
        <f>IF(H36&gt;'PFC Calculation'!$E$20,G36,J36)</f>
        <v>1.1693000312076172</v>
      </c>
      <c r="P36" s="11">
        <f>IF(H36&gt;'PFC Calculation'!$E$20,F36/(F36+G36),I36/'PFC Calculation'!$E$20)</f>
        <v>0.25209449186988575</v>
      </c>
    </row>
    <row r="37" spans="3:16" ht="12.75">
      <c r="C37" s="11">
        <v>30</v>
      </c>
      <c r="D37" s="11">
        <f>'PFC Calculation'!$E$7*SQRT(2)*SIN(C37/180*PI())</f>
        <v>183.84776310850233</v>
      </c>
      <c r="E37" s="19">
        <f>'PFC Calculation'!$E$29</f>
        <v>378.66508875739646</v>
      </c>
      <c r="F37" s="11">
        <f>'PFC Calculation'!$E$25*'PFC Calculation'!$E$27/0.0001/1000</f>
        <v>0.8875739644970415</v>
      </c>
      <c r="G37" s="11">
        <f t="shared" si="7"/>
        <v>0.8375974129745098</v>
      </c>
      <c r="H37" s="11">
        <f t="shared" si="8"/>
        <v>1.7251713774715514</v>
      </c>
      <c r="I37" s="11">
        <f>SQRT('PFC Calculation'!$E$20*F37*(1-D37/E37))</f>
        <v>2.0638547278471204</v>
      </c>
      <c r="J37" s="11">
        <f t="shared" si="9"/>
        <v>1.9476454357012871</v>
      </c>
      <c r="K37" s="11">
        <f>SQRT('PFC Calculation'!$E$20*H37)</f>
        <v>4.0115001635484075</v>
      </c>
      <c r="L37" s="11">
        <f>IF(H37&gt;'PFC Calculation'!$E$20,H37,'PFC Calculation'!$E$20)</f>
        <v>9.327846364883403</v>
      </c>
      <c r="M37" s="11">
        <f t="shared" si="10"/>
        <v>107.20588235294117</v>
      </c>
      <c r="N37" s="11">
        <f>IF(H37&gt;'PFC Calculation'!$E$20,F37,I37)</f>
        <v>2.0638547278471204</v>
      </c>
      <c r="O37" s="11">
        <f>IF(H37&gt;'PFC Calculation'!$E$20,G37,J37)</f>
        <v>1.9476454357012871</v>
      </c>
      <c r="P37" s="11">
        <f>IF(H37&gt;'PFC Calculation'!$E$20,F37/(F37+G37),I37/'PFC Calculation'!$E$20)</f>
        <v>0.2212573671471398</v>
      </c>
    </row>
    <row r="38" spans="3:16" ht="12.75">
      <c r="C38" s="11">
        <v>40</v>
      </c>
      <c r="D38" s="11">
        <f>'PFC Calculation'!$E$7*SQRT(2)*SIN(C38/180*PI())</f>
        <v>236.3501283894627</v>
      </c>
      <c r="E38" s="19">
        <f>'PFC Calculation'!$E$29</f>
        <v>378.66508875739646</v>
      </c>
      <c r="F38" s="11">
        <f>'PFC Calculation'!$E$25*'PFC Calculation'!$E$27/0.0001/1000</f>
        <v>0.8875739644970415</v>
      </c>
      <c r="G38" s="11">
        <f t="shared" si="7"/>
        <v>1.4740419413508627</v>
      </c>
      <c r="H38" s="11">
        <f t="shared" si="8"/>
        <v>2.3616159058479043</v>
      </c>
      <c r="I38" s="11">
        <f>SQRT('PFC Calculation'!$E$20*F38*(1-D38/E38))</f>
        <v>1.7639676412440215</v>
      </c>
      <c r="J38" s="11">
        <f t="shared" si="9"/>
        <v>2.9295161759875024</v>
      </c>
      <c r="K38" s="11">
        <f>SQRT('PFC Calculation'!$E$20*H38)</f>
        <v>4.693483817231524</v>
      </c>
      <c r="L38" s="11">
        <f>IF(H38&gt;'PFC Calculation'!$E$20,H38,'PFC Calculation'!$E$20)</f>
        <v>9.327846364883403</v>
      </c>
      <c r="M38" s="11">
        <f t="shared" si="10"/>
        <v>107.20588235294117</v>
      </c>
      <c r="N38" s="11">
        <f>IF(H38&gt;'PFC Calculation'!$E$20,F38,I38)</f>
        <v>1.7639676412440215</v>
      </c>
      <c r="O38" s="11">
        <f>IF(H38&gt;'PFC Calculation'!$E$20,G38,J38)</f>
        <v>2.9295161759875024</v>
      </c>
      <c r="P38" s="11">
        <f>IF(H38&gt;'PFC Calculation'!$E$20,F38/(F38+G38),I38/'PFC Calculation'!$E$20)</f>
        <v>0.1891077074216017</v>
      </c>
    </row>
    <row r="39" spans="3:16" ht="12.75">
      <c r="C39" s="11">
        <v>50</v>
      </c>
      <c r="D39" s="11">
        <f>'PFC Calculation'!$E$7*SQRT(2)*SIN(C39/180*PI())</f>
        <v>281.671114618245</v>
      </c>
      <c r="E39" s="19">
        <f>'PFC Calculation'!$E$29</f>
        <v>378.66508875739646</v>
      </c>
      <c r="F39" s="11">
        <f>'PFC Calculation'!$E$25*'PFC Calculation'!$E$27/0.0001/1000</f>
        <v>0.8875739644970415</v>
      </c>
      <c r="G39" s="11">
        <f t="shared" si="7"/>
        <v>2.577520408920976</v>
      </c>
      <c r="H39" s="11">
        <f t="shared" si="8"/>
        <v>3.4650943734180175</v>
      </c>
      <c r="I39" s="11">
        <f>SQRT('PFC Calculation'!$E$20*F39*(1-D39/E39))</f>
        <v>1.4562559505201658</v>
      </c>
      <c r="J39" s="11">
        <f t="shared" si="9"/>
        <v>4.228976494601598</v>
      </c>
      <c r="K39" s="11">
        <f>SQRT('PFC Calculation'!$E$20*H39)</f>
        <v>5.6852324451217635</v>
      </c>
      <c r="L39" s="11">
        <f>IF(H39&gt;'PFC Calculation'!$E$20,H39,'PFC Calculation'!$E$20)</f>
        <v>9.327846364883403</v>
      </c>
      <c r="M39" s="11">
        <f t="shared" si="10"/>
        <v>107.20588235294117</v>
      </c>
      <c r="N39" s="11">
        <f>IF(H39&gt;'PFC Calculation'!$E$20,F39,I39)</f>
        <v>1.4562559505201658</v>
      </c>
      <c r="O39" s="11">
        <f>IF(H39&gt;'PFC Calculation'!$E$20,G39,J39)</f>
        <v>4.228976494601598</v>
      </c>
      <c r="P39" s="11">
        <f>IF(H39&gt;'PFC Calculation'!$E$20,F39/(F39+G39),I39/'PFC Calculation'!$E$20)</f>
        <v>0.1561192041072354</v>
      </c>
    </row>
    <row r="40" spans="3:16" ht="12.75">
      <c r="C40" s="11">
        <v>60</v>
      </c>
      <c r="D40" s="11">
        <f>'PFC Calculation'!$E$7*SQRT(2)*SIN(C40/180*PI())</f>
        <v>318.43366656181314</v>
      </c>
      <c r="E40" s="19">
        <f>'PFC Calculation'!$E$29</f>
        <v>378.66508875739646</v>
      </c>
      <c r="F40" s="11">
        <f>'PFC Calculation'!$E$25*'PFC Calculation'!$E$27/0.0001/1000</f>
        <v>0.8875739644970415</v>
      </c>
      <c r="G40" s="11">
        <f t="shared" si="7"/>
        <v>4.692458214614806</v>
      </c>
      <c r="H40" s="11">
        <f t="shared" si="8"/>
        <v>5.580032179111847</v>
      </c>
      <c r="I40" s="11">
        <f>SQRT('PFC Calculation'!$E$20*F40*(1-D40/E40))</f>
        <v>1.1475639452748918</v>
      </c>
      <c r="J40" s="11">
        <f t="shared" si="9"/>
        <v>6.066982670962393</v>
      </c>
      <c r="K40" s="11">
        <f>SQRT('PFC Calculation'!$E$20*H40)</f>
        <v>7.214546616237285</v>
      </c>
      <c r="L40" s="11">
        <f>IF(H40&gt;'PFC Calculation'!$E$20,H40,'PFC Calculation'!$E$20)</f>
        <v>9.327846364883403</v>
      </c>
      <c r="M40" s="11">
        <f t="shared" si="10"/>
        <v>107.20588235294117</v>
      </c>
      <c r="N40" s="11">
        <f>IF(H40&gt;'PFC Calculation'!$E$20,F40,I40)</f>
        <v>1.1475639452748918</v>
      </c>
      <c r="O40" s="11">
        <f>IF(H40&gt;'PFC Calculation'!$E$20,G40,J40)</f>
        <v>6.066982670962393</v>
      </c>
      <c r="P40" s="11">
        <f>IF(H40&gt;'PFC Calculation'!$E$20,F40/(F40+G40),I40/'PFC Calculation'!$E$20)</f>
        <v>0.12302560530961706</v>
      </c>
    </row>
    <row r="41" spans="3:16" ht="12.75">
      <c r="C41" s="11">
        <v>70</v>
      </c>
      <c r="D41" s="11">
        <f>'PFC Calculation'!$E$7*SQRT(2)*SIN(C41/180*PI())</f>
        <v>345.5207726821108</v>
      </c>
      <c r="E41" s="19">
        <f>'PFC Calculation'!$E$29</f>
        <v>378.66508875739646</v>
      </c>
      <c r="F41" s="11">
        <f>'PFC Calculation'!$E$25*'PFC Calculation'!$E$27/0.0001/1000</f>
        <v>0.8875739644970415</v>
      </c>
      <c r="G41" s="11">
        <f t="shared" si="7"/>
        <v>9.252725002046951</v>
      </c>
      <c r="H41" s="11">
        <f t="shared" si="8"/>
        <v>10.140298966543993</v>
      </c>
      <c r="I41" s="11">
        <f>SQRT('PFC Calculation'!$E$20*F41*(1-D41/E41))</f>
        <v>0.8512749755860756</v>
      </c>
      <c r="J41" s="11">
        <f t="shared" si="9"/>
        <v>8.87431759525033</v>
      </c>
      <c r="K41" s="11">
        <f>SQRT('PFC Calculation'!$E$20*H41)</f>
        <v>9.725592570836406</v>
      </c>
      <c r="L41" s="11">
        <f>IF(H41&gt;'PFC Calculation'!$E$20,H41,'PFC Calculation'!$E$20)</f>
        <v>10.140298966543993</v>
      </c>
      <c r="M41" s="11">
        <f t="shared" si="10"/>
        <v>98.61642179380625</v>
      </c>
      <c r="N41" s="11">
        <f>IF(H41&gt;'PFC Calculation'!$E$20,F41,I41)</f>
        <v>0.8875739644970415</v>
      </c>
      <c r="O41" s="11">
        <f>IF(H41&gt;'PFC Calculation'!$E$20,G41,J41)</f>
        <v>9.252725002046951</v>
      </c>
      <c r="P41" s="11">
        <f>IF(H41&gt;'PFC Calculation'!$E$20,F41/(F41+G41),I41/'PFC Calculation'!$E$20)</f>
        <v>0.08752936845604106</v>
      </c>
    </row>
    <row r="42" spans="3:16" ht="12.75">
      <c r="C42" s="11">
        <v>75</v>
      </c>
      <c r="D42" s="11">
        <f>'PFC Calculation'!$E$7*SQRT(2)*SIN(C42/180*PI())</f>
        <v>355.1666049839541</v>
      </c>
      <c r="E42" s="19">
        <f>'PFC Calculation'!$E$29</f>
        <v>378.66508875739646</v>
      </c>
      <c r="F42" s="11">
        <f>'PFC Calculation'!$E$25*'PFC Calculation'!$E$27/0.0001/1000</f>
        <v>0.8875739644970415</v>
      </c>
      <c r="G42" s="11">
        <f aca="true" t="shared" si="11" ref="G42:G48">H42-F42</f>
        <v>13.415190302569147</v>
      </c>
      <c r="H42" s="11">
        <f aca="true" t="shared" si="12" ref="H42:H48">E42/(E42-D42)*F42</f>
        <v>14.30276426706619</v>
      </c>
      <c r="I42" s="11">
        <f>SQRT('PFC Calculation'!$E$20*F42*(1-D42/E42))</f>
        <v>0.7167789723248172</v>
      </c>
      <c r="J42" s="11">
        <f aca="true" t="shared" si="13" ref="J42:J48">K42-I42</f>
        <v>10.833718318975569</v>
      </c>
      <c r="K42" s="11">
        <f>SQRT('PFC Calculation'!$E$20*H42)</f>
        <v>11.550497291300386</v>
      </c>
      <c r="L42" s="11">
        <f>IF(H42&gt;'PFC Calculation'!$E$20,H42,'PFC Calculation'!$E$20)</f>
        <v>14.30276426706619</v>
      </c>
      <c r="M42" s="11">
        <f t="shared" si="10"/>
        <v>69.91655468325229</v>
      </c>
      <c r="N42" s="11">
        <f>IF(H42&gt;'PFC Calculation'!$E$20,F42,I42)</f>
        <v>0.8875739644970415</v>
      </c>
      <c r="O42" s="11">
        <f>IF(H42&gt;'PFC Calculation'!$E$20,G42,J42)</f>
        <v>13.415190302569147</v>
      </c>
      <c r="P42" s="11">
        <f>IF(H42&gt;'PFC Calculation'!$E$20,F42/(F42+G42),I42/'PFC Calculation'!$E$20)</f>
        <v>0.062056113624188426</v>
      </c>
    </row>
    <row r="43" spans="3:16" ht="12.75">
      <c r="C43" s="11">
        <v>80</v>
      </c>
      <c r="D43" s="11">
        <f>'PFC Calculation'!$E$7*SQRT(2)*SIN(C43/180*PI())</f>
        <v>362.10940496640984</v>
      </c>
      <c r="E43" s="19">
        <f>'PFC Calculation'!$E$29</f>
        <v>378.66508875739646</v>
      </c>
      <c r="F43" s="11">
        <f>'PFC Calculation'!$E$25*'PFC Calculation'!$E$27/0.0001/1000</f>
        <v>0.8875739644970415</v>
      </c>
      <c r="G43" s="11">
        <f t="shared" si="11"/>
        <v>19.413204806598184</v>
      </c>
      <c r="H43" s="11">
        <f t="shared" si="12"/>
        <v>20.300778771095224</v>
      </c>
      <c r="I43" s="11">
        <f>SQRT('PFC Calculation'!$E$20*F43*(1-D43/E43))</f>
        <v>0.6016430405374453</v>
      </c>
      <c r="J43" s="11">
        <f t="shared" si="13"/>
        <v>13.15926337816415</v>
      </c>
      <c r="K43" s="11">
        <f>SQRT('PFC Calculation'!$E$20*H43)</f>
        <v>13.760906418701595</v>
      </c>
      <c r="L43" s="11">
        <f>IF(H43&gt;'PFC Calculation'!$E$20,H43,'PFC Calculation'!$E$20)</f>
        <v>20.300778771095224</v>
      </c>
      <c r="M43" s="11">
        <f t="shared" si="10"/>
        <v>49.259194008055786</v>
      </c>
      <c r="N43" s="11">
        <f>IF(H43&gt;'PFC Calculation'!$E$20,F43,I43)</f>
        <v>0.8875739644970415</v>
      </c>
      <c r="O43" s="11">
        <f>IF(H43&gt;'PFC Calculation'!$E$20,G43,J43)</f>
        <v>19.413204806598184</v>
      </c>
      <c r="P43" s="11">
        <f>IF(H43&gt;'PFC Calculation'!$E$20,F43/(F43+G43),I43/'PFC Calculation'!$E$20)</f>
        <v>0.043721178113658984</v>
      </c>
    </row>
    <row r="44" spans="3:16" ht="12.75">
      <c r="C44" s="11">
        <v>85</v>
      </c>
      <c r="D44" s="11">
        <f>'PFC Calculation'!$E$7*SQRT(2)*SIN(C44/180*PI())</f>
        <v>366.29633372943454</v>
      </c>
      <c r="E44" s="19">
        <f>'PFC Calculation'!$E$29</f>
        <v>378.66508875739646</v>
      </c>
      <c r="F44" s="11">
        <f>'PFC Calculation'!$E$25*'PFC Calculation'!$E$27/0.0001/1000</f>
        <v>0.8875739644970415</v>
      </c>
      <c r="G44" s="11">
        <f t="shared" si="11"/>
        <v>26.28519106199299</v>
      </c>
      <c r="H44" s="11">
        <f t="shared" si="12"/>
        <v>27.17276502649003</v>
      </c>
      <c r="I44" s="11">
        <f>SQRT('PFC Calculation'!$E$20*F44*(1-D44/E44))</f>
        <v>0.5200299181312851</v>
      </c>
      <c r="J44" s="11">
        <f t="shared" si="13"/>
        <v>15.400503285130968</v>
      </c>
      <c r="K44" s="11">
        <f>SQRT('PFC Calculation'!$E$20*H44)</f>
        <v>15.920533203262254</v>
      </c>
      <c r="L44" s="11">
        <f>IF(H44&gt;'PFC Calculation'!$E$20,H44,'PFC Calculation'!$E$20)</f>
        <v>27.17276502649003</v>
      </c>
      <c r="M44" s="11">
        <f t="shared" si="10"/>
        <v>36.80155475620997</v>
      </c>
      <c r="N44" s="11">
        <f>IF(H44&gt;'PFC Calculation'!$E$20,F44,I44)</f>
        <v>0.8875739644970415</v>
      </c>
      <c r="O44" s="11">
        <f>IF(H44&gt;'PFC Calculation'!$E$20,G44,J44)</f>
        <v>26.28519106199299</v>
      </c>
      <c r="P44" s="11">
        <f>IF(H44&gt;'PFC Calculation'!$E$20,F44/(F44+G44),I44/'PFC Calculation'!$E$20)</f>
        <v>0.03266410185462423</v>
      </c>
    </row>
    <row r="45" spans="3:16" ht="12.75">
      <c r="C45" s="11">
        <v>90</v>
      </c>
      <c r="D45" s="11">
        <f>'PFC Calculation'!$E$7*SQRT(2)*SIN(C45/180*PI())</f>
        <v>367.6955262170047</v>
      </c>
      <c r="E45" s="19">
        <f>'PFC Calculation'!$E$29</f>
        <v>378.66508875739646</v>
      </c>
      <c r="F45" s="11">
        <f>'PFC Calculation'!$E$25*'PFC Calculation'!$E$27/0.0001/1000</f>
        <v>0.8875739644970415</v>
      </c>
      <c r="G45" s="11">
        <f t="shared" si="11"/>
        <v>29.751138637530225</v>
      </c>
      <c r="H45" s="11">
        <f t="shared" si="12"/>
        <v>30.638712602027265</v>
      </c>
      <c r="I45" s="11">
        <f>SQRT('PFC Calculation'!$E$20*F45*(1-D45/E45))</f>
        <v>0.48973370010133477</v>
      </c>
      <c r="J45" s="11">
        <f t="shared" si="13"/>
        <v>16.415685666762275</v>
      </c>
      <c r="K45" s="11">
        <f>SQRT('PFC Calculation'!$E$20*H45)</f>
        <v>16.90541936686361</v>
      </c>
      <c r="L45" s="11">
        <f>IF(H45&gt;'PFC Calculation'!$E$20,H45,'PFC Calculation'!$E$20)</f>
        <v>30.638712602027265</v>
      </c>
      <c r="M45" s="11">
        <f t="shared" si="10"/>
        <v>32.63844708454993</v>
      </c>
      <c r="N45" s="11">
        <f>IF(H45&gt;'PFC Calculation'!$E$20,F45,I45)</f>
        <v>0.8875739644970415</v>
      </c>
      <c r="O45" s="11">
        <f>IF(H45&gt;'PFC Calculation'!$E$20,G45,J45)</f>
        <v>29.751138637530225</v>
      </c>
      <c r="P45" s="11">
        <f>IF(H45&gt;'PFC Calculation'!$E$20,F45/(F45+G45),I45/'PFC Calculation'!$E$20)</f>
        <v>0.028969035873860887</v>
      </c>
    </row>
    <row r="46" spans="3:16" ht="12.75">
      <c r="C46" s="11">
        <v>95</v>
      </c>
      <c r="D46" s="11">
        <f>'PFC Calculation'!$E$7*SQRT(2)*SIN(C46/180*PI())</f>
        <v>366.29633372943454</v>
      </c>
      <c r="E46" s="19">
        <f>'PFC Calculation'!$E$29</f>
        <v>378.66508875739646</v>
      </c>
      <c r="F46" s="11">
        <f>'PFC Calculation'!$E$25*'PFC Calculation'!$E$27/0.0001/1000</f>
        <v>0.8875739644970415</v>
      </c>
      <c r="G46" s="11">
        <f t="shared" si="11"/>
        <v>26.28519106199299</v>
      </c>
      <c r="H46" s="11">
        <f t="shared" si="12"/>
        <v>27.17276502649003</v>
      </c>
      <c r="I46" s="11">
        <f>SQRT('PFC Calculation'!$E$20*F46*(1-D46/E46))</f>
        <v>0.5200299181312851</v>
      </c>
      <c r="J46" s="11">
        <f t="shared" si="13"/>
        <v>15.400503285130968</v>
      </c>
      <c r="K46" s="11">
        <f>SQRT('PFC Calculation'!$E$20*H46)</f>
        <v>15.920533203262254</v>
      </c>
      <c r="L46" s="11">
        <f>IF(H46&gt;'PFC Calculation'!$E$20,H46,'PFC Calculation'!$E$20)</f>
        <v>27.17276502649003</v>
      </c>
      <c r="M46" s="11">
        <f t="shared" si="10"/>
        <v>36.80155475620997</v>
      </c>
      <c r="N46" s="11">
        <f>IF(H46&gt;'PFC Calculation'!$E$20,F46,I46)</f>
        <v>0.8875739644970415</v>
      </c>
      <c r="O46" s="11">
        <f>IF(H46&gt;'PFC Calculation'!$E$20,G46,J46)</f>
        <v>26.28519106199299</v>
      </c>
      <c r="P46" s="11">
        <f>IF(H46&gt;'PFC Calculation'!$E$20,F46/(F46+G46),I46/'PFC Calculation'!$E$20)</f>
        <v>0.03266410185462423</v>
      </c>
    </row>
    <row r="47" spans="3:16" ht="12.75">
      <c r="C47" s="11">
        <v>100</v>
      </c>
      <c r="D47" s="11">
        <f>'PFC Calculation'!$E$7*SQRT(2)*SIN(C47/180*PI())</f>
        <v>362.10940496640984</v>
      </c>
      <c r="E47" s="19">
        <f>'PFC Calculation'!$E$29</f>
        <v>378.66508875739646</v>
      </c>
      <c r="F47" s="11">
        <f>'PFC Calculation'!$E$25*'PFC Calculation'!$E$27/0.0001/1000</f>
        <v>0.8875739644970415</v>
      </c>
      <c r="G47" s="11">
        <f t="shared" si="11"/>
        <v>19.413204806598184</v>
      </c>
      <c r="H47" s="11">
        <f t="shared" si="12"/>
        <v>20.300778771095224</v>
      </c>
      <c r="I47" s="11">
        <f>SQRT('PFC Calculation'!$E$20*F47*(1-D47/E47))</f>
        <v>0.6016430405374453</v>
      </c>
      <c r="J47" s="11">
        <f t="shared" si="13"/>
        <v>13.15926337816415</v>
      </c>
      <c r="K47" s="11">
        <f>SQRT('PFC Calculation'!$E$20*H47)</f>
        <v>13.760906418701595</v>
      </c>
      <c r="L47" s="11">
        <f>IF(H47&gt;'PFC Calculation'!$E$20,H47,'PFC Calculation'!$E$20)</f>
        <v>20.300778771095224</v>
      </c>
      <c r="M47" s="11">
        <f t="shared" si="10"/>
        <v>49.259194008055786</v>
      </c>
      <c r="N47" s="11">
        <f>IF(H47&gt;'PFC Calculation'!$E$20,F47,I47)</f>
        <v>0.8875739644970415</v>
      </c>
      <c r="O47" s="11">
        <f>IF(H47&gt;'PFC Calculation'!$E$20,G47,J47)</f>
        <v>19.413204806598184</v>
      </c>
      <c r="P47" s="11">
        <f>IF(H47&gt;'PFC Calculation'!$E$20,F47/(F47+G47),I47/'PFC Calculation'!$E$20)</f>
        <v>0.043721178113658984</v>
      </c>
    </row>
    <row r="48" spans="3:16" ht="12.75">
      <c r="C48" s="11">
        <v>105</v>
      </c>
      <c r="D48" s="11">
        <f>'PFC Calculation'!$E$7*SQRT(2)*SIN(C48/180*PI())</f>
        <v>355.1666049839541</v>
      </c>
      <c r="E48" s="19">
        <f>'PFC Calculation'!$E$29</f>
        <v>378.66508875739646</v>
      </c>
      <c r="F48" s="11">
        <f>'PFC Calculation'!$E$25*'PFC Calculation'!$E$27/0.0001/1000</f>
        <v>0.8875739644970415</v>
      </c>
      <c r="G48" s="11">
        <f t="shared" si="11"/>
        <v>13.415190302569147</v>
      </c>
      <c r="H48" s="11">
        <f t="shared" si="12"/>
        <v>14.30276426706619</v>
      </c>
      <c r="I48" s="11">
        <f>SQRT('PFC Calculation'!$E$20*F48*(1-D48/E48))</f>
        <v>0.7167789723248172</v>
      </c>
      <c r="J48" s="11">
        <f t="shared" si="13"/>
        <v>10.833718318975569</v>
      </c>
      <c r="K48" s="11">
        <f>SQRT('PFC Calculation'!$E$20*H48)</f>
        <v>11.550497291300386</v>
      </c>
      <c r="L48" s="11">
        <f>IF(H48&gt;'PFC Calculation'!$E$20,H48,'PFC Calculation'!$E$20)</f>
        <v>14.30276426706619</v>
      </c>
      <c r="M48" s="11">
        <f t="shared" si="10"/>
        <v>69.91655468325229</v>
      </c>
      <c r="N48" s="11">
        <f>IF(H48&gt;'PFC Calculation'!$E$20,F48,I48)</f>
        <v>0.8875739644970415</v>
      </c>
      <c r="O48" s="11">
        <f>IF(H48&gt;'PFC Calculation'!$E$20,G48,J48)</f>
        <v>13.415190302569147</v>
      </c>
      <c r="P48" s="11">
        <f>IF(H48&gt;'PFC Calculation'!$E$20,F48/(F48+G48),I48/'PFC Calculation'!$E$20)</f>
        <v>0.062056113624188426</v>
      </c>
    </row>
    <row r="49" spans="3:16" ht="12.75">
      <c r="C49" s="11">
        <v>110</v>
      </c>
      <c r="D49" s="11">
        <f>'PFC Calculation'!$E$7*SQRT(2)*SIN(C49/180*PI())</f>
        <v>345.5207726821109</v>
      </c>
      <c r="E49" s="19">
        <f>'PFC Calculation'!$E$29</f>
        <v>378.66508875739646</v>
      </c>
      <c r="F49" s="11">
        <f>'PFC Calculation'!$E$25*'PFC Calculation'!$E$27/0.0001/1000</f>
        <v>0.8875739644970415</v>
      </c>
      <c r="G49" s="11">
        <f t="shared" si="7"/>
        <v>9.252725002046969</v>
      </c>
      <c r="H49" s="11">
        <f t="shared" si="8"/>
        <v>10.14029896654401</v>
      </c>
      <c r="I49" s="11">
        <f>SQRT('PFC Calculation'!$E$20*F49*(1-D49/E49))</f>
        <v>0.8512749755860745</v>
      </c>
      <c r="J49" s="11">
        <f t="shared" si="9"/>
        <v>8.874317595250341</v>
      </c>
      <c r="K49" s="11">
        <f>SQRT('PFC Calculation'!$E$20*H49)</f>
        <v>9.725592570836415</v>
      </c>
      <c r="L49" s="11">
        <f>IF(H49&gt;'PFC Calculation'!$E$20,H49,'PFC Calculation'!$E$20)</f>
        <v>10.14029896654401</v>
      </c>
      <c r="M49" s="11">
        <f t="shared" si="10"/>
        <v>98.61642179380608</v>
      </c>
      <c r="N49" s="11">
        <f>IF(H49&gt;'PFC Calculation'!$E$20,F49,I49)</f>
        <v>0.8875739644970415</v>
      </c>
      <c r="O49" s="11">
        <f>IF(H49&gt;'PFC Calculation'!$E$20,G49,J49)</f>
        <v>9.252725002046969</v>
      </c>
      <c r="P49" s="11">
        <f>IF(H49&gt;'PFC Calculation'!$E$20,F49/(F49+G49),I49/'PFC Calculation'!$E$20)</f>
        <v>0.08752936845604091</v>
      </c>
    </row>
    <row r="50" spans="3:16" ht="12.75">
      <c r="C50" s="11">
        <v>120</v>
      </c>
      <c r="D50" s="11">
        <f>'PFC Calculation'!$E$7*SQRT(2)*SIN(C50/180*PI())</f>
        <v>318.4336665618132</v>
      </c>
      <c r="E50" s="19">
        <f>'PFC Calculation'!$E$29</f>
        <v>378.66508875739646</v>
      </c>
      <c r="F50" s="11">
        <f>'PFC Calculation'!$E$25*'PFC Calculation'!$E$27/0.0001/1000</f>
        <v>0.8875739644970415</v>
      </c>
      <c r="G50" s="11">
        <f t="shared" si="7"/>
        <v>4.6924582146148115</v>
      </c>
      <c r="H50" s="11">
        <f t="shared" si="8"/>
        <v>5.580032179111853</v>
      </c>
      <c r="I50" s="11">
        <f>SQRT('PFC Calculation'!$E$20*F50*(1-D50/E50))</f>
        <v>1.147563945274891</v>
      </c>
      <c r="J50" s="11">
        <f t="shared" si="9"/>
        <v>6.066982670962397</v>
      </c>
      <c r="K50" s="11">
        <f>SQRT('PFC Calculation'!$E$20*H50)</f>
        <v>7.214546616237288</v>
      </c>
      <c r="L50" s="11">
        <f>IF(H50&gt;'PFC Calculation'!$E$20,H50,'PFC Calculation'!$E$20)</f>
        <v>9.327846364883403</v>
      </c>
      <c r="M50" s="11">
        <f t="shared" si="10"/>
        <v>107.20588235294117</v>
      </c>
      <c r="N50" s="11">
        <f>IF(H50&gt;'PFC Calculation'!$E$20,F50,I50)</f>
        <v>1.147563945274891</v>
      </c>
      <c r="O50" s="11">
        <f>IF(H50&gt;'PFC Calculation'!$E$20,G50,J50)</f>
        <v>6.066982670962397</v>
      </c>
      <c r="P50" s="11">
        <f>IF(H50&gt;'PFC Calculation'!$E$20,F50/(F50+G50),I50/'PFC Calculation'!$E$20)</f>
        <v>0.12302560530961697</v>
      </c>
    </row>
    <row r="51" spans="3:16" ht="12.75">
      <c r="C51" s="11">
        <v>130</v>
      </c>
      <c r="D51" s="11">
        <f>'PFC Calculation'!$E$7*SQRT(2)*SIN(C51/180*PI())</f>
        <v>281.671114618245</v>
      </c>
      <c r="E51" s="19">
        <f>'PFC Calculation'!$E$29</f>
        <v>378.66508875739646</v>
      </c>
      <c r="F51" s="11">
        <f>'PFC Calculation'!$E$25*'PFC Calculation'!$E$27/0.0001/1000</f>
        <v>0.8875739644970415</v>
      </c>
      <c r="G51" s="11">
        <f t="shared" si="7"/>
        <v>2.577520408920976</v>
      </c>
      <c r="H51" s="11">
        <f t="shared" si="8"/>
        <v>3.4650943734180175</v>
      </c>
      <c r="I51" s="11">
        <f>SQRT('PFC Calculation'!$E$20*F51*(1-D51/E51))</f>
        <v>1.4562559505201658</v>
      </c>
      <c r="J51" s="11">
        <f t="shared" si="9"/>
        <v>4.228976494601598</v>
      </c>
      <c r="K51" s="11">
        <f>SQRT('PFC Calculation'!$E$20*H51)</f>
        <v>5.6852324451217635</v>
      </c>
      <c r="L51" s="11">
        <f>IF(H51&gt;'PFC Calculation'!$E$20,H51,'PFC Calculation'!$E$20)</f>
        <v>9.327846364883403</v>
      </c>
      <c r="M51" s="11">
        <f t="shared" si="10"/>
        <v>107.20588235294117</v>
      </c>
      <c r="N51" s="11">
        <f>IF(H51&gt;'PFC Calculation'!$E$20,F51,I51)</f>
        <v>1.4562559505201658</v>
      </c>
      <c r="O51" s="11">
        <f>IF(H51&gt;'PFC Calculation'!$E$20,G51,J51)</f>
        <v>4.228976494601598</v>
      </c>
      <c r="P51" s="11">
        <f>IF(H51&gt;'PFC Calculation'!$E$20,F51/(F51+G51),I51/'PFC Calculation'!$E$20)</f>
        <v>0.1561192041072354</v>
      </c>
    </row>
    <row r="52" spans="3:16" ht="12.75">
      <c r="C52" s="11">
        <v>140</v>
      </c>
      <c r="D52" s="11">
        <f>'PFC Calculation'!$E$7*SQRT(2)*SIN(C52/180*PI())</f>
        <v>236.35012838946278</v>
      </c>
      <c r="E52" s="19">
        <f>'PFC Calculation'!$E$29</f>
        <v>378.66508875739646</v>
      </c>
      <c r="F52" s="11">
        <f>'PFC Calculation'!$E$25*'PFC Calculation'!$E$27/0.0001/1000</f>
        <v>0.8875739644970415</v>
      </c>
      <c r="G52" s="11">
        <f t="shared" si="7"/>
        <v>1.474041941350864</v>
      </c>
      <c r="H52" s="11">
        <f t="shared" si="8"/>
        <v>2.3616159058479056</v>
      </c>
      <c r="I52" s="11">
        <f>SQRT('PFC Calculation'!$E$20*F52*(1-D52/E52))</f>
        <v>1.763967641244021</v>
      </c>
      <c r="J52" s="11">
        <f t="shared" si="9"/>
        <v>2.9295161759875046</v>
      </c>
      <c r="K52" s="11">
        <f>SQRT('PFC Calculation'!$E$20*H52)</f>
        <v>4.693483817231526</v>
      </c>
      <c r="L52" s="11">
        <f>IF(H52&gt;'PFC Calculation'!$E$20,H52,'PFC Calculation'!$E$20)</f>
        <v>9.327846364883403</v>
      </c>
      <c r="M52" s="11">
        <f t="shared" si="10"/>
        <v>107.20588235294117</v>
      </c>
      <c r="N52" s="11">
        <f>IF(H52&gt;'PFC Calculation'!$E$20,F52,I52)</f>
        <v>1.763967641244021</v>
      </c>
      <c r="O52" s="11">
        <f>IF(H52&gt;'PFC Calculation'!$E$20,G52,J52)</f>
        <v>2.9295161759875046</v>
      </c>
      <c r="P52" s="11">
        <f>IF(H52&gt;'PFC Calculation'!$E$20,F52/(F52+G52),I52/'PFC Calculation'!$E$20)</f>
        <v>0.18910770742160166</v>
      </c>
    </row>
    <row r="53" spans="3:16" ht="12.75">
      <c r="C53" s="11">
        <v>150</v>
      </c>
      <c r="D53" s="11">
        <f>'PFC Calculation'!$E$7*SQRT(2)*SIN(C53/180*PI())</f>
        <v>183.84776310850233</v>
      </c>
      <c r="E53" s="19">
        <f>'PFC Calculation'!$E$29</f>
        <v>378.66508875739646</v>
      </c>
      <c r="F53" s="11">
        <f>'PFC Calculation'!$E$25*'PFC Calculation'!$E$27/0.0001/1000</f>
        <v>0.8875739644970415</v>
      </c>
      <c r="G53" s="11">
        <f t="shared" si="7"/>
        <v>0.8375974129745098</v>
      </c>
      <c r="H53" s="11">
        <f t="shared" si="8"/>
        <v>1.7251713774715514</v>
      </c>
      <c r="I53" s="11">
        <f>SQRT('PFC Calculation'!$E$20*F53*(1-D53/E53))</f>
        <v>2.0638547278471204</v>
      </c>
      <c r="J53" s="11">
        <f t="shared" si="9"/>
        <v>1.9476454357012871</v>
      </c>
      <c r="K53" s="11">
        <f>SQRT('PFC Calculation'!$E$20*H53)</f>
        <v>4.0115001635484075</v>
      </c>
      <c r="L53" s="11">
        <f>IF(H53&gt;'PFC Calculation'!$E$20,H53,'PFC Calculation'!$E$20)</f>
        <v>9.327846364883403</v>
      </c>
      <c r="M53" s="11">
        <f t="shared" si="10"/>
        <v>107.20588235294117</v>
      </c>
      <c r="N53" s="11">
        <f>IF(H53&gt;'PFC Calculation'!$E$20,F53,I53)</f>
        <v>2.0638547278471204</v>
      </c>
      <c r="O53" s="11">
        <f>IF(H53&gt;'PFC Calculation'!$E$20,G53,J53)</f>
        <v>1.9476454357012871</v>
      </c>
      <c r="P53" s="11">
        <f>IF(H53&gt;'PFC Calculation'!$E$20,F53/(F53+G53),I53/'PFC Calculation'!$E$20)</f>
        <v>0.2212573671471398</v>
      </c>
    </row>
    <row r="54" spans="3:16" ht="12.75">
      <c r="C54" s="11">
        <v>160</v>
      </c>
      <c r="D54" s="11">
        <f>'PFC Calculation'!$E$7*SQRT(2)*SIN(C54/180*PI())</f>
        <v>125.7592765769472</v>
      </c>
      <c r="E54" s="19">
        <f>'PFC Calculation'!$E$29</f>
        <v>378.66508875739646</v>
      </c>
      <c r="F54" s="11">
        <f>'PFC Calculation'!$E$25*'PFC Calculation'!$E$27/0.0001/1000</f>
        <v>0.8875739644970415</v>
      </c>
      <c r="G54" s="11">
        <f t="shared" si="7"/>
        <v>0.4413526866833697</v>
      </c>
      <c r="H54" s="11">
        <f t="shared" si="8"/>
        <v>1.3289266511804112</v>
      </c>
      <c r="I54" s="11">
        <f>SQRT('PFC Calculation'!$E$20*F54*(1-D54/E54))</f>
        <v>2.351498689595642</v>
      </c>
      <c r="J54" s="11">
        <f t="shared" si="9"/>
        <v>1.169300031207618</v>
      </c>
      <c r="K54" s="11">
        <f>SQRT('PFC Calculation'!$E$20*H54)</f>
        <v>3.52079872080326</v>
      </c>
      <c r="L54" s="11">
        <f>IF(H54&gt;'PFC Calculation'!$E$20,H54,'PFC Calculation'!$E$20)</f>
        <v>9.327846364883403</v>
      </c>
      <c r="M54" s="11">
        <f t="shared" si="10"/>
        <v>107.20588235294117</v>
      </c>
      <c r="N54" s="11">
        <f>IF(H54&gt;'PFC Calculation'!$E$20,F54,I54)</f>
        <v>2.351498689595642</v>
      </c>
      <c r="O54" s="11">
        <f>IF(H54&gt;'PFC Calculation'!$E$20,G54,J54)</f>
        <v>1.169300031207618</v>
      </c>
      <c r="P54" s="11">
        <f>IF(H54&gt;'PFC Calculation'!$E$20,F54/(F54+G54),I54/'PFC Calculation'!$E$20)</f>
        <v>0.2520944918698857</v>
      </c>
    </row>
    <row r="55" spans="3:16" ht="12.75">
      <c r="C55" s="11">
        <v>170</v>
      </c>
      <c r="D55" s="11">
        <f>'PFC Calculation'!$E$7*SQRT(2)*SIN(C55/180*PI())</f>
        <v>63.84965806386601</v>
      </c>
      <c r="E55" s="19">
        <f>'PFC Calculation'!$E$29</f>
        <v>378.66508875739646</v>
      </c>
      <c r="F55" s="11">
        <f>'PFC Calculation'!$E$25*'PFC Calculation'!$E$27/0.0001/1000</f>
        <v>0.8875739644970415</v>
      </c>
      <c r="G55" s="11">
        <f t="shared" si="7"/>
        <v>0.18001434686565587</v>
      </c>
      <c r="H55" s="11">
        <f t="shared" si="8"/>
        <v>1.0675883113626974</v>
      </c>
      <c r="I55" s="11">
        <f>SQRT('PFC Calculation'!$E$20*F55*(1-D55/E55))</f>
        <v>2.623574140163101</v>
      </c>
      <c r="J55" s="11">
        <f t="shared" si="9"/>
        <v>0.5321032434324633</v>
      </c>
      <c r="K55" s="11">
        <f>SQRT('PFC Calculation'!$E$20*H55)</f>
        <v>3.1556773835955645</v>
      </c>
      <c r="L55" s="11">
        <f>IF(H55&gt;'PFC Calculation'!$E$20,H55,'PFC Calculation'!$E$20)</f>
        <v>9.327846364883403</v>
      </c>
      <c r="M55" s="11">
        <f t="shared" si="10"/>
        <v>107.20588235294117</v>
      </c>
      <c r="N55" s="11">
        <f>IF(H55&gt;'PFC Calculation'!$E$20,F55,I55)</f>
        <v>2.623574140163101</v>
      </c>
      <c r="O55" s="11">
        <f>IF(H55&gt;'PFC Calculation'!$E$20,G55,J55)</f>
        <v>0.5321032434324633</v>
      </c>
      <c r="P55" s="11">
        <f>IF(H55&gt;'PFC Calculation'!$E$20,F55/(F55+G55),I55/'PFC Calculation'!$E$20)</f>
        <v>0.28126258061454423</v>
      </c>
    </row>
    <row r="56" spans="3:16" ht="12.75">
      <c r="C56" s="11">
        <v>180</v>
      </c>
      <c r="D56" s="11">
        <f>'PFC Calculation'!$E$7*SQRT(2)*SIN(C56/180*PI())</f>
        <v>4.504816058215753E-14</v>
      </c>
      <c r="E56" s="19">
        <f>'PFC Calculation'!$E$29</f>
        <v>378.66508875739646</v>
      </c>
      <c r="F56" s="11">
        <f>'PFC Calculation'!$E$25*'PFC Calculation'!$E$27/0.0001/1000</f>
        <v>0.8875739644970415</v>
      </c>
      <c r="G56" s="11">
        <f t="shared" si="7"/>
        <v>0</v>
      </c>
      <c r="H56" s="11">
        <f t="shared" si="8"/>
        <v>0.8875739644970417</v>
      </c>
      <c r="I56" s="11">
        <f>SQRT('PFC Calculation'!$E$20*F56*(1-D56/E56))</f>
        <v>2.87735183429119</v>
      </c>
      <c r="J56" s="11">
        <f t="shared" si="9"/>
        <v>0</v>
      </c>
      <c r="K56" s="11">
        <f>SQRT('PFC Calculation'!$E$20*H56)</f>
        <v>2.8773518342911912</v>
      </c>
      <c r="L56" s="11">
        <f>IF(H56&gt;'PFC Calculation'!$E$20,H56,'PFC Calculation'!$E$20)</f>
        <v>9.327846364883403</v>
      </c>
      <c r="M56" s="11">
        <f t="shared" si="10"/>
        <v>107.20588235294117</v>
      </c>
      <c r="N56" s="11">
        <f>IF(H56&gt;'PFC Calculation'!$E$20,F56,I56)</f>
        <v>2.87735183429119</v>
      </c>
      <c r="O56" s="11">
        <f>IF(H56&gt;'PFC Calculation'!$E$20,G56,J56)</f>
        <v>0</v>
      </c>
      <c r="P56" s="11">
        <f>IF(H56&gt;'PFC Calculation'!$E$20,F56/(F56+G56),I56/'PFC Calculation'!$E$20)</f>
        <v>0.3084690422350408</v>
      </c>
    </row>
  </sheetData>
  <sheetProtection sheet="1" objects="1" scenarios="1"/>
  <printOptions/>
  <pageMargins left="1" right="1" top="0.75" bottom="0.75" header="0.5" footer="0.5"/>
  <pageSetup fitToHeight="1" fitToWidth="1" horizontalDpi="600" verticalDpi="600" orientation="landscape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6">
      <selection activeCell="C33" sqref="C33"/>
    </sheetView>
  </sheetViews>
  <sheetFormatPr defaultColWidth="9.140625" defaultRowHeight="12.75"/>
  <cols>
    <col min="1" max="1" width="25.421875" style="0" customWidth="1"/>
  </cols>
  <sheetData>
    <row r="1" ht="15.75">
      <c r="A1" s="5" t="s">
        <v>234</v>
      </c>
    </row>
    <row r="2" ht="206.25" customHeight="1">
      <c r="A2" s="5"/>
    </row>
    <row r="3" ht="12.75" customHeight="1">
      <c r="A3" s="12" t="s">
        <v>52</v>
      </c>
    </row>
    <row r="4" ht="12.75" customHeight="1">
      <c r="A4" s="3" t="s">
        <v>178</v>
      </c>
    </row>
    <row r="5" ht="12.75" customHeight="1">
      <c r="A5" s="3" t="s">
        <v>239</v>
      </c>
    </row>
    <row r="6" ht="12.75" customHeight="1">
      <c r="A6" s="3" t="s">
        <v>179</v>
      </c>
    </row>
    <row r="7" spans="1:8" ht="12.75" customHeight="1">
      <c r="A7" s="12"/>
      <c r="H7" s="14"/>
    </row>
    <row r="8" spans="1:8" ht="12.75">
      <c r="A8" s="7" t="s">
        <v>167</v>
      </c>
      <c r="H8" s="14"/>
    </row>
    <row r="9" spans="1:7" ht="12.75">
      <c r="A9" t="s">
        <v>172</v>
      </c>
      <c r="E9" s="10">
        <f>'PFC Calculation'!$E$14</f>
        <v>135.11111111111111</v>
      </c>
      <c r="F9" t="s">
        <v>2</v>
      </c>
      <c r="G9" s="3" t="s">
        <v>182</v>
      </c>
    </row>
    <row r="10" spans="1:7" ht="12.75">
      <c r="A10" t="s">
        <v>162</v>
      </c>
      <c r="E10" s="2">
        <f>'PFC Calculation'!$E$8</f>
        <v>90</v>
      </c>
      <c r="F10" t="s">
        <v>42</v>
      </c>
      <c r="G10" s="3" t="s">
        <v>182</v>
      </c>
    </row>
    <row r="11" spans="1:7" ht="12.75">
      <c r="A11" t="s">
        <v>166</v>
      </c>
      <c r="E11" s="2">
        <f>'PFC Calculation'!$E$7</f>
        <v>260</v>
      </c>
      <c r="F11" t="s">
        <v>42</v>
      </c>
      <c r="G11" s="3" t="s">
        <v>182</v>
      </c>
    </row>
    <row r="12" spans="1:7" ht="12.75">
      <c r="A12" t="s">
        <v>165</v>
      </c>
      <c r="E12" s="2">
        <f>'PFC Calculation'!$E$53</f>
        <v>200</v>
      </c>
      <c r="F12" t="s">
        <v>218</v>
      </c>
      <c r="G12" s="3" t="s">
        <v>182</v>
      </c>
    </row>
    <row r="13" spans="1:7" ht="12.75">
      <c r="A13" t="s">
        <v>164</v>
      </c>
      <c r="E13" s="2">
        <f>'PFC Calculation'!$E$52</f>
        <v>50</v>
      </c>
      <c r="F13" t="s">
        <v>17</v>
      </c>
      <c r="G13" s="3" t="s">
        <v>182</v>
      </c>
    </row>
    <row r="15" ht="12.75">
      <c r="A15" s="7" t="s">
        <v>171</v>
      </c>
    </row>
    <row r="16" ht="156.75" customHeight="1">
      <c r="A16" s="7"/>
    </row>
    <row r="17" spans="1:7" ht="12.75">
      <c r="A17" t="s">
        <v>168</v>
      </c>
      <c r="E17" s="2">
        <f>SQRT(2)*E10</f>
        <v>127.27922061357856</v>
      </c>
      <c r="F17" t="s">
        <v>19</v>
      </c>
      <c r="G17" t="s">
        <v>169</v>
      </c>
    </row>
    <row r="18" spans="1:7" ht="12.75">
      <c r="A18" t="s">
        <v>161</v>
      </c>
      <c r="E18" s="2">
        <f>SQRT(E17^2-E9/E13/E12*1000000)</f>
        <v>51.8544972870135</v>
      </c>
      <c r="F18" t="s">
        <v>19</v>
      </c>
      <c r="G18" t="s">
        <v>248</v>
      </c>
    </row>
    <row r="19" spans="1:7" ht="12.75">
      <c r="A19" t="s">
        <v>176</v>
      </c>
      <c r="E19" s="2">
        <f>ACOS(E18/E17)/2/PI()/E13*1000</f>
        <v>3.664329116346876</v>
      </c>
      <c r="F19" t="s">
        <v>159</v>
      </c>
      <c r="G19" t="s">
        <v>183</v>
      </c>
    </row>
    <row r="20" spans="1:7" ht="12.75">
      <c r="A20" t="s">
        <v>160</v>
      </c>
      <c r="E20" s="2">
        <f>E19/1000*2*E13*100</f>
        <v>36.64329116346876</v>
      </c>
      <c r="F20" t="s">
        <v>22</v>
      </c>
      <c r="G20" t="s">
        <v>177</v>
      </c>
    </row>
    <row r="21" spans="1:7" ht="12.75">
      <c r="A21" t="s">
        <v>180</v>
      </c>
      <c r="E21" s="2">
        <f>SIN(2*PI()*E13*E19*0.001)/2/PI()/E13/E19/0.001*E17</f>
        <v>100.97205300440298</v>
      </c>
      <c r="F21" t="s">
        <v>19</v>
      </c>
      <c r="G21" t="s">
        <v>184</v>
      </c>
    </row>
    <row r="22" spans="1:7" ht="12.75">
      <c r="A22" t="s">
        <v>185</v>
      </c>
      <c r="E22" s="25">
        <f>2*E9/E21/E20*100</f>
        <v>7.303405279342769</v>
      </c>
      <c r="F22" t="s">
        <v>3</v>
      </c>
      <c r="G22" t="s">
        <v>181</v>
      </c>
    </row>
    <row r="23" spans="1:7" ht="12.75">
      <c r="A23" t="s">
        <v>163</v>
      </c>
      <c r="E23" s="25">
        <f>'PFC Calculation'!$E$49</f>
        <v>7.872</v>
      </c>
      <c r="F23" t="s">
        <v>3</v>
      </c>
      <c r="G23" s="3" t="s">
        <v>182</v>
      </c>
    </row>
    <row r="24" ht="12.75">
      <c r="A24" s="27" t="s">
        <v>246</v>
      </c>
    </row>
    <row r="25" ht="12.75">
      <c r="A25" s="27" t="s">
        <v>238</v>
      </c>
    </row>
    <row r="27" ht="12.75">
      <c r="A27" s="7" t="s">
        <v>170</v>
      </c>
    </row>
    <row r="28" ht="188.25" customHeight="1">
      <c r="A28" s="7"/>
    </row>
    <row r="29" spans="1:7" ht="12.75">
      <c r="A29" t="s">
        <v>174</v>
      </c>
      <c r="E29" s="2">
        <f>E9/E11*SQRT(2)*2</f>
        <v>1.4698151212356272</v>
      </c>
      <c r="F29" t="s">
        <v>3</v>
      </c>
      <c r="G29" t="s">
        <v>173</v>
      </c>
    </row>
    <row r="30" spans="1:7" ht="12.75">
      <c r="A30" t="s">
        <v>175</v>
      </c>
      <c r="E30" s="2">
        <f>'PFC Calculation'!$E$48</f>
        <v>0.26</v>
      </c>
      <c r="F30" t="s">
        <v>3</v>
      </c>
      <c r="G30" s="3" t="s">
        <v>182</v>
      </c>
    </row>
    <row r="31" spans="1:6" ht="12.75">
      <c r="A31" t="s">
        <v>186</v>
      </c>
      <c r="E31" s="25">
        <f>E30/E29*100</f>
        <v>17.689299575406885</v>
      </c>
      <c r="F31" t="s">
        <v>22</v>
      </c>
    </row>
    <row r="32" ht="12.75">
      <c r="A32" s="24" t="s">
        <v>243</v>
      </c>
    </row>
  </sheetData>
  <sheetProtection sheet="1" objects="1" scenarios="1"/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Kahou Wong</dc:creator>
  <cp:keywords/>
  <dc:description/>
  <cp:lastModifiedBy>ON Semiconductor</cp:lastModifiedBy>
  <cp:lastPrinted>2005-08-03T23:05:36Z</cp:lastPrinted>
  <dcterms:created xsi:type="dcterms:W3CDTF">2003-04-08T09:28:49Z</dcterms:created>
  <dcterms:modified xsi:type="dcterms:W3CDTF">2005-08-04T15:21:31Z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1214104226</vt:i4>
  </property>
  <property fmtid="{D5CDD505-2E9C-101B-9397-08002B2CF9AE}" pid="3" name="_EmailSubject">
    <vt:lpwstr>excel file</vt:lpwstr>
  </property>
  <property fmtid="{D5CDD505-2E9C-101B-9397-08002B2CF9AE}" pid="4" name="_AuthorEmail">
    <vt:lpwstr>kahou@cox.net</vt:lpwstr>
  </property>
  <property fmtid="{D5CDD505-2E9C-101B-9397-08002B2CF9AE}" pid="5" name="_AuthorEmailDisplayName">
    <vt:lpwstr>Kahou Wong</vt:lpwstr>
  </property>
  <property fmtid="{D5CDD505-2E9C-101B-9397-08002B2CF9AE}" pid="6" name="_ReviewingToolsShownOnce">
    <vt:lpwstr/>
  </property>
</Properties>
</file>