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360" windowHeight="8970" firstSheet="1" activeTab="1"/>
  </bookViews>
  <sheets>
    <sheet name="No Macros" sheetId="1" state="veryHidden" r:id="rId1"/>
    <sheet name="NCP16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ON Semiconductor</author>
  </authors>
  <commentList>
    <comment ref="C22" authorId="0">
      <text>
        <r>
          <rPr>
            <b/>
            <sz val="8"/>
            <rFont val="Arial"/>
            <family val="2"/>
          </rPr>
          <t>Needs to be less
than or equal to L(MAX)_c</t>
        </r>
      </text>
    </comment>
    <comment ref="C29" authorId="0">
      <text>
        <r>
          <rPr>
            <b/>
            <sz val="8"/>
            <rFont val="Arial"/>
            <family val="2"/>
          </rPr>
          <t>Must be greater than or equal to Ct_c</t>
        </r>
      </text>
    </comment>
  </commentList>
</comments>
</file>

<file path=xl/sharedStrings.xml><?xml version="1.0" encoding="utf-8"?>
<sst xmlns="http://schemas.openxmlformats.org/spreadsheetml/2006/main" count="151" uniqueCount="128">
  <si>
    <t>uF</t>
  </si>
  <si>
    <t>Hz</t>
  </si>
  <si>
    <t>W</t>
  </si>
  <si>
    <t>V</t>
  </si>
  <si>
    <t>pF</t>
  </si>
  <si>
    <t>A</t>
  </si>
  <si>
    <t>%</t>
  </si>
  <si>
    <t>kHz</t>
  </si>
  <si>
    <t>VregH</t>
  </si>
  <si>
    <t>VregL</t>
  </si>
  <si>
    <t>Icharge</t>
  </si>
  <si>
    <t>Ics</t>
  </si>
  <si>
    <t>Vcc(on)</t>
  </si>
  <si>
    <t>s</t>
  </si>
  <si>
    <t>ICL_NEG</t>
  </si>
  <si>
    <t>VUVP</t>
  </si>
  <si>
    <t>L =</t>
  </si>
  <si>
    <t>deg</t>
  </si>
  <si>
    <t>v(t)</t>
  </si>
  <si>
    <t>i(t)</t>
  </si>
  <si>
    <t>ton (us)</t>
  </si>
  <si>
    <t>toff (us)</t>
  </si>
  <si>
    <t>freq (kHz)</t>
  </si>
  <si>
    <t>Delta V</t>
  </si>
  <si>
    <t>Vripple</t>
  </si>
  <si>
    <t>mH</t>
  </si>
  <si>
    <t>Selected Upper Feedback Resistor</t>
  </si>
  <si>
    <t>Selected Lower Feedback Resistor</t>
  </si>
  <si>
    <t>Startup Time</t>
  </si>
  <si>
    <t>Output Capacitor</t>
  </si>
  <si>
    <t>AC Line Frequency</t>
  </si>
  <si>
    <t>Ct_c =</t>
  </si>
  <si>
    <t>Ct =</t>
  </si>
  <si>
    <r>
      <t xml:space="preserve"> m</t>
    </r>
    <r>
      <rPr>
        <b/>
        <sz val="9"/>
        <rFont val="Geneva"/>
        <family val="0"/>
      </rPr>
      <t>s</t>
    </r>
  </si>
  <si>
    <r>
      <t>k</t>
    </r>
    <r>
      <rPr>
        <b/>
        <sz val="9"/>
        <rFont val="Symbol"/>
        <family val="1"/>
      </rPr>
      <t>W</t>
    </r>
  </si>
  <si>
    <r>
      <t>m</t>
    </r>
    <r>
      <rPr>
        <b/>
        <sz val="9"/>
        <rFont val="Geneva"/>
        <family val="0"/>
      </rPr>
      <t>F</t>
    </r>
  </si>
  <si>
    <t>Letter</t>
  </si>
  <si>
    <t>You must enable the macros to run this tool</t>
  </si>
  <si>
    <t>Save</t>
  </si>
  <si>
    <t>RFB</t>
  </si>
  <si>
    <r>
      <t>Vac</t>
    </r>
    <r>
      <rPr>
        <b/>
        <sz val="8"/>
        <rFont val="Geneva"/>
        <family val="2"/>
      </rPr>
      <t>HL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</si>
  <si>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</t>
    </r>
    <r>
      <rPr>
        <b/>
        <sz val="9"/>
        <rFont val="Geneva"/>
        <family val="0"/>
      </rPr>
      <t xml:space="preserve"> =</t>
    </r>
  </si>
  <si>
    <r>
      <t>V</t>
    </r>
    <r>
      <rPr>
        <b/>
        <vertAlign val="subscript"/>
        <sz val="11"/>
        <rFont val="Arial"/>
        <family val="2"/>
      </rPr>
      <t>ac</t>
    </r>
  </si>
  <si>
    <r>
      <t>Iac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</si>
  <si>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L(peak)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</si>
  <si>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L(RMS)</t>
    </r>
    <r>
      <rPr>
        <b/>
        <sz val="9"/>
        <rFont val="Geneva"/>
        <family val="0"/>
      </rPr>
      <t xml:space="preserve"> =</t>
    </r>
  </si>
  <si>
    <r>
      <t>η</t>
    </r>
    <r>
      <rPr>
        <b/>
        <sz val="11"/>
        <rFont val="Geneva"/>
        <family val="2"/>
      </rPr>
      <t xml:space="preserve"> =</t>
    </r>
  </si>
  <si>
    <r>
      <t>Vac</t>
    </r>
    <r>
      <rPr>
        <b/>
        <sz val="8"/>
        <rFont val="Geneva"/>
        <family val="2"/>
      </rPr>
      <t>LL</t>
    </r>
    <r>
      <rPr>
        <b/>
        <sz val="10"/>
        <rFont val="Geneva"/>
        <family val="2"/>
      </rPr>
      <t xml:space="preserve"> </t>
    </r>
    <r>
      <rPr>
        <b/>
        <sz val="9"/>
        <rFont val="Geneva"/>
        <family val="0"/>
      </rPr>
      <t>=</t>
    </r>
  </si>
  <si>
    <r>
      <t>f</t>
    </r>
    <r>
      <rPr>
        <b/>
        <sz val="8"/>
        <rFont val="Geneva"/>
        <family val="2"/>
      </rPr>
      <t>SW(MIN)LL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</si>
  <si>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SW(MIN)HL</t>
    </r>
    <r>
      <rPr>
        <b/>
        <sz val="9"/>
        <rFont val="Geneva"/>
        <family val="0"/>
      </rPr>
      <t xml:space="preserve"> =</t>
    </r>
  </si>
  <si>
    <r>
      <t>C</t>
    </r>
    <r>
      <rPr>
        <b/>
        <sz val="8"/>
        <rFont val="Geneva"/>
        <family val="2"/>
      </rPr>
      <t>VCC</t>
    </r>
    <r>
      <rPr>
        <b/>
        <sz val="10"/>
        <rFont val="Geneva"/>
        <family val="2"/>
      </rPr>
      <t xml:space="preserve"> =</t>
    </r>
  </si>
  <si>
    <r>
      <t>f</t>
    </r>
    <r>
      <rPr>
        <b/>
        <sz val="8"/>
        <rFont val="Geneva"/>
        <family val="2"/>
      </rPr>
      <t>line</t>
    </r>
    <r>
      <rPr>
        <b/>
        <sz val="10"/>
        <rFont val="Geneva"/>
        <family val="2"/>
      </rPr>
      <t xml:space="preserve"> =</t>
    </r>
  </si>
  <si>
    <r>
      <t>I</t>
    </r>
    <r>
      <rPr>
        <b/>
        <sz val="8"/>
        <rFont val="Geneva"/>
        <family val="2"/>
      </rPr>
      <t>C(RMS)</t>
    </r>
    <r>
      <rPr>
        <b/>
        <sz val="10"/>
        <rFont val="Geneva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</si>
  <si>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ZCD_C</t>
    </r>
    <r>
      <rPr>
        <b/>
        <sz val="10"/>
        <rFont val="Arial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</si>
  <si>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</si>
  <si>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8"/>
        <rFont val="Arial"/>
        <family val="2"/>
      </rPr>
      <t>ZCD(MIN)</t>
    </r>
    <r>
      <rPr>
        <b/>
        <sz val="10"/>
        <rFont val="Arial"/>
        <family val="2"/>
      </rPr>
      <t xml:space="preserve"> =</t>
    </r>
  </si>
  <si>
    <t>Vac</t>
  </si>
  <si>
    <r>
      <t>I</t>
    </r>
    <r>
      <rPr>
        <b/>
        <sz val="8"/>
        <rFont val="Geneva"/>
        <family val="2"/>
      </rPr>
      <t>D(RMS)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</si>
  <si>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M(RMS)</t>
    </r>
    <r>
      <rPr>
        <b/>
        <sz val="9"/>
        <rFont val="Geneva"/>
        <family val="0"/>
      </rPr>
      <t xml:space="preserve"> =</t>
    </r>
  </si>
  <si>
    <r>
      <t>L</t>
    </r>
    <r>
      <rPr>
        <b/>
        <sz val="8"/>
        <rFont val="Geneva"/>
        <family val="2"/>
      </rPr>
      <t>(MAX)_C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</si>
  <si>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on(MAX)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</si>
  <si>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on(HL)</t>
    </r>
    <r>
      <rPr>
        <b/>
        <sz val="9"/>
        <rFont val="Geneva"/>
        <family val="0"/>
      </rPr>
      <t xml:space="preserve"> =</t>
    </r>
  </si>
  <si>
    <t>Vct(MIN)</t>
  </si>
  <si>
    <t>Crossover Frequency</t>
  </si>
  <si>
    <t>fc =</t>
  </si>
  <si>
    <t>gm</t>
  </si>
  <si>
    <t>Compensation Capacitor</t>
  </si>
  <si>
    <t>Vzcd(arm)</t>
  </si>
  <si>
    <t>Ibias</t>
  </si>
  <si>
    <t>Output Divider Network Bias Current</t>
  </si>
  <si>
    <r>
      <t>m</t>
    </r>
    <r>
      <rPr>
        <b/>
        <sz val="9"/>
        <rFont val="Geneva"/>
        <family val="0"/>
      </rPr>
      <t>A</t>
    </r>
  </si>
  <si>
    <r>
      <t>C</t>
    </r>
    <r>
      <rPr>
        <b/>
        <sz val="8"/>
        <rFont val="Arial"/>
        <family val="2"/>
      </rPr>
      <t>COMP_C</t>
    </r>
    <r>
      <rPr>
        <b/>
        <sz val="10"/>
        <rFont val="Arial"/>
        <family val="2"/>
      </rPr>
      <t xml:space="preserve"> =</t>
    </r>
  </si>
  <si>
    <r>
      <t>C</t>
    </r>
    <r>
      <rPr>
        <b/>
        <sz val="8"/>
        <rFont val="Arial"/>
        <family val="2"/>
      </rPr>
      <t>COMP</t>
    </r>
    <r>
      <rPr>
        <b/>
        <sz val="10"/>
        <rFont val="Arial"/>
        <family val="2"/>
      </rPr>
      <t>=</t>
    </r>
  </si>
  <si>
    <t>Selected Compensation Capacitor</t>
  </si>
  <si>
    <t>VREF</t>
  </si>
  <si>
    <r>
      <t>Pout</t>
    </r>
    <r>
      <rPr>
        <b/>
        <sz val="9"/>
        <rFont val="Geneva"/>
        <family val="0"/>
      </rPr>
      <t xml:space="preserve"> =</t>
    </r>
  </si>
  <si>
    <r>
      <t>V</t>
    </r>
    <r>
      <rPr>
        <b/>
        <sz val="8"/>
        <rFont val="Geneva"/>
        <family val="2"/>
      </rPr>
      <t>out</t>
    </r>
    <r>
      <rPr>
        <b/>
        <sz val="9"/>
        <rFont val="Geneva"/>
        <family val="0"/>
      </rPr>
      <t>=</t>
    </r>
  </si>
  <si>
    <r>
      <t>I</t>
    </r>
    <r>
      <rPr>
        <b/>
        <sz val="8"/>
        <rFont val="Arial"/>
        <family val="2"/>
      </rPr>
      <t>bias(out)</t>
    </r>
  </si>
  <si>
    <r>
      <t>Rout</t>
    </r>
    <r>
      <rPr>
        <b/>
        <sz val="8"/>
        <rFont val="Geneva"/>
        <family val="2"/>
      </rPr>
      <t>1_C =</t>
    </r>
  </si>
  <si>
    <r>
      <t>Rout</t>
    </r>
    <r>
      <rPr>
        <b/>
        <sz val="8"/>
        <rFont val="Geneva"/>
        <family val="2"/>
      </rPr>
      <t>1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</si>
  <si>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2_C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</si>
  <si>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</t>
    </r>
    <r>
      <rPr>
        <b/>
        <sz val="10"/>
        <rFont val="Geneva"/>
        <family val="2"/>
      </rPr>
      <t xml:space="preserve"> =</t>
    </r>
  </si>
  <si>
    <r>
      <t>Vout</t>
    </r>
    <r>
      <rPr>
        <b/>
        <sz val="8"/>
        <rFont val="Geneva"/>
        <family val="2"/>
      </rPr>
      <t>(UVP)</t>
    </r>
    <r>
      <rPr>
        <b/>
        <sz val="10"/>
        <rFont val="Geneva"/>
        <family val="2"/>
      </rPr>
      <t xml:space="preserve"> =</t>
    </r>
  </si>
  <si>
    <r>
      <t>Rsense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</si>
  <si>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P</t>
    </r>
    <r>
      <rPr>
        <b/>
        <sz val="8"/>
        <rFont val="Geneva"/>
        <family val="2"/>
      </rPr>
      <t>R</t>
    </r>
    <r>
      <rPr>
        <b/>
        <sz val="7"/>
        <rFont val="Geneva"/>
        <family val="0"/>
      </rPr>
      <t>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</si>
  <si>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t</t>
    </r>
    <r>
      <rPr>
        <b/>
        <sz val="8"/>
        <rFont val="Geneva"/>
        <family val="2"/>
      </rPr>
      <t xml:space="preserve">startup </t>
    </r>
    <r>
      <rPr>
        <b/>
        <sz val="10"/>
        <rFont val="Geneva"/>
        <family val="2"/>
      </rPr>
      <t>=</t>
    </r>
  </si>
  <si>
    <r>
      <t>V</t>
    </r>
    <r>
      <rPr>
        <b/>
        <sz val="8"/>
        <rFont val="Geneva"/>
        <family val="0"/>
      </rPr>
      <t>ripple(peak-peak)</t>
    </r>
    <r>
      <rPr>
        <b/>
        <sz val="9"/>
        <rFont val="Geneva"/>
        <family val="0"/>
      </rPr>
      <t xml:space="preserve"> =</t>
    </r>
  </si>
  <si>
    <t>Target Output Voltage</t>
  </si>
  <si>
    <t>Calculated On Time Capacitor</t>
  </si>
  <si>
    <t>Selected On Time Capacitor</t>
  </si>
  <si>
    <t>Output Capacitor rms Current</t>
  </si>
  <si>
    <r>
      <t>Vout</t>
    </r>
    <r>
      <rPr>
        <b/>
        <sz val="8"/>
        <rFont val="Geneva"/>
        <family val="2"/>
      </rPr>
      <t>(OVP)</t>
    </r>
    <r>
      <rPr>
        <b/>
        <sz val="10"/>
        <rFont val="Geneva"/>
        <family val="2"/>
      </rPr>
      <t xml:space="preserve"> =</t>
    </r>
  </si>
  <si>
    <t>VOVP</t>
  </si>
  <si>
    <t>MIN Value of Rzcd</t>
  </si>
  <si>
    <r>
      <t>C</t>
    </r>
    <r>
      <rPr>
        <b/>
        <sz val="8"/>
        <rFont val="Geneva"/>
        <family val="0"/>
      </rPr>
      <t>bulk</t>
    </r>
    <r>
      <rPr>
        <b/>
        <sz val="9"/>
        <rFont val="Geneva"/>
        <family val="0"/>
      </rPr>
      <t xml:space="preserve"> =</t>
    </r>
  </si>
  <si>
    <r>
      <t>M</t>
    </r>
    <r>
      <rPr>
        <b/>
        <sz val="9"/>
        <rFont val="Symbol"/>
        <family val="1"/>
      </rPr>
      <t>W</t>
    </r>
  </si>
  <si>
    <r>
      <t xml:space="preserve">Line voltage used for the chart: </t>
    </r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line</t>
    </r>
    <r>
      <rPr>
        <b/>
        <sz val="11"/>
        <rFont val="Arial"/>
        <family val="2"/>
      </rPr>
      <t xml:space="preserve"> =</t>
    </r>
  </si>
  <si>
    <t>Selected Boost to ZCD Turns Ratio</t>
  </si>
  <si>
    <t>Note that this is a general tool to assist designers in using the controller; the output is a guideline and does not guarantee the success 
of a particular system design.</t>
  </si>
  <si>
    <t>Selected Inductor Value</t>
  </si>
  <si>
    <t>MAX Calculated Inductor Value</t>
  </si>
  <si>
    <t>MIN rms Line Input Voltage</t>
  </si>
  <si>
    <t>MAX rms Line Input Voltage</t>
  </si>
  <si>
    <t>MIN Switching Frequency</t>
  </si>
  <si>
    <t>Peak-to-Peak Output Voltage Ripple</t>
  </si>
  <si>
    <t>Sense Resistor Power Dissipation</t>
  </si>
  <si>
    <t>Icc(startup)</t>
  </si>
  <si>
    <t>MAX Current Sense Resistor for OCP</t>
  </si>
  <si>
    <t>Output Voltage UVP Detection</t>
  </si>
  <si>
    <t>Calculated Lower Feedback Resistor</t>
  </si>
  <si>
    <t>Calculated Upper Feedback Resistor</t>
  </si>
  <si>
    <r>
      <t>MAX On Time (Vac</t>
    </r>
    <r>
      <rPr>
        <sz val="7"/>
        <rFont val="Geneva"/>
        <family val="0"/>
      </rPr>
      <t>LL</t>
    </r>
    <r>
      <rPr>
        <sz val="9"/>
        <rFont val="Geneva"/>
        <family val="0"/>
      </rPr>
      <t>)</t>
    </r>
  </si>
  <si>
    <r>
      <t>On Time at Vac</t>
    </r>
    <r>
      <rPr>
        <sz val="7"/>
        <rFont val="Geneva"/>
        <family val="0"/>
      </rPr>
      <t>HL</t>
    </r>
    <r>
      <rPr>
        <sz val="9"/>
        <rFont val="Geneva"/>
        <family val="0"/>
      </rPr>
      <t xml:space="preserve"> and MAX Load</t>
    </r>
  </si>
  <si>
    <r>
      <t>Frequency (Peak Vac</t>
    </r>
    <r>
      <rPr>
        <sz val="7"/>
        <rFont val="Geneva"/>
        <family val="0"/>
      </rPr>
      <t>LL</t>
    </r>
    <r>
      <rPr>
        <sz val="9"/>
        <rFont val="Geneva"/>
        <family val="2"/>
      </rPr>
      <t>, MAX Load)</t>
    </r>
  </si>
  <si>
    <r>
      <t xml:space="preserve"> Frequency (Peak Vac</t>
    </r>
    <r>
      <rPr>
        <sz val="7"/>
        <rFont val="Geneva"/>
        <family val="0"/>
      </rPr>
      <t>HL</t>
    </r>
    <r>
      <rPr>
        <sz val="9"/>
        <rFont val="Geneva"/>
        <family val="0"/>
      </rPr>
      <t>, MAX Load)</t>
    </r>
  </si>
  <si>
    <t>Output Voltage OVP Detection</t>
  </si>
  <si>
    <r>
      <t>R</t>
    </r>
    <r>
      <rPr>
        <b/>
        <sz val="8"/>
        <rFont val="Geneva"/>
        <family val="2"/>
      </rPr>
      <t>start</t>
    </r>
    <r>
      <rPr>
        <b/>
        <sz val="10"/>
        <rFont val="Geneva"/>
        <family val="2"/>
      </rPr>
      <t xml:space="preserve"> =</t>
    </r>
  </si>
  <si>
    <t>MAX Calculated Boost to ZCD Turns Ratio</t>
  </si>
  <si>
    <t>Inductor rms Current</t>
  </si>
  <si>
    <t>Output Diode rms Current</t>
  </si>
  <si>
    <t>MOSFET rms Current</t>
  </si>
  <si>
    <t>Input rms Current</t>
  </si>
  <si>
    <t>Inductor Peak Current</t>
  </si>
  <si>
    <t>Startup Resistor</t>
  </si>
  <si>
    <t>Vcc Capacitor</t>
  </si>
  <si>
    <t>Output Power</t>
  </si>
  <si>
    <t>Target Efficiency</t>
  </si>
  <si>
    <t>This spreadsheet aids in the design of a boost converter using the NCP1608 (details of the equations are in the datasheet).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</si>
</sst>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  <numFmt numFmtId="172" formatCode="##0.00E+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Geneva"/>
      <family val="0"/>
    </font>
    <font>
      <b/>
      <sz val="10"/>
      <color indexed="61"/>
      <name val="Arial"/>
      <family val="2"/>
    </font>
    <font>
      <sz val="10"/>
      <color indexed="9"/>
      <name val="Arial"/>
      <family val="0"/>
    </font>
    <font>
      <b/>
      <sz val="2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61"/>
      <name val="Arial"/>
      <family val="2"/>
    </font>
    <font>
      <b/>
      <sz val="9"/>
      <name val="Symbol"/>
      <family val="1"/>
    </font>
    <font>
      <b/>
      <sz val="8"/>
      <name val="Arial"/>
      <family val="2"/>
    </font>
    <font>
      <sz val="9"/>
      <color indexed="9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61"/>
      <name val="Symbol"/>
      <family val="1"/>
    </font>
    <font>
      <b/>
      <vertAlign val="subscript"/>
      <sz val="9"/>
      <color indexed="61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Geneva"/>
      <family val="2"/>
    </font>
    <font>
      <b/>
      <sz val="10"/>
      <color indexed="8"/>
      <name val="Arial"/>
      <family val="2"/>
    </font>
    <font>
      <b/>
      <sz val="12"/>
      <name val="Geneva"/>
      <family val="2"/>
    </font>
    <font>
      <b/>
      <sz val="9.75"/>
      <name val="Arial"/>
      <family val="2"/>
    </font>
    <font>
      <b/>
      <sz val="11"/>
      <name val="Geneva"/>
      <family val="2"/>
    </font>
    <font>
      <b/>
      <sz val="10.75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7"/>
      <name val="Geneva"/>
      <family val="0"/>
    </font>
    <font>
      <sz val="10"/>
      <color indexed="9"/>
      <name val="Geneva"/>
      <family val="0"/>
    </font>
    <font>
      <sz val="7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167" fontId="9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167" fontId="12" fillId="0" borderId="0" xfId="0" applyNumberFormat="1" applyFont="1" applyAlignment="1" applyProtection="1">
      <alignment horizontal="center"/>
      <protection hidden="1"/>
    </xf>
    <xf numFmtId="2" fontId="14" fillId="2" borderId="0" xfId="0" applyNumberFormat="1" applyFont="1" applyFill="1" applyAlignment="1" applyProtection="1">
      <alignment horizontal="center"/>
      <protection hidden="1"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center"/>
      <protection hidden="1" locked="0"/>
    </xf>
    <xf numFmtId="0" fontId="13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1" fontId="14" fillId="2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/>
      <protection hidden="1"/>
    </xf>
    <xf numFmtId="1" fontId="14" fillId="2" borderId="0" xfId="0" applyNumberFormat="1" applyFont="1" applyFill="1" applyAlignment="1" applyProtection="1">
      <alignment horizontal="center"/>
      <protection hidden="1" locked="0"/>
    </xf>
    <xf numFmtId="167" fontId="14" fillId="2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0" fontId="29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2" fontId="14" fillId="2" borderId="0" xfId="0" applyNumberFormat="1" applyFont="1" applyFill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167" fontId="18" fillId="0" borderId="0" xfId="0" applyNumberFormat="1" applyFont="1" applyAlignment="1" applyProtection="1">
      <alignment/>
      <protection hidden="1"/>
    </xf>
    <xf numFmtId="2" fontId="18" fillId="0" borderId="0" xfId="0" applyNumberFormat="1" applyFont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1" fontId="37" fillId="0" borderId="0" xfId="0" applyNumberFormat="1" applyFont="1" applyAlignment="1" applyProtection="1">
      <alignment horizontal="center"/>
      <protection hidden="1"/>
    </xf>
    <xf numFmtId="2" fontId="37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1" fontId="10" fillId="0" borderId="0" xfId="0" applyNumberFormat="1" applyFont="1" applyAlignment="1" applyProtection="1">
      <alignment/>
      <protection hidden="1"/>
    </xf>
    <xf numFmtId="167" fontId="10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7325"/>
          <c:h val="0.872"/>
        </c:manualLayout>
      </c:layout>
      <c:lineChart>
        <c:grouping val="standard"/>
        <c:varyColors val="0"/>
        <c:ser>
          <c:idx val="1"/>
          <c:order val="0"/>
          <c:tx>
            <c:strRef>
              <c:f>NCP1608!$L$10</c:f>
              <c:strCache>
                <c:ptCount val="1"/>
                <c:pt idx="0">
                  <c:v>freq (kHz)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NCP1608!$H$11:$H$47</c:f>
              <c:numCache/>
            </c:numRef>
          </c:cat>
          <c:val>
            <c:numRef>
              <c:f>NCP1608!$L$11:$L$47</c:f>
              <c:numCache/>
            </c:numRef>
          </c:val>
          <c:smooth val="1"/>
        </c:ser>
        <c:axId val="9138436"/>
        <c:axId val="15137061"/>
      </c:lineChart>
      <c:cat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Instantaneous Input Voltage (V)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1"/>
        <c:lblOffset val="100"/>
        <c:tickLblSkip val="9"/>
        <c:tickMarkSkip val="9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SW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>
            <c:manualLayout>
              <c:xMode val="factor"/>
              <c:yMode val="factor"/>
              <c:x val="0.04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123825</xdr:rowOff>
    </xdr:from>
    <xdr:to>
      <xdr:col>15</xdr:col>
      <xdr:colOff>47625</xdr:colOff>
      <xdr:row>79</xdr:row>
      <xdr:rowOff>114300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44175"/>
          <a:ext cx="79724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57150</xdr:rowOff>
    </xdr:from>
    <xdr:to>
      <xdr:col>15</xdr:col>
      <xdr:colOff>114300</xdr:colOff>
      <xdr:row>29</xdr:row>
      <xdr:rowOff>114300</xdr:rowOff>
    </xdr:to>
    <xdr:graphicFrame>
      <xdr:nvGraphicFramePr>
        <xdr:cNvPr id="2" name="Chart 11"/>
        <xdr:cNvGraphicFramePr/>
      </xdr:nvGraphicFramePr>
      <xdr:xfrm>
        <a:off x="4867275" y="2466975"/>
        <a:ext cx="32004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0</xdr:row>
      <xdr:rowOff>171450</xdr:rowOff>
    </xdr:from>
    <xdr:ext cx="3829050" cy="371475"/>
    <xdr:sp>
      <xdr:nvSpPr>
        <xdr:cNvPr id="3" name="TextBox 13"/>
        <xdr:cNvSpPr txBox="1">
          <a:spLocks noChangeArrowheads="1"/>
        </xdr:cNvSpPr>
      </xdr:nvSpPr>
      <xdr:spPr>
        <a:xfrm>
          <a:off x="2181225" y="171450"/>
          <a:ext cx="382905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NCP1608 Design Spreadsheet</a:t>
          </a:r>
        </a:p>
      </xdr:txBody>
    </xdr:sp>
    <xdr:clientData/>
  </xdr:oneCellAnchor>
  <xdr:twoCellAnchor editAs="oneCell">
    <xdr:from>
      <xdr:col>0</xdr:col>
      <xdr:colOff>485775</xdr:colOff>
      <xdr:row>0</xdr:row>
      <xdr:rowOff>0</xdr:rowOff>
    </xdr:from>
    <xdr:to>
      <xdr:col>0</xdr:col>
      <xdr:colOff>1314450</xdr:colOff>
      <xdr:row>1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0</xdr:row>
      <xdr:rowOff>561975</xdr:rowOff>
    </xdr:from>
    <xdr:ext cx="2333625" cy="200025"/>
    <xdr:sp>
      <xdr:nvSpPr>
        <xdr:cNvPr id="5" name="TextBox 15"/>
        <xdr:cNvSpPr txBox="1">
          <a:spLocks noChangeArrowheads="1"/>
        </xdr:cNvSpPr>
      </xdr:nvSpPr>
      <xdr:spPr>
        <a:xfrm>
          <a:off x="5715000" y="561975"/>
          <a:ext cx="2333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sng" baseline="0">
              <a:latin typeface="Arial"/>
              <a:ea typeface="Arial"/>
              <a:cs typeface="Arial"/>
            </a:rPr>
            <a:t>Rev. 2.0 - Skyler Covington June 2009</a:t>
          </a:r>
        </a:p>
      </xdr:txBody>
    </xdr:sp>
    <xdr:clientData/>
  </xdr:oneCellAnchor>
  <xdr:twoCellAnchor editAs="absolute">
    <xdr:from>
      <xdr:col>1</xdr:col>
      <xdr:colOff>971550</xdr:colOff>
      <xdr:row>68</xdr:row>
      <xdr:rowOff>152400</xdr:rowOff>
    </xdr:from>
    <xdr:to>
      <xdr:col>3</xdr:col>
      <xdr:colOff>371475</xdr:colOff>
      <xdr:row>70</xdr:row>
      <xdr:rowOff>19050</xdr:rowOff>
    </xdr:to>
    <xdr:sp>
      <xdr:nvSpPr>
        <xdr:cNvPr id="6" name="Rout1"/>
        <xdr:cNvSpPr txBox="1">
          <a:spLocks noChangeArrowheads="1"/>
        </xdr:cNvSpPr>
      </xdr:nvSpPr>
      <xdr:spPr>
        <a:xfrm>
          <a:off x="3133725" y="121920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out1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 M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</xdr:col>
      <xdr:colOff>742950</xdr:colOff>
      <xdr:row>72</xdr:row>
      <xdr:rowOff>85725</xdr:rowOff>
    </xdr:from>
    <xdr:to>
      <xdr:col>3</xdr:col>
      <xdr:colOff>161925</xdr:colOff>
      <xdr:row>73</xdr:row>
      <xdr:rowOff>114300</xdr:rowOff>
    </xdr:to>
    <xdr:sp>
      <xdr:nvSpPr>
        <xdr:cNvPr id="7" name="Rout2"/>
        <xdr:cNvSpPr txBox="1">
          <a:spLocks noChangeArrowheads="1"/>
        </xdr:cNvSpPr>
      </xdr:nvSpPr>
      <xdr:spPr>
        <a:xfrm>
          <a:off x="2905125" y="127730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out2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25.5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295275</xdr:colOff>
      <xdr:row>75</xdr:row>
      <xdr:rowOff>133350</xdr:rowOff>
    </xdr:from>
    <xdr:to>
      <xdr:col>5</xdr:col>
      <xdr:colOff>314325</xdr:colOff>
      <xdr:row>77</xdr:row>
      <xdr:rowOff>0</xdr:rowOff>
    </xdr:to>
    <xdr:sp>
      <xdr:nvSpPr>
        <xdr:cNvPr id="8" name="Ct"/>
        <xdr:cNvSpPr txBox="1">
          <a:spLocks noChangeArrowheads="1"/>
        </xdr:cNvSpPr>
      </xdr:nvSpPr>
      <xdr:spPr>
        <a:xfrm>
          <a:off x="4171950" y="133064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Ct = 1220 pF</a:t>
          </a:r>
        </a:p>
      </xdr:txBody>
    </xdr:sp>
    <xdr:clientData/>
  </xdr:twoCellAnchor>
  <xdr:twoCellAnchor editAs="absolute">
    <xdr:from>
      <xdr:col>1</xdr:col>
      <xdr:colOff>723900</xdr:colOff>
      <xdr:row>74</xdr:row>
      <xdr:rowOff>0</xdr:rowOff>
    </xdr:from>
    <xdr:to>
      <xdr:col>3</xdr:col>
      <xdr:colOff>133350</xdr:colOff>
      <xdr:row>75</xdr:row>
      <xdr:rowOff>28575</xdr:rowOff>
    </xdr:to>
    <xdr:sp>
      <xdr:nvSpPr>
        <xdr:cNvPr id="9" name="Ccomp"/>
        <xdr:cNvSpPr txBox="1">
          <a:spLocks noChangeArrowheads="1"/>
        </xdr:cNvSpPr>
      </xdr:nvSpPr>
      <xdr:spPr>
        <a:xfrm>
          <a:off x="2886075" y="13011150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COMP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3.3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10</xdr:col>
      <xdr:colOff>57150</xdr:colOff>
      <xdr:row>75</xdr:row>
      <xdr:rowOff>104775</xdr:rowOff>
    </xdr:from>
    <xdr:to>
      <xdr:col>13</xdr:col>
      <xdr:colOff>314325</xdr:colOff>
      <xdr:row>76</xdr:row>
      <xdr:rowOff>133350</xdr:rowOff>
    </xdr:to>
    <xdr:sp>
      <xdr:nvSpPr>
        <xdr:cNvPr id="10" name="Rsense"/>
        <xdr:cNvSpPr txBox="1">
          <a:spLocks noChangeArrowheads="1"/>
        </xdr:cNvSpPr>
      </xdr:nvSpPr>
      <xdr:spPr>
        <a:xfrm>
          <a:off x="6591300" y="13277850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0.138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10</xdr:col>
      <xdr:colOff>0</xdr:colOff>
      <xdr:row>76</xdr:row>
      <xdr:rowOff>123825</xdr:rowOff>
    </xdr:from>
    <xdr:to>
      <xdr:col>13</xdr:col>
      <xdr:colOff>314325</xdr:colOff>
      <xdr:row>77</xdr:row>
      <xdr:rowOff>152400</xdr:rowOff>
    </xdr:to>
    <xdr:sp>
      <xdr:nvSpPr>
        <xdr:cNvPr id="11" name="Psense"/>
        <xdr:cNvSpPr txBox="1">
          <a:spLocks noChangeArrowheads="1"/>
        </xdr:cNvSpPr>
      </xdr:nvSpPr>
      <xdr:spPr>
        <a:xfrm>
          <a:off x="6534150" y="134588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Rsense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0.225 W</a:t>
          </a:r>
        </a:p>
      </xdr:txBody>
    </xdr:sp>
    <xdr:clientData/>
  </xdr:twoCellAnchor>
  <xdr:twoCellAnchor editAs="absolute">
    <xdr:from>
      <xdr:col>1</xdr:col>
      <xdr:colOff>638175</xdr:colOff>
      <xdr:row>66</xdr:row>
      <xdr:rowOff>28575</xdr:rowOff>
    </xdr:from>
    <xdr:to>
      <xdr:col>2</xdr:col>
      <xdr:colOff>428625</xdr:colOff>
      <xdr:row>67</xdr:row>
      <xdr:rowOff>76200</xdr:rowOff>
    </xdr:to>
    <xdr:sp>
      <xdr:nvSpPr>
        <xdr:cNvPr id="12" name="Rzcd"/>
        <xdr:cNvSpPr txBox="1">
          <a:spLocks noChangeArrowheads="1"/>
        </xdr:cNvSpPr>
      </xdr:nvSpPr>
      <xdr:spPr>
        <a:xfrm>
          <a:off x="2800350" y="117443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&gt;&gt; 3.75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304800</xdr:colOff>
      <xdr:row>65</xdr:row>
      <xdr:rowOff>66675</xdr:rowOff>
    </xdr:from>
    <xdr:to>
      <xdr:col>5</xdr:col>
      <xdr:colOff>104775</xdr:colOff>
      <xdr:row>66</xdr:row>
      <xdr:rowOff>114300</xdr:rowOff>
    </xdr:to>
    <xdr:sp>
      <xdr:nvSpPr>
        <xdr:cNvPr id="13" name="Nzcd"/>
        <xdr:cNvSpPr txBox="1">
          <a:spLocks noChangeArrowheads="1"/>
        </xdr:cNvSpPr>
      </xdr:nvSpPr>
      <xdr:spPr>
        <a:xfrm>
          <a:off x="4181475" y="116205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:N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</a:t>
          </a:r>
        </a:p>
      </xdr:txBody>
    </xdr:sp>
    <xdr:clientData/>
  </xdr:twoCellAnchor>
  <xdr:twoCellAnchor editAs="absolute">
    <xdr:from>
      <xdr:col>3</xdr:col>
      <xdr:colOff>409575</xdr:colOff>
      <xdr:row>61</xdr:row>
      <xdr:rowOff>152400</xdr:rowOff>
    </xdr:from>
    <xdr:to>
      <xdr:col>5</xdr:col>
      <xdr:colOff>314325</xdr:colOff>
      <xdr:row>63</xdr:row>
      <xdr:rowOff>9525</xdr:rowOff>
    </xdr:to>
    <xdr:sp>
      <xdr:nvSpPr>
        <xdr:cNvPr id="14" name="L"/>
        <xdr:cNvSpPr txBox="1">
          <a:spLocks noChangeArrowheads="1"/>
        </xdr:cNvSpPr>
      </xdr:nvSpPr>
      <xdr:spPr>
        <a:xfrm>
          <a:off x="4286250" y="1105852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 = 460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 editAs="absolute">
    <xdr:from>
      <xdr:col>1</xdr:col>
      <xdr:colOff>800100</xdr:colOff>
      <xdr:row>61</xdr:row>
      <xdr:rowOff>66675</xdr:rowOff>
    </xdr:from>
    <xdr:to>
      <xdr:col>3</xdr:col>
      <xdr:colOff>28575</xdr:colOff>
      <xdr:row>62</xdr:row>
      <xdr:rowOff>95250</xdr:rowOff>
    </xdr:to>
    <xdr:sp>
      <xdr:nvSpPr>
        <xdr:cNvPr id="15" name="IL" descr="toto"/>
        <xdr:cNvSpPr txBox="1">
          <a:spLocks noChangeArrowheads="1"/>
        </xdr:cNvSpPr>
      </xdr:nvSpPr>
      <xdr:spPr>
        <a:xfrm>
          <a:off x="2962275" y="109728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1.48 A</a:t>
          </a:r>
        </a:p>
      </xdr:txBody>
    </xdr:sp>
    <xdr:clientData/>
  </xdr:twoCellAnchor>
  <xdr:twoCellAnchor editAs="absolute">
    <xdr:from>
      <xdr:col>9</xdr:col>
      <xdr:colOff>19050</xdr:colOff>
      <xdr:row>60</xdr:row>
      <xdr:rowOff>95250</xdr:rowOff>
    </xdr:from>
    <xdr:to>
      <xdr:col>12</xdr:col>
      <xdr:colOff>200025</xdr:colOff>
      <xdr:row>61</xdr:row>
      <xdr:rowOff>123825</xdr:rowOff>
    </xdr:to>
    <xdr:sp>
      <xdr:nvSpPr>
        <xdr:cNvPr id="16" name="ID"/>
        <xdr:cNvSpPr txBox="1">
          <a:spLocks noChangeArrowheads="1"/>
        </xdr:cNvSpPr>
      </xdr:nvSpPr>
      <xdr:spPr>
        <a:xfrm>
          <a:off x="6210300" y="1083945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D(RMS)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0.75 A</a:t>
          </a:r>
        </a:p>
      </xdr:txBody>
    </xdr:sp>
    <xdr:clientData/>
  </xdr:twoCellAnchor>
  <xdr:twoCellAnchor editAs="absolute">
    <xdr:from>
      <xdr:col>10</xdr:col>
      <xdr:colOff>133350</xdr:colOff>
      <xdr:row>72</xdr:row>
      <xdr:rowOff>47625</xdr:rowOff>
    </xdr:from>
    <xdr:to>
      <xdr:col>13</xdr:col>
      <xdr:colOff>352425</xdr:colOff>
      <xdr:row>73</xdr:row>
      <xdr:rowOff>76200</xdr:rowOff>
    </xdr:to>
    <xdr:sp>
      <xdr:nvSpPr>
        <xdr:cNvPr id="17" name="IM"/>
        <xdr:cNvSpPr txBox="1">
          <a:spLocks noChangeArrowheads="1"/>
        </xdr:cNvSpPr>
      </xdr:nvSpPr>
      <xdr:spPr>
        <a:xfrm>
          <a:off x="6667500" y="12734925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M(RMS)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1.27 A</a:t>
          </a:r>
        </a:p>
      </xdr:txBody>
    </xdr:sp>
    <xdr:clientData/>
  </xdr:twoCellAnchor>
  <xdr:twoCellAnchor editAs="absolute">
    <xdr:from>
      <xdr:col>12</xdr:col>
      <xdr:colOff>180975</xdr:colOff>
      <xdr:row>68</xdr:row>
      <xdr:rowOff>19050</xdr:rowOff>
    </xdr:from>
    <xdr:to>
      <xdr:col>15</xdr:col>
      <xdr:colOff>152400</xdr:colOff>
      <xdr:row>69</xdr:row>
      <xdr:rowOff>57150</xdr:rowOff>
    </xdr:to>
    <xdr:sp>
      <xdr:nvSpPr>
        <xdr:cNvPr id="18" name="IC"/>
        <xdr:cNvSpPr txBox="1">
          <a:spLocks noChangeArrowheads="1"/>
        </xdr:cNvSpPr>
      </xdr:nvSpPr>
      <xdr:spPr>
        <a:xfrm>
          <a:off x="7210425" y="1205865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 A</a:t>
          </a:r>
        </a:p>
      </xdr:txBody>
    </xdr:sp>
    <xdr:clientData/>
  </xdr:twoCellAnchor>
  <xdr:twoCellAnchor editAs="absolute">
    <xdr:from>
      <xdr:col>12</xdr:col>
      <xdr:colOff>85725</xdr:colOff>
      <xdr:row>70</xdr:row>
      <xdr:rowOff>95250</xdr:rowOff>
    </xdr:from>
    <xdr:to>
      <xdr:col>15</xdr:col>
      <xdr:colOff>57150</xdr:colOff>
      <xdr:row>71</xdr:row>
      <xdr:rowOff>133350</xdr:rowOff>
    </xdr:to>
    <xdr:sp>
      <xdr:nvSpPr>
        <xdr:cNvPr id="19" name="Cout"/>
        <xdr:cNvSpPr txBox="1">
          <a:spLocks noChangeArrowheads="1"/>
        </xdr:cNvSpPr>
      </xdr:nvSpPr>
      <xdr:spPr>
        <a:xfrm>
          <a:off x="7115175" y="1245870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bulk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</xdr:col>
      <xdr:colOff>676275</xdr:colOff>
      <xdr:row>57</xdr:row>
      <xdr:rowOff>114300</xdr:rowOff>
    </xdr:from>
    <xdr:to>
      <xdr:col>3</xdr:col>
      <xdr:colOff>180975</xdr:colOff>
      <xdr:row>58</xdr:row>
      <xdr:rowOff>142875</xdr:rowOff>
    </xdr:to>
    <xdr:sp>
      <xdr:nvSpPr>
        <xdr:cNvPr id="20" name="Rstup"/>
        <xdr:cNvSpPr txBox="1">
          <a:spLocks noChangeArrowheads="1"/>
        </xdr:cNvSpPr>
      </xdr:nvSpPr>
      <xdr:spPr>
        <a:xfrm>
          <a:off x="2838450" y="10372725"/>
          <a:ext cx="1219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start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660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8</xdr:col>
      <xdr:colOff>66675</xdr:colOff>
      <xdr:row>68</xdr:row>
      <xdr:rowOff>104775</xdr:rowOff>
    </xdr:from>
    <xdr:to>
      <xdr:col>11</xdr:col>
      <xdr:colOff>114300</xdr:colOff>
      <xdr:row>69</xdr:row>
      <xdr:rowOff>133350</xdr:rowOff>
    </xdr:to>
    <xdr:sp>
      <xdr:nvSpPr>
        <xdr:cNvPr id="21" name="Cvcc"/>
        <xdr:cNvSpPr txBox="1">
          <a:spLocks noChangeArrowheads="1"/>
        </xdr:cNvSpPr>
      </xdr:nvSpPr>
      <xdr:spPr>
        <a:xfrm>
          <a:off x="5915025" y="1214437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VCC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47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0</xdr:col>
      <xdr:colOff>352425</xdr:colOff>
      <xdr:row>68</xdr:row>
      <xdr:rowOff>0</xdr:rowOff>
    </xdr:from>
    <xdr:to>
      <xdr:col>0</xdr:col>
      <xdr:colOff>1362075</xdr:colOff>
      <xdr:row>69</xdr:row>
      <xdr:rowOff>28575</xdr:rowOff>
    </xdr:to>
    <xdr:sp>
      <xdr:nvSpPr>
        <xdr:cNvPr id="22" name="IAC"/>
        <xdr:cNvSpPr txBox="1">
          <a:spLocks noChangeArrowheads="1"/>
        </xdr:cNvSpPr>
      </xdr:nvSpPr>
      <xdr:spPr>
        <a:xfrm>
          <a:off x="352425" y="12039600"/>
          <a:ext cx="1009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Iac = 1.28 A</a:t>
          </a:r>
        </a:p>
      </xdr:txBody>
    </xdr:sp>
    <xdr:clientData/>
  </xdr:twoCellAnchor>
  <xdr:twoCellAnchor editAs="absolute">
    <xdr:from>
      <xdr:col>4</xdr:col>
      <xdr:colOff>85725</xdr:colOff>
      <xdr:row>69</xdr:row>
      <xdr:rowOff>28575</xdr:rowOff>
    </xdr:from>
    <xdr:to>
      <xdr:col>6</xdr:col>
      <xdr:colOff>28575</xdr:colOff>
      <xdr:row>70</xdr:row>
      <xdr:rowOff>28575</xdr:rowOff>
    </xdr:to>
    <xdr:sp>
      <xdr:nvSpPr>
        <xdr:cNvPr id="23" name="Version"/>
        <xdr:cNvSpPr txBox="1">
          <a:spLocks noChangeArrowheads="1"/>
        </xdr:cNvSpPr>
      </xdr:nvSpPr>
      <xdr:spPr>
        <a:xfrm>
          <a:off x="4543425" y="12230100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NCP1608</a:t>
          </a:r>
        </a:p>
      </xdr:txBody>
    </xdr:sp>
    <xdr:clientData/>
  </xdr:twoCellAnchor>
  <xdr:twoCellAnchor editAs="absolute">
    <xdr:from>
      <xdr:col>0</xdr:col>
      <xdr:colOff>371475</xdr:colOff>
      <xdr:row>74</xdr:row>
      <xdr:rowOff>95250</xdr:rowOff>
    </xdr:from>
    <xdr:to>
      <xdr:col>0</xdr:col>
      <xdr:colOff>1571625</xdr:colOff>
      <xdr:row>75</xdr:row>
      <xdr:rowOff>123825</xdr:rowOff>
    </xdr:to>
    <xdr:sp>
      <xdr:nvSpPr>
        <xdr:cNvPr id="24" name="Vin"/>
        <xdr:cNvSpPr txBox="1">
          <a:spLocks noChangeArrowheads="1"/>
        </xdr:cNvSpPr>
      </xdr:nvSpPr>
      <xdr:spPr>
        <a:xfrm>
          <a:off x="371475" y="13106400"/>
          <a:ext cx="1200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line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85 - 265 Vac</a:t>
          </a:r>
        </a:p>
      </xdr:txBody>
    </xdr:sp>
    <xdr:clientData/>
  </xdr:twoCellAnchor>
  <xdr:twoCellAnchor editAs="absolute">
    <xdr:from>
      <xdr:col>12</xdr:col>
      <xdr:colOff>209550</xdr:colOff>
      <xdr:row>65</xdr:row>
      <xdr:rowOff>66675</xdr:rowOff>
    </xdr:from>
    <xdr:to>
      <xdr:col>15</xdr:col>
      <xdr:colOff>152400</xdr:colOff>
      <xdr:row>66</xdr:row>
      <xdr:rowOff>76200</xdr:rowOff>
    </xdr:to>
    <xdr:sp>
      <xdr:nvSpPr>
        <xdr:cNvPr id="25" name="Pout"/>
        <xdr:cNvSpPr txBox="1">
          <a:spLocks noChangeArrowheads="1"/>
        </xdr:cNvSpPr>
      </xdr:nvSpPr>
      <xdr:spPr>
        <a:xfrm>
          <a:off x="7239000" y="116205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100 W</a:t>
          </a:r>
        </a:p>
      </xdr:txBody>
    </xdr:sp>
    <xdr:clientData/>
  </xdr:twoCellAnchor>
  <xdr:twoCellAnchor editAs="absolute">
    <xdr:from>
      <xdr:col>12</xdr:col>
      <xdr:colOff>200025</xdr:colOff>
      <xdr:row>64</xdr:row>
      <xdr:rowOff>47625</xdr:rowOff>
    </xdr:from>
    <xdr:to>
      <xdr:col>15</xdr:col>
      <xdr:colOff>104775</xdr:colOff>
      <xdr:row>65</xdr:row>
      <xdr:rowOff>66675</xdr:rowOff>
    </xdr:to>
    <xdr:sp>
      <xdr:nvSpPr>
        <xdr:cNvPr id="26" name="Vout"/>
        <xdr:cNvSpPr txBox="1">
          <a:spLocks noChangeArrowheads="1"/>
        </xdr:cNvSpPr>
      </xdr:nvSpPr>
      <xdr:spPr>
        <a:xfrm>
          <a:off x="7229475" y="114395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400 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I8"/>
  <sheetViews>
    <sheetView showGridLines="0" showRowColHeaders="0" workbookViewId="0" topLeftCell="A1">
      <selection activeCell="A6" sqref="A6:I7"/>
    </sheetView>
  </sheetViews>
  <sheetFormatPr defaultColWidth="9.140625" defaultRowHeight="12.75"/>
  <sheetData>
    <row r="6" spans="1:9" ht="12.75" customHeight="1">
      <c r="A6" s="73" t="s">
        <v>37</v>
      </c>
      <c r="B6" s="73"/>
      <c r="C6" s="73"/>
      <c r="D6" s="73"/>
      <c r="E6" s="73"/>
      <c r="F6" s="73"/>
      <c r="G6" s="73"/>
      <c r="H6" s="73"/>
      <c r="I6" s="73"/>
    </row>
    <row r="7" spans="1:9" ht="12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2:7" ht="12.75" customHeight="1">
      <c r="B8" s="48"/>
      <c r="C8" s="48"/>
      <c r="D8" s="48"/>
      <c r="E8" s="48"/>
      <c r="F8" s="48"/>
      <c r="G8" s="48"/>
    </row>
  </sheetData>
  <sheetProtection password="D041" sheet="1" objects="1" scenarios="1" selectLockedCells="1"/>
  <mergeCells count="1">
    <mergeCell ref="A6:I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7"/>
  <sheetViews>
    <sheetView tabSelected="1" workbookViewId="0" topLeftCell="A1">
      <selection activeCell="F6" sqref="F6"/>
    </sheetView>
  </sheetViews>
  <sheetFormatPr defaultColWidth="9.140625" defaultRowHeight="12.75"/>
  <cols>
    <col min="1" max="1" width="32.421875" style="0" customWidth="1"/>
    <col min="2" max="2" width="17.140625" style="11" customWidth="1"/>
    <col min="3" max="3" width="8.57421875" style="9" customWidth="1"/>
    <col min="4" max="4" width="8.7109375" style="3" customWidth="1"/>
    <col min="5" max="5" width="5.28125" style="3" customWidth="1"/>
    <col min="6" max="6" width="6.8515625" style="3" customWidth="1"/>
    <col min="7" max="7" width="3.421875" style="0" customWidth="1"/>
    <col min="8" max="8" width="5.28125" style="0" customWidth="1"/>
    <col min="9" max="10" width="5.140625" style="0" customWidth="1"/>
    <col min="11" max="11" width="3.28125" style="0" customWidth="1"/>
    <col min="12" max="12" width="4.140625" style="0" customWidth="1"/>
    <col min="13" max="13" width="4.8515625" style="0" customWidth="1"/>
    <col min="14" max="14" width="6.28125" style="0" customWidth="1"/>
    <col min="15" max="16" width="2.7109375" style="0" customWidth="1"/>
    <col min="17" max="17" width="2.421875" style="0" customWidth="1"/>
  </cols>
  <sheetData>
    <row r="1" spans="2:8" ht="60.75" customHeight="1">
      <c r="B1" s="40"/>
      <c r="C1" s="40"/>
      <c r="D1" s="40"/>
      <c r="E1" s="40"/>
      <c r="F1" s="40"/>
      <c r="G1" s="40"/>
      <c r="H1" s="2"/>
    </row>
    <row r="2" spans="1:17" ht="15" customHeight="1">
      <c r="A2" s="74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3:6" ht="12.75" customHeight="1">
      <c r="C4" s="7"/>
      <c r="D4" s="4"/>
      <c r="E4" s="4"/>
      <c r="F4" s="4"/>
    </row>
    <row r="5" spans="1:10" ht="12.75" customHeight="1">
      <c r="A5" s="14"/>
      <c r="B5" s="35"/>
      <c r="C5" s="15"/>
      <c r="D5" s="16"/>
      <c r="E5" s="4"/>
      <c r="F5" s="4"/>
      <c r="H5" s="44"/>
      <c r="I5" s="44"/>
      <c r="J5" s="44"/>
    </row>
    <row r="6" spans="1:13" ht="12.75">
      <c r="A6" s="17"/>
      <c r="B6" s="18"/>
      <c r="C6" s="19"/>
      <c r="D6" s="20"/>
      <c r="E6" s="49"/>
      <c r="F6" s="36"/>
      <c r="M6" s="38" t="s">
        <v>38</v>
      </c>
    </row>
    <row r="7" spans="1:4" ht="12.75">
      <c r="A7" s="12" t="s">
        <v>125</v>
      </c>
      <c r="B7" s="50" t="s">
        <v>75</v>
      </c>
      <c r="C7" s="21">
        <v>100</v>
      </c>
      <c r="D7" s="6" t="s">
        <v>2</v>
      </c>
    </row>
    <row r="8" spans="1:4" ht="14.25">
      <c r="A8" s="12" t="s">
        <v>126</v>
      </c>
      <c r="B8" s="50" t="s">
        <v>46</v>
      </c>
      <c r="C8" s="21">
        <v>92</v>
      </c>
      <c r="D8" s="6" t="s">
        <v>6</v>
      </c>
    </row>
    <row r="9" spans="1:16" ht="18.75">
      <c r="A9" s="12" t="s">
        <v>101</v>
      </c>
      <c r="B9" s="50" t="s">
        <v>47</v>
      </c>
      <c r="C9" s="21">
        <v>85</v>
      </c>
      <c r="D9" s="6" t="s">
        <v>56</v>
      </c>
      <c r="F9" s="77" t="s">
        <v>96</v>
      </c>
      <c r="G9" s="78"/>
      <c r="H9" s="78"/>
      <c r="I9" s="78"/>
      <c r="J9" s="78"/>
      <c r="K9" s="78"/>
      <c r="L9" s="78"/>
      <c r="M9" s="78"/>
      <c r="N9" s="41">
        <v>265</v>
      </c>
      <c r="O9" s="75" t="s">
        <v>42</v>
      </c>
      <c r="P9" s="76"/>
    </row>
    <row r="10" spans="1:16" ht="12.75">
      <c r="A10" s="12" t="s">
        <v>102</v>
      </c>
      <c r="B10" s="50" t="s">
        <v>40</v>
      </c>
      <c r="C10" s="21">
        <v>265</v>
      </c>
      <c r="D10" s="6" t="s">
        <v>56</v>
      </c>
      <c r="E10" s="58" t="s">
        <v>62</v>
      </c>
      <c r="F10" s="58">
        <v>4.775</v>
      </c>
      <c r="G10" s="59" t="s">
        <v>17</v>
      </c>
      <c r="H10" s="59" t="s">
        <v>18</v>
      </c>
      <c r="I10" s="59" t="s">
        <v>19</v>
      </c>
      <c r="J10" s="59" t="s">
        <v>20</v>
      </c>
      <c r="K10" s="59" t="s">
        <v>21</v>
      </c>
      <c r="L10" s="59" t="s">
        <v>22</v>
      </c>
      <c r="M10" s="59" t="s">
        <v>23</v>
      </c>
      <c r="N10" s="59" t="s">
        <v>24</v>
      </c>
      <c r="O10" s="39"/>
      <c r="P10" s="39"/>
    </row>
    <row r="11" spans="1:16" ht="12.75">
      <c r="A11" s="12" t="s">
        <v>87</v>
      </c>
      <c r="B11" s="50" t="s">
        <v>76</v>
      </c>
      <c r="C11" s="21">
        <v>400</v>
      </c>
      <c r="D11" s="6" t="s">
        <v>3</v>
      </c>
      <c r="E11" s="67" t="s">
        <v>8</v>
      </c>
      <c r="F11" s="68">
        <v>5</v>
      </c>
      <c r="G11" s="59">
        <v>0</v>
      </c>
      <c r="H11" s="60">
        <f aca="true" t="shared" si="0" ref="H11:H47">1.414214*$N$9*SIN(G11*PI()/180)</f>
        <v>0</v>
      </c>
      <c r="I11" s="61">
        <f aca="true" t="shared" si="1" ref="I11:I47">(1.414214*$C$7/$N$9)*SIN(G11*PI()/180)</f>
        <v>0</v>
      </c>
      <c r="J11" s="61">
        <f>(2*$C$7*$C$22*0.000001/($C$8/100*$N$9^2))*1000000</f>
        <v>1.4239943040227838</v>
      </c>
      <c r="K11" s="61">
        <v>0</v>
      </c>
      <c r="L11" s="62">
        <f>1000/(J11+K11)</f>
        <v>702.25</v>
      </c>
      <c r="M11" s="61">
        <f aca="true" t="shared" si="2" ref="M11:M47">42370*$N$9*(SIN((G11+2.5)*PI()/180)-0.643)/($C$45*$C$7*$C$46)</f>
        <v>-21.05718237701076</v>
      </c>
      <c r="N11" s="60">
        <f>M11</f>
        <v>-21.05718237701076</v>
      </c>
      <c r="O11" s="39"/>
      <c r="P11" s="39"/>
    </row>
    <row r="12" spans="1:16" ht="12.75">
      <c r="A12" s="12" t="s">
        <v>103</v>
      </c>
      <c r="B12" s="50" t="s">
        <v>41</v>
      </c>
      <c r="C12" s="21">
        <v>40</v>
      </c>
      <c r="D12" s="6" t="s">
        <v>7</v>
      </c>
      <c r="E12" s="67" t="s">
        <v>9</v>
      </c>
      <c r="F12" s="68">
        <v>0.85</v>
      </c>
      <c r="G12" s="59">
        <v>5</v>
      </c>
      <c r="H12" s="60">
        <f t="shared" si="0"/>
        <v>32.66307096714622</v>
      </c>
      <c r="I12" s="61">
        <f t="shared" si="1"/>
        <v>0.04651202700910817</v>
      </c>
      <c r="J12" s="61">
        <f aca="true" t="shared" si="3" ref="J12:J47">(2*$C$7*$C$22*0.000001/($C$8/100*$N$9^2))*1000000</f>
        <v>1.4239943040227838</v>
      </c>
      <c r="K12" s="61">
        <f aca="true" t="shared" si="4" ref="K12:K46">J12/($C$11/H12-1)</f>
        <v>0.12661952374776955</v>
      </c>
      <c r="L12" s="62">
        <f>1000/(J12+K12)</f>
        <v>644.905896033304</v>
      </c>
      <c r="M12" s="61">
        <f t="shared" si="2"/>
        <v>-18.004009816782386</v>
      </c>
      <c r="N12" s="60">
        <f>N11+M12</f>
        <v>-39.06119219379315</v>
      </c>
      <c r="O12" s="39"/>
      <c r="P12" s="39"/>
    </row>
    <row r="13" spans="1:16" ht="12.75">
      <c r="A13" s="17"/>
      <c r="E13" s="67" t="s">
        <v>10</v>
      </c>
      <c r="F13" s="69">
        <v>297</v>
      </c>
      <c r="G13" s="59">
        <f>G12+5</f>
        <v>10</v>
      </c>
      <c r="H13" s="60">
        <f t="shared" si="0"/>
        <v>65.07755624173096</v>
      </c>
      <c r="I13" s="61">
        <f t="shared" si="1"/>
        <v>0.09267006940794725</v>
      </c>
      <c r="J13" s="61">
        <f t="shared" si="3"/>
        <v>1.4239943040227838</v>
      </c>
      <c r="K13" s="61">
        <f t="shared" si="4"/>
        <v>0.2766911299465857</v>
      </c>
      <c r="L13" s="62">
        <f>1000/(J13+K13)</f>
        <v>587.9982153231111</v>
      </c>
      <c r="M13" s="61">
        <f t="shared" si="2"/>
        <v>-14.98573636646522</v>
      </c>
      <c r="N13" s="60">
        <f aca="true" t="shared" si="5" ref="N13:N47">N12+M13</f>
        <v>-54.046928560258365</v>
      </c>
      <c r="O13" s="39"/>
      <c r="P13" s="39"/>
    </row>
    <row r="14" spans="1:16" ht="12.75">
      <c r="A14" s="12"/>
      <c r="B14" s="12"/>
      <c r="C14" s="19"/>
      <c r="D14" s="6"/>
      <c r="E14" s="67" t="s">
        <v>68</v>
      </c>
      <c r="F14" s="69">
        <v>100</v>
      </c>
      <c r="G14" s="59">
        <f aca="true" t="shared" si="6" ref="G14:G47">G13+5</f>
        <v>15</v>
      </c>
      <c r="H14" s="60">
        <f t="shared" si="0"/>
        <v>96.99676201841332</v>
      </c>
      <c r="I14" s="61">
        <f t="shared" si="1"/>
        <v>0.13812283662287406</v>
      </c>
      <c r="J14" s="61">
        <f t="shared" si="3"/>
        <v>1.4239943040227838</v>
      </c>
      <c r="K14" s="61">
        <f t="shared" si="4"/>
        <v>0.45584607459299725</v>
      </c>
      <c r="L14" s="62">
        <f aca="true" t="shared" si="7" ref="L14:L47">1000/(J14+K14)</f>
        <v>531.9600596814231</v>
      </c>
      <c r="M14" s="61">
        <f t="shared" si="2"/>
        <v>-12.02533290949952</v>
      </c>
      <c r="N14" s="60">
        <f t="shared" si="5"/>
        <v>-66.07226146975789</v>
      </c>
      <c r="O14" s="39"/>
      <c r="P14" s="39"/>
    </row>
    <row r="15" spans="1:16" ht="12.75">
      <c r="A15" s="12" t="s">
        <v>121</v>
      </c>
      <c r="B15" s="50" t="s">
        <v>43</v>
      </c>
      <c r="C15" s="22">
        <f>C7/(C8/100*C9)</f>
        <v>1.278772378516624</v>
      </c>
      <c r="D15" s="6" t="s">
        <v>5</v>
      </c>
      <c r="E15" s="67" t="s">
        <v>11</v>
      </c>
      <c r="F15" s="70">
        <v>0.5</v>
      </c>
      <c r="G15" s="59">
        <f t="shared" si="6"/>
        <v>20</v>
      </c>
      <c r="H15" s="60">
        <f t="shared" si="0"/>
        <v>128.17776386788933</v>
      </c>
      <c r="I15" s="61">
        <f t="shared" si="1"/>
        <v>0.1825244056502518</v>
      </c>
      <c r="J15" s="61">
        <f t="shared" si="3"/>
        <v>1.4239943040227838</v>
      </c>
      <c r="K15" s="61">
        <f t="shared" si="4"/>
        <v>0.6714844533967469</v>
      </c>
      <c r="L15" s="62">
        <f t="shared" si="7"/>
        <v>477.2179133094368</v>
      </c>
      <c r="M15" s="61">
        <f t="shared" si="2"/>
        <v>-9.145329903733272</v>
      </c>
      <c r="N15" s="60">
        <f t="shared" si="5"/>
        <v>-75.21759137349116</v>
      </c>
      <c r="O15" s="39"/>
      <c r="P15" s="39"/>
    </row>
    <row r="16" spans="1:16" ht="12.75">
      <c r="A16" s="12" t="s">
        <v>122</v>
      </c>
      <c r="B16" s="50" t="s">
        <v>44</v>
      </c>
      <c r="C16" s="22">
        <f>2*SQRT(2)*C7/(C8/100*C9)</f>
        <v>3.6169144817726218</v>
      </c>
      <c r="D16" s="6" t="s">
        <v>5</v>
      </c>
      <c r="E16" s="67" t="s">
        <v>106</v>
      </c>
      <c r="F16" s="69">
        <v>24</v>
      </c>
      <c r="G16" s="59">
        <f t="shared" si="6"/>
        <v>25</v>
      </c>
      <c r="H16" s="60">
        <f t="shared" si="0"/>
        <v>158.38325553848082</v>
      </c>
      <c r="I16" s="61">
        <f t="shared" si="1"/>
        <v>0.2255368537393817</v>
      </c>
      <c r="J16" s="61">
        <f t="shared" si="3"/>
        <v>1.4239943040227838</v>
      </c>
      <c r="K16" s="61">
        <f t="shared" si="4"/>
        <v>0.9334487733539578</v>
      </c>
      <c r="L16" s="62">
        <f t="shared" si="7"/>
        <v>424.18839699525466</v>
      </c>
      <c r="M16" s="61">
        <f t="shared" si="2"/>
        <v>-6.367645911033723</v>
      </c>
      <c r="N16" s="60">
        <f t="shared" si="5"/>
        <v>-81.58523728452488</v>
      </c>
      <c r="O16" s="39"/>
      <c r="P16" s="39"/>
    </row>
    <row r="17" spans="1:16" ht="12.75">
      <c r="A17" s="12" t="s">
        <v>118</v>
      </c>
      <c r="B17" s="50" t="s">
        <v>45</v>
      </c>
      <c r="C17" s="22">
        <f>2/SQRT(3)*C7/((C8/100)*(C9))</f>
        <v>1.476599153937662</v>
      </c>
      <c r="D17" s="6" t="s">
        <v>5</v>
      </c>
      <c r="E17" s="67" t="s">
        <v>12</v>
      </c>
      <c r="F17" s="68">
        <v>12</v>
      </c>
      <c r="G17" s="59">
        <f t="shared" si="6"/>
        <v>30</v>
      </c>
      <c r="H17" s="60">
        <f t="shared" si="0"/>
        <v>187.383355</v>
      </c>
      <c r="I17" s="61">
        <f t="shared" si="1"/>
        <v>0.2668328301886792</v>
      </c>
      <c r="J17" s="61">
        <f t="shared" si="3"/>
        <v>1.4239943040227838</v>
      </c>
      <c r="K17" s="61">
        <f t="shared" si="4"/>
        <v>1.254995017857982</v>
      </c>
      <c r="L17" s="62">
        <f t="shared" si="7"/>
        <v>373.275097378125</v>
      </c>
      <c r="M17" s="61">
        <f t="shared" si="2"/>
        <v>-3.713420783796759</v>
      </c>
      <c r="N17" s="60">
        <f t="shared" si="5"/>
        <v>-85.29865806832164</v>
      </c>
      <c r="O17" s="39"/>
      <c r="P17" s="39"/>
    </row>
    <row r="18" spans="1:16" ht="12.75">
      <c r="A18" s="12" t="s">
        <v>119</v>
      </c>
      <c r="B18" s="50" t="s">
        <v>57</v>
      </c>
      <c r="C18" s="22">
        <f>4/3*SQRT(2*SQRT(2)/3.14159)*(C7/(C8/100))/(SQRT(C9*C11))</f>
        <v>0.7457773590821855</v>
      </c>
      <c r="D18" s="6" t="s">
        <v>5</v>
      </c>
      <c r="E18" s="67" t="s">
        <v>14</v>
      </c>
      <c r="F18" s="68">
        <v>10</v>
      </c>
      <c r="G18" s="59">
        <f t="shared" si="6"/>
        <v>35</v>
      </c>
      <c r="H18" s="60">
        <f t="shared" si="0"/>
        <v>214.95735398480596</v>
      </c>
      <c r="I18" s="61">
        <f t="shared" si="1"/>
        <v>0.3060980476821729</v>
      </c>
      <c r="J18" s="61">
        <f t="shared" si="3"/>
        <v>1.4239943040227838</v>
      </c>
      <c r="K18" s="61">
        <f t="shared" si="4"/>
        <v>1.65420271636755</v>
      </c>
      <c r="L18" s="62">
        <f t="shared" si="7"/>
        <v>324.86549541042507</v>
      </c>
      <c r="M18" s="61">
        <f t="shared" si="2"/>
        <v>-1.202854777905614</v>
      </c>
      <c r="N18" s="60">
        <f t="shared" si="5"/>
        <v>-86.50151284622726</v>
      </c>
      <c r="O18" s="39"/>
      <c r="P18" s="39"/>
    </row>
    <row r="19" spans="1:16" ht="12.75">
      <c r="A19" s="12" t="s">
        <v>120</v>
      </c>
      <c r="B19" s="50" t="s">
        <v>58</v>
      </c>
      <c r="C19" s="22">
        <f>(2/SQRT(3))*(C7/(C8/100*C9))*(SQRT((1-(8*SQRT(2)*C9/(3*3.14159*C11)))))</f>
        <v>1.274425828398742</v>
      </c>
      <c r="D19" s="6" t="s">
        <v>5</v>
      </c>
      <c r="E19" s="67" t="s">
        <v>15</v>
      </c>
      <c r="F19" s="68">
        <v>0.31</v>
      </c>
      <c r="G19" s="59">
        <f t="shared" si="6"/>
        <v>40</v>
      </c>
      <c r="H19" s="60">
        <f t="shared" si="0"/>
        <v>240.89539771098848</v>
      </c>
      <c r="I19" s="61">
        <f t="shared" si="1"/>
        <v>0.34303367420575076</v>
      </c>
      <c r="J19" s="61">
        <f t="shared" si="3"/>
        <v>1.4239943040227838</v>
      </c>
      <c r="K19" s="61">
        <f t="shared" si="4"/>
        <v>2.1560260939695155</v>
      </c>
      <c r="L19" s="62">
        <f t="shared" si="7"/>
        <v>279.3280173936459</v>
      </c>
      <c r="M19" s="61">
        <f t="shared" si="2"/>
        <v>1.1449451834136852</v>
      </c>
      <c r="N19" s="60">
        <f t="shared" si="5"/>
        <v>-85.35656766281357</v>
      </c>
      <c r="O19" s="39"/>
      <c r="P19" s="39"/>
    </row>
    <row r="20" spans="1:16" ht="12.75">
      <c r="A20" s="12"/>
      <c r="B20" s="12"/>
      <c r="C20" s="23"/>
      <c r="D20" s="6"/>
      <c r="E20" s="58"/>
      <c r="F20" s="58"/>
      <c r="G20" s="59">
        <f t="shared" si="6"/>
        <v>45</v>
      </c>
      <c r="H20" s="60">
        <f t="shared" si="0"/>
        <v>265.0000820039723</v>
      </c>
      <c r="I20" s="61">
        <f t="shared" si="1"/>
        <v>0.3773586073392272</v>
      </c>
      <c r="J20" s="61">
        <f t="shared" si="3"/>
        <v>1.4239943040227838</v>
      </c>
      <c r="K20" s="61">
        <f t="shared" si="4"/>
        <v>2.795250641191729</v>
      </c>
      <c r="L20" s="62">
        <f t="shared" si="7"/>
        <v>237.00923103177612</v>
      </c>
      <c r="M20" s="61">
        <f t="shared" si="2"/>
        <v>3.312110924815124</v>
      </c>
      <c r="N20" s="60">
        <f t="shared" si="5"/>
        <v>-82.04445673799844</v>
      </c>
      <c r="O20" s="39"/>
      <c r="P20" s="39"/>
    </row>
    <row r="21" spans="1:16" ht="12.75">
      <c r="A21" s="12" t="s">
        <v>100</v>
      </c>
      <c r="B21" s="50" t="s">
        <v>59</v>
      </c>
      <c r="C21" s="24">
        <f>IF(2*C9^2*(C11/SQRT(2)-C9)/(C11*C9*(2*SQRT(2)*C7/(C8/100*C9))*C12*1000)*1000000&lt;2*C10^2*(C11/SQRT(2)-C10)/(C11*C10*(2*SQRT(2)*C7/(C8/100*C10))*C12*1000)*1000000,2*C9^2*(C11/SQRT(2)-C9)/(C11*C9*(2*SQRT(2)*C7/(C8/100*C9))*C12*1000)*1000000,2*C10^2*(C11/SQRT(2)-C10)/(C11*C10*(2*SQRT(2)*C7/(C8/100*C10))*C12*1000)*1000000)</f>
        <v>509.45458111774354</v>
      </c>
      <c r="D21" s="37" t="s">
        <v>25</v>
      </c>
      <c r="E21" s="67" t="s">
        <v>39</v>
      </c>
      <c r="F21" s="69">
        <v>4600</v>
      </c>
      <c r="G21" s="59">
        <f t="shared" si="6"/>
        <v>50</v>
      </c>
      <c r="H21" s="60">
        <f>1.414214*$N$9*SIN(G21*PI()/180)</f>
        <v>287.08795566148154</v>
      </c>
      <c r="I21" s="61">
        <f>(1.414214*$C$7/$N$9)*SIN(G21*PI()/180)</f>
        <v>0.4088116136154953</v>
      </c>
      <c r="J21" s="61">
        <f t="shared" si="3"/>
        <v>1.4239943040227838</v>
      </c>
      <c r="K21" s="61">
        <f t="shared" si="4"/>
        <v>3.620620067686034</v>
      </c>
      <c r="L21" s="62">
        <f>1000/(J21+K21)</f>
        <v>198.2312078418115</v>
      </c>
      <c r="M21" s="61">
        <f t="shared" si="2"/>
        <v>5.282149006436179</v>
      </c>
      <c r="N21" s="60">
        <f>N20+M21</f>
        <v>-76.76230773156226</v>
      </c>
      <c r="O21" s="39"/>
      <c r="P21" s="39"/>
    </row>
    <row r="22" spans="1:16" ht="12.75">
      <c r="A22" s="12" t="s">
        <v>99</v>
      </c>
      <c r="B22" s="52" t="s">
        <v>16</v>
      </c>
      <c r="C22" s="43">
        <v>460</v>
      </c>
      <c r="D22" s="37" t="s">
        <v>25</v>
      </c>
      <c r="E22" s="58" t="s">
        <v>65</v>
      </c>
      <c r="F22" s="58">
        <v>100</v>
      </c>
      <c r="G22" s="59">
        <f t="shared" si="6"/>
        <v>55</v>
      </c>
      <c r="H22" s="60">
        <f t="shared" si="0"/>
        <v>306.9909166279598</v>
      </c>
      <c r="I22" s="61">
        <f t="shared" si="1"/>
        <v>0.43715331666494806</v>
      </c>
      <c r="J22" s="61">
        <f t="shared" si="3"/>
        <v>1.4239943040227838</v>
      </c>
      <c r="K22" s="61">
        <f t="shared" si="4"/>
        <v>4.700114234179864</v>
      </c>
      <c r="L22" s="62">
        <f t="shared" si="7"/>
        <v>163.28907199503814</v>
      </c>
      <c r="M22" s="61">
        <f t="shared" si="2"/>
        <v>7.0400662489342025</v>
      </c>
      <c r="N22" s="60">
        <f t="shared" si="5"/>
        <v>-69.72224148262805</v>
      </c>
      <c r="O22" s="39"/>
      <c r="P22" s="39"/>
    </row>
    <row r="23" spans="1:16" ht="12.75">
      <c r="A23" s="12" t="s">
        <v>111</v>
      </c>
      <c r="B23" s="50" t="s">
        <v>60</v>
      </c>
      <c r="C23" s="22">
        <f>(2*C7*C22*0.000001/(C8/100*C9^2))*1000000</f>
        <v>13.840830449826989</v>
      </c>
      <c r="D23" s="25" t="s">
        <v>33</v>
      </c>
      <c r="E23" s="58" t="s">
        <v>67</v>
      </c>
      <c r="F23" s="58">
        <v>1.55</v>
      </c>
      <c r="G23" s="59">
        <f t="shared" si="6"/>
        <v>60</v>
      </c>
      <c r="H23" s="60">
        <f t="shared" si="0"/>
        <v>324.55749135271566</v>
      </c>
      <c r="I23" s="61">
        <f t="shared" si="1"/>
        <v>0.46216801901419097</v>
      </c>
      <c r="J23" s="61">
        <f t="shared" si="3"/>
        <v>1.4239943040227838</v>
      </c>
      <c r="K23" s="61">
        <f t="shared" si="4"/>
        <v>6.1260955832601045</v>
      </c>
      <c r="L23" s="62">
        <f t="shared" si="7"/>
        <v>132.4487542438886</v>
      </c>
      <c r="M23" s="61">
        <f t="shared" si="2"/>
        <v>8.572483840634327</v>
      </c>
      <c r="N23" s="60">
        <f t="shared" si="5"/>
        <v>-61.14975764199372</v>
      </c>
      <c r="O23" s="39"/>
      <c r="P23" s="39"/>
    </row>
    <row r="24" spans="1:16" ht="12.75">
      <c r="A24" s="12" t="s">
        <v>112</v>
      </c>
      <c r="B24" s="50" t="s">
        <v>61</v>
      </c>
      <c r="C24" s="22">
        <f>(2*C7*C22*0.000001/(C8/100*C10*C10))*1000000</f>
        <v>1.4239943040227838</v>
      </c>
      <c r="D24" s="25" t="s">
        <v>33</v>
      </c>
      <c r="E24" s="58" t="s">
        <v>74</v>
      </c>
      <c r="F24" s="58">
        <v>2.5</v>
      </c>
      <c r="G24" s="59">
        <f t="shared" si="6"/>
        <v>65</v>
      </c>
      <c r="H24" s="60">
        <f t="shared" si="0"/>
        <v>339.653987595106</v>
      </c>
      <c r="I24" s="61">
        <f t="shared" si="1"/>
        <v>0.4836653436740562</v>
      </c>
      <c r="J24" s="61">
        <f t="shared" si="3"/>
        <v>1.4239943040227838</v>
      </c>
      <c r="K24" s="61">
        <f t="shared" si="4"/>
        <v>8.014868330137274</v>
      </c>
      <c r="L24" s="62">
        <f t="shared" si="7"/>
        <v>105.94496802834207</v>
      </c>
      <c r="M24" s="61">
        <f t="shared" si="2"/>
        <v>9.867739158364683</v>
      </c>
      <c r="N24" s="60">
        <f t="shared" si="5"/>
        <v>-51.28201848362904</v>
      </c>
      <c r="O24" s="39"/>
      <c r="P24" s="39"/>
    </row>
    <row r="25" spans="1:16" ht="12.75">
      <c r="A25" s="71" t="s">
        <v>113</v>
      </c>
      <c r="B25" s="50" t="s">
        <v>48</v>
      </c>
      <c r="C25" s="22">
        <f>(C9*C9/(2*C22*0.000001*C7/(C8/100))*(1-(SQRT(2)*C9*1)/C11))/1000</f>
        <v>50.53740240019057</v>
      </c>
      <c r="D25" s="6" t="s">
        <v>7</v>
      </c>
      <c r="E25" s="58" t="s">
        <v>92</v>
      </c>
      <c r="F25" s="58">
        <f>F24*1.06</f>
        <v>2.6500000000000004</v>
      </c>
      <c r="G25" s="59">
        <f t="shared" si="6"/>
        <v>70</v>
      </c>
      <c r="H25" s="60">
        <f t="shared" si="0"/>
        <v>352.1655119032125</v>
      </c>
      <c r="I25" s="61">
        <f t="shared" si="1"/>
        <v>0.5014816830234425</v>
      </c>
      <c r="J25" s="61">
        <f t="shared" si="3"/>
        <v>1.4239943040227838</v>
      </c>
      <c r="K25" s="61">
        <f t="shared" si="4"/>
        <v>10.48368453340095</v>
      </c>
      <c r="L25" s="62">
        <f t="shared" si="7"/>
        <v>83.97942316492248</v>
      </c>
      <c r="M25" s="61">
        <f t="shared" si="2"/>
        <v>10.91597452706079</v>
      </c>
      <c r="N25" s="60">
        <f t="shared" si="5"/>
        <v>-40.36604395656825</v>
      </c>
      <c r="O25" s="39"/>
      <c r="P25" s="39"/>
    </row>
    <row r="26" spans="1:16" ht="12.75">
      <c r="A26" s="12" t="s">
        <v>114</v>
      </c>
      <c r="B26" s="50" t="s">
        <v>49</v>
      </c>
      <c r="C26" s="26">
        <f>(C10*C10/(2*C22*0.000001*C7/(C8/100))*(1-(SQRT(2)*C10*1)/C11))/1000</f>
        <v>44.300398358064754</v>
      </c>
      <c r="D26" s="6" t="s">
        <v>7</v>
      </c>
      <c r="E26" s="63"/>
      <c r="F26" s="63"/>
      <c r="G26" s="59">
        <f t="shared" si="6"/>
        <v>75</v>
      </c>
      <c r="H26" s="60">
        <f t="shared" si="0"/>
        <v>361.9968440223857</v>
      </c>
      <c r="I26" s="61">
        <f t="shared" si="1"/>
        <v>0.5154814439621014</v>
      </c>
      <c r="J26" s="61">
        <f t="shared" si="3"/>
        <v>1.4239943040227838</v>
      </c>
      <c r="K26" s="61">
        <f t="shared" si="4"/>
        <v>13.564174624490255</v>
      </c>
      <c r="L26" s="62">
        <f t="shared" si="7"/>
        <v>66.71929071319914</v>
      </c>
      <c r="M26" s="61">
        <f t="shared" si="2"/>
        <v>11.709212242625055</v>
      </c>
      <c r="N26" s="60">
        <f t="shared" si="5"/>
        <v>-28.65683171394319</v>
      </c>
      <c r="O26" s="39"/>
      <c r="P26" s="39"/>
    </row>
    <row r="27" spans="1:16" ht="12.75">
      <c r="A27" s="12"/>
      <c r="B27" s="12"/>
      <c r="C27" s="27"/>
      <c r="D27" s="6"/>
      <c r="E27" s="63"/>
      <c r="F27" s="63"/>
      <c r="G27" s="59">
        <f t="shared" si="6"/>
        <v>80</v>
      </c>
      <c r="H27" s="60">
        <f t="shared" si="0"/>
        <v>369.07316157887783</v>
      </c>
      <c r="I27" s="61">
        <f t="shared" si="1"/>
        <v>0.5255580798560026</v>
      </c>
      <c r="J27" s="61">
        <f t="shared" si="3"/>
        <v>1.4239943040227838</v>
      </c>
      <c r="K27" s="61">
        <f t="shared" si="4"/>
        <v>16.993592190046193</v>
      </c>
      <c r="L27" s="62">
        <f t="shared" si="7"/>
        <v>54.29593070308264</v>
      </c>
      <c r="M27" s="61">
        <f t="shared" si="2"/>
        <v>12.241415287072002</v>
      </c>
      <c r="N27" s="60">
        <f t="shared" si="5"/>
        <v>-16.41541642687119</v>
      </c>
      <c r="O27" s="39"/>
      <c r="P27" s="39"/>
    </row>
    <row r="28" spans="1:16" ht="12.75">
      <c r="A28" s="12" t="s">
        <v>88</v>
      </c>
      <c r="B28" s="13" t="s">
        <v>31</v>
      </c>
      <c r="C28" s="24">
        <f>C23*0.000001*F13*0.000001/(F10)*1000000000000</f>
        <v>860.8851609630608</v>
      </c>
      <c r="D28" s="6" t="s">
        <v>4</v>
      </c>
      <c r="E28" s="63"/>
      <c r="F28" s="63"/>
      <c r="G28" s="59">
        <f t="shared" si="6"/>
        <v>85</v>
      </c>
      <c r="H28" s="60">
        <f t="shared" si="0"/>
        <v>373.3406095232868</v>
      </c>
      <c r="I28" s="61">
        <f t="shared" si="1"/>
        <v>0.5316349014215547</v>
      </c>
      <c r="J28" s="61">
        <f t="shared" si="3"/>
        <v>1.4239943040227838</v>
      </c>
      <c r="K28" s="61">
        <f t="shared" si="4"/>
        <v>19.941750051860136</v>
      </c>
      <c r="L28" s="62">
        <f t="shared" si="7"/>
        <v>46.80389240567958</v>
      </c>
      <c r="M28" s="61">
        <f t="shared" si="2"/>
        <v>12.508533273880408</v>
      </c>
      <c r="N28" s="60">
        <f t="shared" si="5"/>
        <v>-3.9068831529907815</v>
      </c>
      <c r="O28" s="39"/>
      <c r="P28" s="39"/>
    </row>
    <row r="29" spans="1:16" ht="12.75">
      <c r="A29" s="12" t="s">
        <v>89</v>
      </c>
      <c r="B29" s="13" t="s">
        <v>32</v>
      </c>
      <c r="C29" s="43">
        <v>1220</v>
      </c>
      <c r="D29" s="6" t="s">
        <v>4</v>
      </c>
      <c r="E29" s="63"/>
      <c r="F29" s="63"/>
      <c r="G29" s="59">
        <f t="shared" si="6"/>
        <v>90</v>
      </c>
      <c r="H29" s="60">
        <f t="shared" si="0"/>
        <v>374.76671000000005</v>
      </c>
      <c r="I29" s="61">
        <f t="shared" si="1"/>
        <v>0.5336656603773585</v>
      </c>
      <c r="J29" s="61">
        <f t="shared" si="3"/>
        <v>1.4239943040227838</v>
      </c>
      <c r="K29" s="61">
        <f t="shared" si="4"/>
        <v>21.14926988820563</v>
      </c>
      <c r="L29" s="62">
        <f t="shared" si="7"/>
        <v>44.300194756249866</v>
      </c>
      <c r="M29" s="61">
        <f t="shared" si="2"/>
        <v>12.508533273880408</v>
      </c>
      <c r="N29" s="60">
        <f t="shared" si="5"/>
        <v>8.601650120889627</v>
      </c>
      <c r="O29" s="39"/>
      <c r="P29" s="39"/>
    </row>
    <row r="30" spans="1:16" ht="12.75">
      <c r="A30" s="12"/>
      <c r="B30" s="12"/>
      <c r="C30" s="45"/>
      <c r="D30" s="6"/>
      <c r="E30" s="63"/>
      <c r="F30" s="63"/>
      <c r="G30" s="59">
        <f t="shared" si="6"/>
        <v>95</v>
      </c>
      <c r="H30" s="60">
        <f t="shared" si="0"/>
        <v>373.3406095232868</v>
      </c>
      <c r="I30" s="61">
        <f t="shared" si="1"/>
        <v>0.5316349014215547</v>
      </c>
      <c r="J30" s="61">
        <f t="shared" si="3"/>
        <v>1.4239943040227838</v>
      </c>
      <c r="K30" s="61">
        <f t="shared" si="4"/>
        <v>19.941750051860136</v>
      </c>
      <c r="L30" s="62">
        <f t="shared" si="7"/>
        <v>46.80389240567958</v>
      </c>
      <c r="M30" s="61">
        <f t="shared" si="2"/>
        <v>12.241415287072005</v>
      </c>
      <c r="N30" s="60">
        <f t="shared" si="5"/>
        <v>20.84306540796163</v>
      </c>
      <c r="O30" s="39"/>
      <c r="P30" s="39"/>
    </row>
    <row r="31" spans="1:16" ht="12.75">
      <c r="A31" s="12" t="s">
        <v>69</v>
      </c>
      <c r="B31" s="54" t="s">
        <v>77</v>
      </c>
      <c r="C31" s="21">
        <v>100</v>
      </c>
      <c r="D31" s="25" t="s">
        <v>70</v>
      </c>
      <c r="E31" s="63"/>
      <c r="F31" s="63"/>
      <c r="G31" s="59">
        <f t="shared" si="6"/>
        <v>100</v>
      </c>
      <c r="H31" s="60">
        <f t="shared" si="0"/>
        <v>369.07316157887783</v>
      </c>
      <c r="I31" s="61">
        <f t="shared" si="1"/>
        <v>0.5255580798560026</v>
      </c>
      <c r="J31" s="61">
        <f t="shared" si="3"/>
        <v>1.4239943040227838</v>
      </c>
      <c r="K31" s="61">
        <f t="shared" si="4"/>
        <v>16.993592190046193</v>
      </c>
      <c r="L31" s="62">
        <f t="shared" si="7"/>
        <v>54.29593070308264</v>
      </c>
      <c r="M31" s="61">
        <f t="shared" si="2"/>
        <v>11.709212242625055</v>
      </c>
      <c r="N31" s="60">
        <f t="shared" si="5"/>
        <v>32.55227765058669</v>
      </c>
      <c r="O31" s="39"/>
      <c r="P31" s="39"/>
    </row>
    <row r="32" spans="1:16" ht="12.75">
      <c r="A32" s="12" t="s">
        <v>110</v>
      </c>
      <c r="B32" s="13" t="s">
        <v>78</v>
      </c>
      <c r="C32" s="22">
        <f>(C11/(C31*0.001))/1000</f>
        <v>4</v>
      </c>
      <c r="D32" s="6" t="s">
        <v>95</v>
      </c>
      <c r="E32" s="64"/>
      <c r="F32" s="63"/>
      <c r="G32" s="59">
        <f t="shared" si="6"/>
        <v>105</v>
      </c>
      <c r="H32" s="60">
        <f t="shared" si="0"/>
        <v>361.9968440223857</v>
      </c>
      <c r="I32" s="61">
        <f t="shared" si="1"/>
        <v>0.5154814439621014</v>
      </c>
      <c r="J32" s="61">
        <f t="shared" si="3"/>
        <v>1.4239943040227838</v>
      </c>
      <c r="K32" s="61">
        <f t="shared" si="4"/>
        <v>13.564174624490255</v>
      </c>
      <c r="L32" s="62">
        <f t="shared" si="7"/>
        <v>66.71929071319914</v>
      </c>
      <c r="M32" s="61">
        <f t="shared" si="2"/>
        <v>10.915974527060792</v>
      </c>
      <c r="N32" s="60">
        <f t="shared" si="5"/>
        <v>43.46825217764748</v>
      </c>
      <c r="O32" s="39"/>
      <c r="P32" s="39"/>
    </row>
    <row r="33" spans="1:16" ht="12.75">
      <c r="A33" s="12" t="s">
        <v>26</v>
      </c>
      <c r="B33" s="50" t="s">
        <v>79</v>
      </c>
      <c r="C33" s="28">
        <v>4</v>
      </c>
      <c r="D33" s="6" t="s">
        <v>95</v>
      </c>
      <c r="E33" s="64"/>
      <c r="F33" s="63"/>
      <c r="G33" s="59">
        <f t="shared" si="6"/>
        <v>110</v>
      </c>
      <c r="H33" s="60">
        <f t="shared" si="0"/>
        <v>352.1655119032126</v>
      </c>
      <c r="I33" s="61">
        <f t="shared" si="1"/>
        <v>0.5014816830234425</v>
      </c>
      <c r="J33" s="61">
        <f t="shared" si="3"/>
        <v>1.4239943040227838</v>
      </c>
      <c r="K33" s="61">
        <f t="shared" si="4"/>
        <v>10.483684533400966</v>
      </c>
      <c r="L33" s="62">
        <f t="shared" si="7"/>
        <v>83.97942316492237</v>
      </c>
      <c r="M33" s="61">
        <f t="shared" si="2"/>
        <v>9.867739158364683</v>
      </c>
      <c r="N33" s="60">
        <f t="shared" si="5"/>
        <v>53.335991336012164</v>
      </c>
      <c r="O33" s="39"/>
      <c r="P33" s="39"/>
    </row>
    <row r="34" spans="1:16" ht="12.75">
      <c r="A34" s="12" t="s">
        <v>109</v>
      </c>
      <c r="B34" s="50" t="s">
        <v>80</v>
      </c>
      <c r="C34" s="22">
        <f>((C33*1000)*F21)/((F21*((C11/F24)-1))-(C33)*1000)</f>
        <v>25.295573274676933</v>
      </c>
      <c r="D34" s="6" t="s">
        <v>34</v>
      </c>
      <c r="E34" s="65"/>
      <c r="F34" s="58"/>
      <c r="G34" s="59">
        <f t="shared" si="6"/>
        <v>115</v>
      </c>
      <c r="H34" s="60">
        <f t="shared" si="0"/>
        <v>339.653987595106</v>
      </c>
      <c r="I34" s="61">
        <f t="shared" si="1"/>
        <v>0.4836653436740563</v>
      </c>
      <c r="J34" s="61">
        <f t="shared" si="3"/>
        <v>1.4239943040227838</v>
      </c>
      <c r="K34" s="61">
        <f t="shared" si="4"/>
        <v>8.014868330137274</v>
      </c>
      <c r="L34" s="62">
        <f t="shared" si="7"/>
        <v>105.94496802834207</v>
      </c>
      <c r="M34" s="61">
        <f t="shared" si="2"/>
        <v>8.572483840634334</v>
      </c>
      <c r="N34" s="60">
        <f t="shared" si="5"/>
        <v>61.9084751766465</v>
      </c>
      <c r="O34" s="39"/>
      <c r="P34" s="39"/>
    </row>
    <row r="35" spans="1:16" ht="12.75">
      <c r="A35" s="12" t="s">
        <v>27</v>
      </c>
      <c r="B35" s="50" t="s">
        <v>81</v>
      </c>
      <c r="C35" s="28">
        <v>25.5</v>
      </c>
      <c r="D35" s="6" t="s">
        <v>34</v>
      </c>
      <c r="E35" s="65"/>
      <c r="F35" s="58"/>
      <c r="G35" s="59">
        <f t="shared" si="6"/>
        <v>120</v>
      </c>
      <c r="H35" s="60">
        <f t="shared" si="0"/>
        <v>324.55749135271566</v>
      </c>
      <c r="I35" s="61">
        <f t="shared" si="1"/>
        <v>0.462168019014191</v>
      </c>
      <c r="J35" s="61">
        <f t="shared" si="3"/>
        <v>1.4239943040227838</v>
      </c>
      <c r="K35" s="61">
        <f t="shared" si="4"/>
        <v>6.1260955832601045</v>
      </c>
      <c r="L35" s="62">
        <f t="shared" si="7"/>
        <v>132.4487542438886</v>
      </c>
      <c r="M35" s="61">
        <f t="shared" si="2"/>
        <v>7.040066248934207</v>
      </c>
      <c r="N35" s="60">
        <f t="shared" si="5"/>
        <v>68.9485414255807</v>
      </c>
      <c r="O35" s="39"/>
      <c r="P35" s="39"/>
    </row>
    <row r="36" spans="1:16" ht="12.75">
      <c r="A36" s="12" t="s">
        <v>108</v>
      </c>
      <c r="B36" s="50" t="s">
        <v>82</v>
      </c>
      <c r="C36" s="24">
        <f>F19*(((C33*1000)*((C35+F21)/(C35*F21)))+1)</f>
        <v>49.20701619778347</v>
      </c>
      <c r="D36" s="6" t="s">
        <v>3</v>
      </c>
      <c r="E36" s="63"/>
      <c r="F36" s="58"/>
      <c r="G36" s="59">
        <f t="shared" si="6"/>
        <v>125</v>
      </c>
      <c r="H36" s="60">
        <f t="shared" si="0"/>
        <v>306.99091662795985</v>
      </c>
      <c r="I36" s="61">
        <f t="shared" si="1"/>
        <v>0.43715331666494817</v>
      </c>
      <c r="J36" s="61">
        <f t="shared" si="3"/>
        <v>1.4239943040227838</v>
      </c>
      <c r="K36" s="61">
        <f t="shared" si="4"/>
        <v>4.700114234179871</v>
      </c>
      <c r="L36" s="62">
        <f t="shared" si="7"/>
        <v>163.28907199503794</v>
      </c>
      <c r="M36" s="61">
        <f t="shared" si="2"/>
        <v>5.282149006436179</v>
      </c>
      <c r="N36" s="60">
        <f t="shared" si="5"/>
        <v>74.23069043201689</v>
      </c>
      <c r="O36" s="39"/>
      <c r="P36" s="39"/>
    </row>
    <row r="37" spans="1:16" ht="12.75">
      <c r="A37" s="12" t="s">
        <v>115</v>
      </c>
      <c r="B37" s="50" t="s">
        <v>91</v>
      </c>
      <c r="C37" s="24">
        <f>F25*(((C33*1000)*((C35+F21)/(C35*F21)))+1)</f>
        <v>420.640622335891</v>
      </c>
      <c r="D37" s="6" t="s">
        <v>3</v>
      </c>
      <c r="E37" s="63"/>
      <c r="F37" s="58"/>
      <c r="G37" s="59">
        <f>G36+5</f>
        <v>130</v>
      </c>
      <c r="H37" s="60">
        <f t="shared" si="0"/>
        <v>287.08795566148154</v>
      </c>
      <c r="I37" s="61">
        <f t="shared" si="1"/>
        <v>0.4088116136154953</v>
      </c>
      <c r="J37" s="61">
        <f t="shared" si="3"/>
        <v>1.4239943040227838</v>
      </c>
      <c r="K37" s="61">
        <f t="shared" si="4"/>
        <v>3.620620067686034</v>
      </c>
      <c r="L37" s="62">
        <f t="shared" si="7"/>
        <v>198.2312078418115</v>
      </c>
      <c r="M37" s="61">
        <f t="shared" si="2"/>
        <v>3.312110924815124</v>
      </c>
      <c r="N37" s="60">
        <f>N36+M37</f>
        <v>77.54280135683202</v>
      </c>
      <c r="O37" s="39"/>
      <c r="P37" s="39"/>
    </row>
    <row r="38" spans="1:16" ht="12.75" customHeight="1">
      <c r="A38" s="12" t="s">
        <v>107</v>
      </c>
      <c r="B38" s="50" t="s">
        <v>83</v>
      </c>
      <c r="C38" s="56">
        <f>F15/C16</f>
        <v>0.13823937572197004</v>
      </c>
      <c r="D38" s="25" t="s">
        <v>2</v>
      </c>
      <c r="E38" s="58"/>
      <c r="F38" s="58"/>
      <c r="G38" s="59">
        <f t="shared" si="6"/>
        <v>135</v>
      </c>
      <c r="H38" s="60">
        <f t="shared" si="0"/>
        <v>265.00008200397235</v>
      </c>
      <c r="I38" s="61">
        <f t="shared" si="1"/>
        <v>0.37735860733922727</v>
      </c>
      <c r="J38" s="61">
        <f t="shared" si="3"/>
        <v>1.4239943040227838</v>
      </c>
      <c r="K38" s="61">
        <f t="shared" si="4"/>
        <v>2.7952506411917297</v>
      </c>
      <c r="L38" s="62">
        <f t="shared" si="7"/>
        <v>237.00923103177607</v>
      </c>
      <c r="M38" s="61">
        <f t="shared" si="2"/>
        <v>1.1449451834136892</v>
      </c>
      <c r="N38" s="60">
        <f t="shared" si="5"/>
        <v>78.6877465402457</v>
      </c>
      <c r="O38" s="39"/>
      <c r="P38" s="39"/>
    </row>
    <row r="39" spans="1:16" ht="12.75">
      <c r="A39" s="12" t="s">
        <v>105</v>
      </c>
      <c r="B39" s="50" t="s">
        <v>84</v>
      </c>
      <c r="C39" s="56">
        <f>C38*C19^2</f>
        <v>0.22452302926634735</v>
      </c>
      <c r="D39" s="6" t="s">
        <v>2</v>
      </c>
      <c r="E39" s="58"/>
      <c r="F39" s="58"/>
      <c r="G39" s="59">
        <f t="shared" si="6"/>
        <v>140</v>
      </c>
      <c r="H39" s="60">
        <f t="shared" si="0"/>
        <v>240.89539771098856</v>
      </c>
      <c r="I39" s="61">
        <f t="shared" si="1"/>
        <v>0.34303367420575087</v>
      </c>
      <c r="J39" s="61">
        <f t="shared" si="3"/>
        <v>1.4239943040227838</v>
      </c>
      <c r="K39" s="61">
        <f t="shared" si="4"/>
        <v>2.1560260939695173</v>
      </c>
      <c r="L39" s="62">
        <f t="shared" si="7"/>
        <v>279.3280173936457</v>
      </c>
      <c r="M39" s="61">
        <f t="shared" si="2"/>
        <v>-1.2028547779056216</v>
      </c>
      <c r="N39" s="60">
        <f t="shared" si="5"/>
        <v>77.48489176234007</v>
      </c>
      <c r="O39" s="39"/>
      <c r="P39" s="39"/>
    </row>
    <row r="40" spans="1:17" ht="12.75">
      <c r="A40" s="29"/>
      <c r="B40" s="29"/>
      <c r="C40" s="30"/>
      <c r="D40" s="31"/>
      <c r="E40" s="58"/>
      <c r="F40" s="58"/>
      <c r="G40" s="59">
        <f t="shared" si="6"/>
        <v>145</v>
      </c>
      <c r="H40" s="60">
        <f t="shared" si="0"/>
        <v>214.95735398480608</v>
      </c>
      <c r="I40" s="61">
        <f t="shared" si="1"/>
        <v>0.30609804768217314</v>
      </c>
      <c r="J40" s="61">
        <f t="shared" si="3"/>
        <v>1.4239943040227838</v>
      </c>
      <c r="K40" s="61">
        <f t="shared" si="4"/>
        <v>1.6542027163675515</v>
      </c>
      <c r="L40" s="62">
        <f t="shared" si="7"/>
        <v>324.8654954104249</v>
      </c>
      <c r="M40" s="61">
        <f t="shared" si="2"/>
        <v>-3.7134207837967628</v>
      </c>
      <c r="N40" s="60">
        <f t="shared" si="5"/>
        <v>73.7714709785433</v>
      </c>
      <c r="O40" s="39"/>
      <c r="P40" s="39"/>
      <c r="Q40" s="42" t="s">
        <v>36</v>
      </c>
    </row>
    <row r="41" spans="1:16" ht="12.75">
      <c r="A41" s="12" t="s">
        <v>123</v>
      </c>
      <c r="B41" s="50" t="s">
        <v>116</v>
      </c>
      <c r="C41" s="46">
        <v>660</v>
      </c>
      <c r="D41" s="6" t="s">
        <v>34</v>
      </c>
      <c r="E41" s="58"/>
      <c r="F41" s="58"/>
      <c r="G41" s="59">
        <f t="shared" si="6"/>
        <v>150</v>
      </c>
      <c r="H41" s="60">
        <f t="shared" si="0"/>
        <v>187.383355</v>
      </c>
      <c r="I41" s="61">
        <f t="shared" si="1"/>
        <v>0.2668328301886792</v>
      </c>
      <c r="J41" s="61">
        <f t="shared" si="3"/>
        <v>1.4239943040227838</v>
      </c>
      <c r="K41" s="61">
        <f t="shared" si="4"/>
        <v>1.254995017857982</v>
      </c>
      <c r="L41" s="62">
        <f t="shared" si="7"/>
        <v>373.275097378125</v>
      </c>
      <c r="M41" s="61">
        <f t="shared" si="2"/>
        <v>-6.367645911033723</v>
      </c>
      <c r="N41" s="60">
        <f t="shared" si="5"/>
        <v>67.40382506750959</v>
      </c>
      <c r="O41" s="39"/>
      <c r="P41" s="39"/>
    </row>
    <row r="42" spans="1:16" ht="12.75">
      <c r="A42" s="12" t="s">
        <v>124</v>
      </c>
      <c r="B42" s="50" t="s">
        <v>50</v>
      </c>
      <c r="C42" s="47">
        <v>47</v>
      </c>
      <c r="D42" s="6" t="s">
        <v>0</v>
      </c>
      <c r="E42" s="58"/>
      <c r="F42" s="58"/>
      <c r="G42" s="59">
        <f t="shared" si="6"/>
        <v>155</v>
      </c>
      <c r="H42" s="60">
        <f t="shared" si="0"/>
        <v>158.38325553848085</v>
      </c>
      <c r="I42" s="61">
        <f t="shared" si="1"/>
        <v>0.22553685373938176</v>
      </c>
      <c r="J42" s="61">
        <f t="shared" si="3"/>
        <v>1.4239943040227838</v>
      </c>
      <c r="K42" s="61">
        <f t="shared" si="4"/>
        <v>0.933448773353958</v>
      </c>
      <c r="L42" s="62">
        <f t="shared" si="7"/>
        <v>424.18839699525455</v>
      </c>
      <c r="M42" s="61">
        <f t="shared" si="2"/>
        <v>-9.14532990373327</v>
      </c>
      <c r="N42" s="60">
        <f t="shared" si="5"/>
        <v>58.25849516377632</v>
      </c>
      <c r="O42" s="39"/>
      <c r="P42" s="39"/>
    </row>
    <row r="43" spans="1:16" ht="15.75">
      <c r="A43" s="12" t="s">
        <v>28</v>
      </c>
      <c r="B43" s="51" t="s">
        <v>85</v>
      </c>
      <c r="C43" s="22">
        <f>C42*0.000001*F17/(C9*SQRT(2)/(C41*1000)-(F16*0.000001))</f>
        <v>3.5666052335640273</v>
      </c>
      <c r="D43" s="6" t="s">
        <v>13</v>
      </c>
      <c r="E43" s="58"/>
      <c r="F43" s="58"/>
      <c r="G43" s="59">
        <f t="shared" si="6"/>
        <v>160</v>
      </c>
      <c r="H43" s="60">
        <f t="shared" si="0"/>
        <v>128.1777638678894</v>
      </c>
      <c r="I43" s="61">
        <f t="shared" si="1"/>
        <v>0.18252440565025188</v>
      </c>
      <c r="J43" s="61">
        <f t="shared" si="3"/>
        <v>1.4239943040227838</v>
      </c>
      <c r="K43" s="61">
        <f t="shared" si="4"/>
        <v>0.6714844533967474</v>
      </c>
      <c r="L43" s="62">
        <f t="shared" si="7"/>
        <v>477.21791330943665</v>
      </c>
      <c r="M43" s="61">
        <f t="shared" si="2"/>
        <v>-12.025332909499511</v>
      </c>
      <c r="N43" s="60">
        <f t="shared" si="5"/>
        <v>46.233162254276806</v>
      </c>
      <c r="O43" s="39"/>
      <c r="P43" s="39"/>
    </row>
    <row r="44" spans="1:16" ht="12.75">
      <c r="A44" s="12"/>
      <c r="B44" s="12"/>
      <c r="C44" s="23"/>
      <c r="D44" s="6"/>
      <c r="E44" s="58"/>
      <c r="F44" s="58"/>
      <c r="G44" s="59">
        <f t="shared" si="6"/>
        <v>165</v>
      </c>
      <c r="H44" s="60">
        <f t="shared" si="0"/>
        <v>96.99676201841342</v>
      </c>
      <c r="I44" s="61">
        <f t="shared" si="1"/>
        <v>0.13812283662287422</v>
      </c>
      <c r="J44" s="61">
        <f t="shared" si="3"/>
        <v>1.4239943040227838</v>
      </c>
      <c r="K44" s="61">
        <f t="shared" si="4"/>
        <v>0.4558460745929979</v>
      </c>
      <c r="L44" s="62">
        <f t="shared" si="7"/>
        <v>531.960059681423</v>
      </c>
      <c r="M44" s="61">
        <f t="shared" si="2"/>
        <v>-14.98573636646521</v>
      </c>
      <c r="N44" s="60">
        <f t="shared" si="5"/>
        <v>31.247425887811595</v>
      </c>
      <c r="O44" s="39"/>
      <c r="P44" s="39"/>
    </row>
    <row r="45" spans="1:16" ht="12.75">
      <c r="A45" s="12" t="s">
        <v>29</v>
      </c>
      <c r="B45" s="13" t="s">
        <v>94</v>
      </c>
      <c r="C45" s="21">
        <v>68</v>
      </c>
      <c r="D45" s="25" t="s">
        <v>35</v>
      </c>
      <c r="E45" s="58"/>
      <c r="F45" s="58"/>
      <c r="G45" s="59">
        <f t="shared" si="6"/>
        <v>170</v>
      </c>
      <c r="H45" s="60">
        <f t="shared" si="0"/>
        <v>65.07755624173095</v>
      </c>
      <c r="I45" s="61">
        <f t="shared" si="1"/>
        <v>0.09267006940794723</v>
      </c>
      <c r="J45" s="61">
        <f t="shared" si="3"/>
        <v>1.4239943040227838</v>
      </c>
      <c r="K45" s="61">
        <f t="shared" si="4"/>
        <v>0.27669112994658557</v>
      </c>
      <c r="L45" s="62">
        <f t="shared" si="7"/>
        <v>587.9982153231111</v>
      </c>
      <c r="M45" s="61">
        <f t="shared" si="2"/>
        <v>-18.004009816782386</v>
      </c>
      <c r="N45" s="60">
        <f t="shared" si="5"/>
        <v>13.243416071029209</v>
      </c>
      <c r="O45" s="39"/>
      <c r="P45" s="39"/>
    </row>
    <row r="46" spans="1:16" ht="15.75">
      <c r="A46" s="12" t="s">
        <v>30</v>
      </c>
      <c r="B46" s="51" t="s">
        <v>51</v>
      </c>
      <c r="C46" s="21">
        <v>47</v>
      </c>
      <c r="D46" s="6" t="s">
        <v>1</v>
      </c>
      <c r="E46" s="58"/>
      <c r="F46" s="58"/>
      <c r="G46" s="59">
        <f t="shared" si="6"/>
        <v>175</v>
      </c>
      <c r="H46" s="60">
        <f t="shared" si="0"/>
        <v>32.66307096714639</v>
      </c>
      <c r="I46" s="61">
        <f t="shared" si="1"/>
        <v>0.04651202700910842</v>
      </c>
      <c r="J46" s="61">
        <f t="shared" si="3"/>
        <v>1.4239943040227838</v>
      </c>
      <c r="K46" s="61">
        <f t="shared" si="4"/>
        <v>0.12661952374777027</v>
      </c>
      <c r="L46" s="62">
        <f t="shared" si="7"/>
        <v>644.9058960333036</v>
      </c>
      <c r="M46" s="61">
        <f t="shared" si="2"/>
        <v>-21.057182377010758</v>
      </c>
      <c r="N46" s="60">
        <f t="shared" si="5"/>
        <v>-7.813766305981549</v>
      </c>
      <c r="O46" s="39"/>
      <c r="P46" s="39"/>
    </row>
    <row r="47" spans="1:16" ht="12.75">
      <c r="A47" s="12" t="s">
        <v>104</v>
      </c>
      <c r="B47" s="13" t="s">
        <v>86</v>
      </c>
      <c r="C47" s="22">
        <f>C7/((C45)*0.000001*2*PI()*C46*C11)</f>
        <v>12.449541856374791</v>
      </c>
      <c r="D47" s="6" t="s">
        <v>3</v>
      </c>
      <c r="E47" s="58"/>
      <c r="F47" s="58"/>
      <c r="G47" s="59">
        <f t="shared" si="6"/>
        <v>180</v>
      </c>
      <c r="H47" s="60">
        <f t="shared" si="0"/>
        <v>4.5914485570768693E-14</v>
      </c>
      <c r="I47" s="61">
        <f t="shared" si="1"/>
        <v>6.538196592491092E-17</v>
      </c>
      <c r="J47" s="61">
        <f t="shared" si="3"/>
        <v>1.4239943040227838</v>
      </c>
      <c r="K47" s="61">
        <v>0</v>
      </c>
      <c r="L47" s="62">
        <f t="shared" si="7"/>
        <v>702.25</v>
      </c>
      <c r="M47" s="61">
        <f t="shared" si="2"/>
        <v>-24.122017560411027</v>
      </c>
      <c r="N47" s="60">
        <f t="shared" si="5"/>
        <v>-31.935783866392576</v>
      </c>
      <c r="O47" s="39"/>
      <c r="P47" s="39"/>
    </row>
    <row r="48" spans="1:16" ht="12.75">
      <c r="A48" s="12" t="s">
        <v>90</v>
      </c>
      <c r="B48" s="50" t="s">
        <v>52</v>
      </c>
      <c r="C48" s="22">
        <f>SQRT(32*SQRT(2)*(C7/(C8/100))^2/(9*3.14159*C9*C11)-(C7/C11)^2)</f>
        <v>0.7026264080716003</v>
      </c>
      <c r="D48" s="6" t="s">
        <v>5</v>
      </c>
      <c r="E48" s="58"/>
      <c r="F48" s="58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.75">
      <c r="A49" s="18"/>
      <c r="B49" s="18"/>
      <c r="C49" s="19"/>
      <c r="D49" s="32"/>
      <c r="E49" s="66"/>
      <c r="F49" s="66"/>
      <c r="G49" s="39"/>
      <c r="H49" s="39"/>
      <c r="I49" s="39"/>
      <c r="J49" s="39"/>
      <c r="K49" s="39"/>
      <c r="L49" s="39"/>
      <c r="M49" s="39"/>
      <c r="N49" s="39"/>
      <c r="O49" s="1"/>
      <c r="P49" s="1"/>
    </row>
    <row r="50" spans="1:16" ht="12.75">
      <c r="A50" s="18" t="s">
        <v>63</v>
      </c>
      <c r="B50" s="33" t="s">
        <v>64</v>
      </c>
      <c r="C50" s="34">
        <v>5</v>
      </c>
      <c r="D50" s="32" t="s">
        <v>1</v>
      </c>
      <c r="E50" s="66"/>
      <c r="F50" s="66"/>
      <c r="G50" s="39"/>
      <c r="H50" s="39"/>
      <c r="I50" s="39"/>
      <c r="J50" s="39"/>
      <c r="K50" s="39"/>
      <c r="L50" s="39"/>
      <c r="M50" s="39"/>
      <c r="N50" s="39"/>
      <c r="O50" s="1"/>
      <c r="P50" s="1"/>
    </row>
    <row r="51" spans="1:16" ht="12.75">
      <c r="A51" s="18" t="s">
        <v>66</v>
      </c>
      <c r="B51" s="53" t="s">
        <v>71</v>
      </c>
      <c r="C51" s="22">
        <f>F22/(2*PI()*C50)</f>
        <v>3.183098861837907</v>
      </c>
      <c r="D51" s="25" t="s">
        <v>35</v>
      </c>
      <c r="E51" s="66"/>
      <c r="F51" s="66"/>
      <c r="G51" s="39"/>
      <c r="H51" s="39"/>
      <c r="I51" s="39"/>
      <c r="J51" s="39"/>
      <c r="K51" s="39"/>
      <c r="L51" s="39"/>
      <c r="M51" s="39"/>
      <c r="N51" s="39"/>
      <c r="O51" s="1"/>
      <c r="P51" s="1"/>
    </row>
    <row r="52" spans="1:16" ht="12.75">
      <c r="A52" s="18" t="s">
        <v>73</v>
      </c>
      <c r="B52" s="53" t="s">
        <v>72</v>
      </c>
      <c r="C52" s="55">
        <v>3.3</v>
      </c>
      <c r="D52" s="25" t="s">
        <v>35</v>
      </c>
      <c r="E52" s="66"/>
      <c r="F52" s="66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8" ht="12.75">
      <c r="A53" s="17"/>
      <c r="C53" s="57">
        <f>C52</f>
        <v>3.3</v>
      </c>
      <c r="G53" s="1"/>
      <c r="H53" s="1"/>
    </row>
    <row r="54" spans="1:8" ht="12.75">
      <c r="A54" s="72" t="s">
        <v>117</v>
      </c>
      <c r="B54" s="53" t="s">
        <v>53</v>
      </c>
      <c r="C54" s="26">
        <f>(C11-SQRT(2)*C10)/F23</f>
        <v>16.279616755567613</v>
      </c>
      <c r="D54" s="32"/>
      <c r="G54" s="1"/>
      <c r="H54" s="1"/>
    </row>
    <row r="55" spans="1:8" ht="12.75">
      <c r="A55" s="18" t="s">
        <v>97</v>
      </c>
      <c r="B55" s="53" t="s">
        <v>54</v>
      </c>
      <c r="C55" s="34">
        <v>10</v>
      </c>
      <c r="D55" s="32"/>
      <c r="G55" s="1"/>
      <c r="H55" s="1"/>
    </row>
    <row r="56" spans="1:8" ht="12.75">
      <c r="A56" s="18" t="s">
        <v>93</v>
      </c>
      <c r="B56" s="53" t="s">
        <v>55</v>
      </c>
      <c r="C56" s="22">
        <f>C10*SQRT(2)/(F18*0.001*C55)/1000</f>
        <v>3.7476659402887016</v>
      </c>
      <c r="D56" s="6" t="s">
        <v>34</v>
      </c>
      <c r="G56" s="1"/>
      <c r="H56" s="1"/>
    </row>
    <row r="57" spans="2:8" ht="12.75">
      <c r="B57" s="10"/>
      <c r="C57" s="8"/>
      <c r="D57" s="5"/>
      <c r="G57" s="1"/>
      <c r="H57" s="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">
    <mergeCell ref="A2:Q2"/>
    <mergeCell ref="O9:P9"/>
    <mergeCell ref="F9:M9"/>
    <mergeCell ref="A3:Q3"/>
  </mergeCells>
  <printOptions/>
  <pageMargins left="0.84" right="0.76" top="0.48" bottom="0.5" header="0.4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ON Semiconductor</cp:lastModifiedBy>
  <cp:lastPrinted>2009-04-09T06:27:38Z</cp:lastPrinted>
  <dcterms:created xsi:type="dcterms:W3CDTF">2000-11-08T19:47:00Z</dcterms:created>
  <dcterms:modified xsi:type="dcterms:W3CDTF">2009-07-10T17:14:17Z</dcterms:modified>
  <cp:category/>
  <cp:version/>
  <cp:contentType/>
  <cp:contentStatus/>
</cp:coreProperties>
</file>