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ront" sheetId="1" r:id="rId1"/>
  </sheets>
  <calcPr calcId="152511"/>
</workbook>
</file>

<file path=xl/calcChain.xml><?xml version="1.0" encoding="utf-8"?>
<calcChain xmlns="http://schemas.openxmlformats.org/spreadsheetml/2006/main">
  <c r="D97" i="1" l="1"/>
  <c r="D72" i="1" l="1"/>
  <c r="D71" i="1"/>
  <c r="F71" i="1" s="1"/>
  <c r="D49" i="1"/>
  <c r="D48" i="1"/>
  <c r="D63" i="1"/>
  <c r="D54" i="1" l="1"/>
  <c r="D55" i="1" s="1"/>
  <c r="D57" i="1"/>
  <c r="D47" i="1"/>
  <c r="D64" i="1" s="1"/>
  <c r="D76" i="1" s="1"/>
  <c r="D40" i="1"/>
  <c r="D28" i="1"/>
  <c r="D31" i="1"/>
  <c r="D51" i="1" s="1"/>
  <c r="D52" i="1" s="1"/>
  <c r="D65" i="1" l="1"/>
  <c r="D66" i="1"/>
  <c r="D58" i="1"/>
  <c r="D75" i="1" l="1"/>
  <c r="D74" i="1"/>
  <c r="C167" i="1"/>
  <c r="D168" i="1" l="1"/>
  <c r="D94" i="1"/>
  <c r="D105" i="1" s="1"/>
  <c r="D32" i="1"/>
  <c r="D33" i="1" s="1"/>
  <c r="B110" i="1"/>
  <c r="C110" i="1" s="1"/>
  <c r="D110" i="1" s="1"/>
  <c r="E110" i="1" s="1"/>
  <c r="B111" i="1"/>
  <c r="C111" i="1" s="1"/>
  <c r="D111" i="1" s="1"/>
  <c r="E111" i="1" s="1"/>
  <c r="B112" i="1"/>
  <c r="C112" i="1" s="1"/>
  <c r="D112" i="1" s="1"/>
  <c r="E112" i="1" s="1"/>
  <c r="B113" i="1"/>
  <c r="C113" i="1" s="1"/>
  <c r="D113" i="1" s="1"/>
  <c r="B114" i="1"/>
  <c r="C114" i="1" s="1"/>
  <c r="D114" i="1" s="1"/>
  <c r="E114" i="1" s="1"/>
  <c r="B115" i="1"/>
  <c r="C115" i="1" s="1"/>
  <c r="D115" i="1" s="1"/>
  <c r="E115" i="1" s="1"/>
  <c r="B116" i="1"/>
  <c r="C116" i="1" s="1"/>
  <c r="D116" i="1" s="1"/>
  <c r="E116" i="1" s="1"/>
  <c r="B117" i="1"/>
  <c r="C117" i="1" s="1"/>
  <c r="D117" i="1" s="1"/>
  <c r="B118" i="1"/>
  <c r="C118" i="1" s="1"/>
  <c r="D118" i="1" s="1"/>
  <c r="E118" i="1" s="1"/>
  <c r="B119" i="1"/>
  <c r="C119" i="1" s="1"/>
  <c r="D119" i="1" s="1"/>
  <c r="E119" i="1" s="1"/>
  <c r="B120" i="1"/>
  <c r="C120" i="1" s="1"/>
  <c r="D120" i="1" s="1"/>
  <c r="E120" i="1" s="1"/>
  <c r="B121" i="1"/>
  <c r="C121" i="1" s="1"/>
  <c r="D121" i="1" s="1"/>
  <c r="B122" i="1"/>
  <c r="C122" i="1" s="1"/>
  <c r="D122" i="1" s="1"/>
  <c r="E122" i="1" s="1"/>
  <c r="B123" i="1"/>
  <c r="C123" i="1" s="1"/>
  <c r="D123" i="1" s="1"/>
  <c r="E123" i="1" s="1"/>
  <c r="B124" i="1"/>
  <c r="C124" i="1" s="1"/>
  <c r="D124" i="1" s="1"/>
  <c r="E124" i="1" s="1"/>
  <c r="B125" i="1"/>
  <c r="C125" i="1" s="1"/>
  <c r="D125" i="1" s="1"/>
  <c r="B126" i="1"/>
  <c r="C126" i="1" s="1"/>
  <c r="D126" i="1" s="1"/>
  <c r="E126" i="1" s="1"/>
  <c r="B127" i="1"/>
  <c r="C127" i="1" s="1"/>
  <c r="D127" i="1" s="1"/>
  <c r="E127" i="1" s="1"/>
  <c r="B128" i="1"/>
  <c r="C128" i="1" s="1"/>
  <c r="D128" i="1" s="1"/>
  <c r="E128" i="1" s="1"/>
  <c r="B129" i="1"/>
  <c r="C129" i="1" s="1"/>
  <c r="D129" i="1" s="1"/>
  <c r="B130" i="1"/>
  <c r="C130" i="1" s="1"/>
  <c r="D130" i="1" s="1"/>
  <c r="E130" i="1" s="1"/>
  <c r="B131" i="1"/>
  <c r="C131" i="1" s="1"/>
  <c r="D131" i="1" s="1"/>
  <c r="E131" i="1" s="1"/>
  <c r="B132" i="1"/>
  <c r="C132" i="1" s="1"/>
  <c r="D132" i="1" s="1"/>
  <c r="E132" i="1" s="1"/>
  <c r="B133" i="1"/>
  <c r="C133" i="1" s="1"/>
  <c r="D133" i="1" s="1"/>
  <c r="E133" i="1" s="1"/>
  <c r="B134" i="1"/>
  <c r="C134" i="1" s="1"/>
  <c r="D134" i="1" s="1"/>
  <c r="E134" i="1" s="1"/>
  <c r="B135" i="1"/>
  <c r="C135" i="1" s="1"/>
  <c r="D135" i="1" s="1"/>
  <c r="E135" i="1" s="1"/>
  <c r="B136" i="1"/>
  <c r="C136" i="1" s="1"/>
  <c r="D136" i="1" s="1"/>
  <c r="E136" i="1" s="1"/>
  <c r="B137" i="1"/>
  <c r="C137" i="1" s="1"/>
  <c r="D137" i="1" s="1"/>
  <c r="E137" i="1" s="1"/>
  <c r="B138" i="1"/>
  <c r="C138" i="1" s="1"/>
  <c r="D138" i="1" s="1"/>
  <c r="E138" i="1" s="1"/>
  <c r="B139" i="1"/>
  <c r="C139" i="1" s="1"/>
  <c r="D139" i="1" s="1"/>
  <c r="E139" i="1" s="1"/>
  <c r="B140" i="1"/>
  <c r="C140" i="1" s="1"/>
  <c r="D140" i="1" s="1"/>
  <c r="E140" i="1" s="1"/>
  <c r="B141" i="1"/>
  <c r="C141" i="1" s="1"/>
  <c r="D141" i="1" s="1"/>
  <c r="E141" i="1" s="1"/>
  <c r="B142" i="1"/>
  <c r="C142" i="1" s="1"/>
  <c r="D142" i="1" s="1"/>
  <c r="E142" i="1" s="1"/>
  <c r="B143" i="1"/>
  <c r="C143" i="1" s="1"/>
  <c r="D143" i="1" s="1"/>
  <c r="E143" i="1" s="1"/>
  <c r="B144" i="1"/>
  <c r="C144" i="1" s="1"/>
  <c r="D144" i="1" s="1"/>
  <c r="E144" i="1" s="1"/>
  <c r="B145" i="1"/>
  <c r="C145" i="1" s="1"/>
  <c r="D145" i="1" s="1"/>
  <c r="E145" i="1" s="1"/>
  <c r="B146" i="1"/>
  <c r="C146" i="1" s="1"/>
  <c r="D146" i="1" s="1"/>
  <c r="E146" i="1" s="1"/>
  <c r="B147" i="1"/>
  <c r="C147" i="1" s="1"/>
  <c r="D147" i="1" s="1"/>
  <c r="E147" i="1" s="1"/>
  <c r="B148" i="1"/>
  <c r="C148" i="1" s="1"/>
  <c r="D148" i="1" s="1"/>
  <c r="E148" i="1" s="1"/>
  <c r="B149" i="1"/>
  <c r="C149" i="1" s="1"/>
  <c r="D149" i="1" s="1"/>
  <c r="E149" i="1" s="1"/>
  <c r="B109" i="1"/>
  <c r="C109" i="1" s="1"/>
  <c r="D109" i="1" s="1"/>
  <c r="E109" i="1" s="1"/>
  <c r="F109" i="1" s="1"/>
  <c r="H125" i="1" l="1"/>
  <c r="J125" i="1" s="1"/>
  <c r="E125" i="1"/>
  <c r="H117" i="1"/>
  <c r="J117" i="1" s="1"/>
  <c r="E117" i="1"/>
  <c r="H129" i="1"/>
  <c r="J129" i="1" s="1"/>
  <c r="E129" i="1"/>
  <c r="H121" i="1"/>
  <c r="J121" i="1" s="1"/>
  <c r="E121" i="1"/>
  <c r="H113" i="1"/>
  <c r="J113" i="1" s="1"/>
  <c r="E113" i="1"/>
  <c r="D35" i="1"/>
  <c r="D42" i="1"/>
  <c r="H109" i="1"/>
  <c r="I109" i="1" s="1"/>
  <c r="H142" i="1"/>
  <c r="I142" i="1" s="1"/>
  <c r="H134" i="1"/>
  <c r="I134" i="1" s="1"/>
  <c r="H126" i="1"/>
  <c r="I126" i="1" s="1"/>
  <c r="H147" i="1"/>
  <c r="I147" i="1" s="1"/>
  <c r="H143" i="1"/>
  <c r="I143" i="1" s="1"/>
  <c r="H139" i="1"/>
  <c r="I139" i="1" s="1"/>
  <c r="H135" i="1"/>
  <c r="I135" i="1" s="1"/>
  <c r="H131" i="1"/>
  <c r="I131" i="1" s="1"/>
  <c r="H127" i="1"/>
  <c r="I127" i="1" s="1"/>
  <c r="H123" i="1"/>
  <c r="I123" i="1" s="1"/>
  <c r="H119" i="1"/>
  <c r="I119" i="1" s="1"/>
  <c r="H115" i="1"/>
  <c r="I115" i="1" s="1"/>
  <c r="G111" i="1"/>
  <c r="H111" i="1"/>
  <c r="I111" i="1" s="1"/>
  <c r="H146" i="1"/>
  <c r="I146" i="1" s="1"/>
  <c r="H138" i="1"/>
  <c r="I138" i="1" s="1"/>
  <c r="H130" i="1"/>
  <c r="I130" i="1" s="1"/>
  <c r="H122" i="1"/>
  <c r="I122" i="1" s="1"/>
  <c r="H118" i="1"/>
  <c r="I118" i="1" s="1"/>
  <c r="H114" i="1"/>
  <c r="I114" i="1" s="1"/>
  <c r="F110" i="1"/>
  <c r="H110" i="1"/>
  <c r="I110" i="1" s="1"/>
  <c r="H149" i="1"/>
  <c r="J149" i="1" s="1"/>
  <c r="H145" i="1"/>
  <c r="J145" i="1" s="1"/>
  <c r="H141" i="1"/>
  <c r="J141" i="1" s="1"/>
  <c r="H137" i="1"/>
  <c r="J137" i="1" s="1"/>
  <c r="H133" i="1"/>
  <c r="J133" i="1" s="1"/>
  <c r="H148" i="1"/>
  <c r="I148" i="1" s="1"/>
  <c r="H144" i="1"/>
  <c r="I144" i="1" s="1"/>
  <c r="H140" i="1"/>
  <c r="I140" i="1" s="1"/>
  <c r="H136" i="1"/>
  <c r="I136" i="1" s="1"/>
  <c r="H132" i="1"/>
  <c r="I132" i="1" s="1"/>
  <c r="H128" i="1"/>
  <c r="I128" i="1" s="1"/>
  <c r="H124" i="1"/>
  <c r="I124" i="1" s="1"/>
  <c r="H120" i="1"/>
  <c r="I120" i="1" s="1"/>
  <c r="H116" i="1"/>
  <c r="I116" i="1" s="1"/>
  <c r="H112" i="1"/>
  <c r="I112" i="1" s="1"/>
  <c r="I121" i="1"/>
  <c r="G109" i="1"/>
  <c r="I117" i="1" l="1"/>
  <c r="I125" i="1"/>
  <c r="J147" i="1"/>
  <c r="I113" i="1"/>
  <c r="I129" i="1"/>
  <c r="J124" i="1"/>
  <c r="J130" i="1"/>
  <c r="J123" i="1"/>
  <c r="J134" i="1"/>
  <c r="J135" i="1"/>
  <c r="J119" i="1"/>
  <c r="J118" i="1"/>
  <c r="I137" i="1"/>
  <c r="I145" i="1"/>
  <c r="J128" i="1"/>
  <c r="J139" i="1"/>
  <c r="J148" i="1"/>
  <c r="J144" i="1"/>
  <c r="J131" i="1"/>
  <c r="J110" i="1"/>
  <c r="J109" i="1"/>
  <c r="I149" i="1"/>
  <c r="J116" i="1"/>
  <c r="J140" i="1"/>
  <c r="J126" i="1"/>
  <c r="J146" i="1"/>
  <c r="J112" i="1"/>
  <c r="J132" i="1"/>
  <c r="J115" i="1"/>
  <c r="J142" i="1"/>
  <c r="I133" i="1"/>
  <c r="G112" i="1"/>
  <c r="K112" i="1"/>
  <c r="F141" i="1"/>
  <c r="G141" i="1"/>
  <c r="K141" i="1"/>
  <c r="K149" i="1"/>
  <c r="F149" i="1"/>
  <c r="G149" i="1"/>
  <c r="K122" i="1"/>
  <c r="G122" i="1"/>
  <c r="F122" i="1"/>
  <c r="K138" i="1"/>
  <c r="G138" i="1"/>
  <c r="F138" i="1"/>
  <c r="K126" i="1"/>
  <c r="G126" i="1"/>
  <c r="F126" i="1"/>
  <c r="J114" i="1"/>
  <c r="K117" i="1"/>
  <c r="F117" i="1"/>
  <c r="G117" i="1"/>
  <c r="F120" i="1"/>
  <c r="G120" i="1"/>
  <c r="K120" i="1"/>
  <c r="F136" i="1"/>
  <c r="G136" i="1"/>
  <c r="K136" i="1"/>
  <c r="F144" i="1"/>
  <c r="K144" i="1"/>
  <c r="G144" i="1"/>
  <c r="K114" i="1"/>
  <c r="G114" i="1"/>
  <c r="F114" i="1"/>
  <c r="K119" i="1"/>
  <c r="G119" i="1"/>
  <c r="F119" i="1"/>
  <c r="K135" i="1"/>
  <c r="G135" i="1"/>
  <c r="F135" i="1"/>
  <c r="J120" i="1"/>
  <c r="J111" i="1"/>
  <c r="J127" i="1"/>
  <c r="J143" i="1"/>
  <c r="I141" i="1"/>
  <c r="F112" i="1"/>
  <c r="K137" i="1"/>
  <c r="F137" i="1"/>
  <c r="G137" i="1"/>
  <c r="K145" i="1"/>
  <c r="G145" i="1"/>
  <c r="F145" i="1"/>
  <c r="K118" i="1"/>
  <c r="G118" i="1"/>
  <c r="F118" i="1"/>
  <c r="K134" i="1"/>
  <c r="G134" i="1"/>
  <c r="F134" i="1"/>
  <c r="K121" i="1"/>
  <c r="F121" i="1"/>
  <c r="G121" i="1"/>
  <c r="K133" i="1"/>
  <c r="F133" i="1"/>
  <c r="G133" i="1"/>
  <c r="K142" i="1"/>
  <c r="G142" i="1"/>
  <c r="F142" i="1"/>
  <c r="F128" i="1"/>
  <c r="K128" i="1"/>
  <c r="G128" i="1"/>
  <c r="F111" i="1"/>
  <c r="K111" i="1"/>
  <c r="K127" i="1"/>
  <c r="F127" i="1"/>
  <c r="G127" i="1"/>
  <c r="K143" i="1"/>
  <c r="F143" i="1"/>
  <c r="G143" i="1"/>
  <c r="J136" i="1"/>
  <c r="F113" i="1"/>
  <c r="K113" i="1"/>
  <c r="G113" i="1"/>
  <c r="J122" i="1"/>
  <c r="J138" i="1"/>
  <c r="F125" i="1"/>
  <c r="G125" i="1"/>
  <c r="K125" i="1"/>
  <c r="K129" i="1"/>
  <c r="G129" i="1"/>
  <c r="F129" i="1"/>
  <c r="K116" i="1"/>
  <c r="F116" i="1"/>
  <c r="G116" i="1"/>
  <c r="G124" i="1"/>
  <c r="K124" i="1"/>
  <c r="F124" i="1"/>
  <c r="K132" i="1"/>
  <c r="F132" i="1"/>
  <c r="G132" i="1"/>
  <c r="G140" i="1"/>
  <c r="K140" i="1"/>
  <c r="F140" i="1"/>
  <c r="K148" i="1"/>
  <c r="F148" i="1"/>
  <c r="G148" i="1"/>
  <c r="G110" i="1"/>
  <c r="K110" i="1"/>
  <c r="K130" i="1"/>
  <c r="G130" i="1"/>
  <c r="F130" i="1"/>
  <c r="K146" i="1"/>
  <c r="G146" i="1"/>
  <c r="F146" i="1"/>
  <c r="K115" i="1"/>
  <c r="F115" i="1"/>
  <c r="G115" i="1"/>
  <c r="K123" i="1"/>
  <c r="F123" i="1"/>
  <c r="G123" i="1"/>
  <c r="K131" i="1"/>
  <c r="F131" i="1"/>
  <c r="G131" i="1"/>
  <c r="K139" i="1"/>
  <c r="F139" i="1"/>
  <c r="G139" i="1"/>
  <c r="D77" i="1" s="1"/>
  <c r="K147" i="1"/>
  <c r="F147" i="1"/>
  <c r="G147" i="1"/>
  <c r="K109" i="1"/>
  <c r="D99" i="1" l="1"/>
  <c r="D101" i="1"/>
  <c r="D103" i="1" s="1"/>
  <c r="D95" i="1"/>
  <c r="L131" i="1"/>
  <c r="M131" i="1"/>
  <c r="M129" i="1"/>
  <c r="L129" i="1"/>
  <c r="M111" i="1"/>
  <c r="L111" i="1"/>
  <c r="M134" i="1"/>
  <c r="L134" i="1"/>
  <c r="M114" i="1"/>
  <c r="L114" i="1"/>
  <c r="M126" i="1"/>
  <c r="L126" i="1"/>
  <c r="L139" i="1"/>
  <c r="M139" i="1"/>
  <c r="M110" i="1"/>
  <c r="L110" i="1"/>
  <c r="M124" i="1"/>
  <c r="L124" i="1"/>
  <c r="M125" i="1"/>
  <c r="L125" i="1"/>
  <c r="L119" i="1"/>
  <c r="M119" i="1"/>
  <c r="M149" i="1"/>
  <c r="L149" i="1"/>
  <c r="L123" i="1"/>
  <c r="M123" i="1"/>
  <c r="M140" i="1"/>
  <c r="L140" i="1"/>
  <c r="M132" i="1"/>
  <c r="L132" i="1"/>
  <c r="M113" i="1"/>
  <c r="L113" i="1"/>
  <c r="L127" i="1"/>
  <c r="M127" i="1"/>
  <c r="M128" i="1"/>
  <c r="L128" i="1"/>
  <c r="M142" i="1"/>
  <c r="L142" i="1"/>
  <c r="M118" i="1"/>
  <c r="L118" i="1"/>
  <c r="M120" i="1"/>
  <c r="L120" i="1"/>
  <c r="L138" i="1"/>
  <c r="M138" i="1"/>
  <c r="L130" i="1"/>
  <c r="M130" i="1"/>
  <c r="L143" i="1"/>
  <c r="M143" i="1"/>
  <c r="M136" i="1"/>
  <c r="L136" i="1"/>
  <c r="M117" i="1"/>
  <c r="L117" i="1"/>
  <c r="L146" i="1"/>
  <c r="M146" i="1"/>
  <c r="M148" i="1"/>
  <c r="L148" i="1"/>
  <c r="M116" i="1"/>
  <c r="L116" i="1"/>
  <c r="M121" i="1"/>
  <c r="L121" i="1"/>
  <c r="M137" i="1"/>
  <c r="L137" i="1"/>
  <c r="M112" i="1"/>
  <c r="L112" i="1"/>
  <c r="L109" i="1"/>
  <c r="M109" i="1"/>
  <c r="L147" i="1"/>
  <c r="M147" i="1"/>
  <c r="L115" i="1"/>
  <c r="M115" i="1"/>
  <c r="M133" i="1"/>
  <c r="L133" i="1"/>
  <c r="M145" i="1"/>
  <c r="L145" i="1"/>
  <c r="L135" i="1"/>
  <c r="M135" i="1"/>
  <c r="M144" i="1"/>
  <c r="L144" i="1"/>
  <c r="L122" i="1"/>
  <c r="M122" i="1"/>
  <c r="M141" i="1"/>
  <c r="L141" i="1"/>
</calcChain>
</file>

<file path=xl/sharedStrings.xml><?xml version="1.0" encoding="utf-8"?>
<sst xmlns="http://schemas.openxmlformats.org/spreadsheetml/2006/main" count="151" uniqueCount="95">
  <si>
    <t>user input value</t>
  </si>
  <si>
    <t>calculated value</t>
  </si>
  <si>
    <t xml:space="preserve">Input Voltage </t>
  </si>
  <si>
    <t>Ouput Voltage</t>
  </si>
  <si>
    <t>Inductor Value</t>
  </si>
  <si>
    <t>Inductor DCR</t>
  </si>
  <si>
    <t>Output Capacitor</t>
  </si>
  <si>
    <t>Output Capacitor ESR</t>
  </si>
  <si>
    <t>Output Capacitor ESL</t>
  </si>
  <si>
    <t>No of Output Capacitors</t>
  </si>
  <si>
    <t>V</t>
  </si>
  <si>
    <t>A</t>
  </si>
  <si>
    <t>H</t>
  </si>
  <si>
    <t>Ω</t>
  </si>
  <si>
    <t>F</t>
  </si>
  <si>
    <t>Power Stage Calculation: Current and Voltage Ripple</t>
  </si>
  <si>
    <t>Inductor Current pk-pk Ripple</t>
  </si>
  <si>
    <t>Output Voltage pk-pk Ripple</t>
  </si>
  <si>
    <t>Compensation and Bode Plot</t>
  </si>
  <si>
    <t>R1</t>
  </si>
  <si>
    <t>R2</t>
  </si>
  <si>
    <t>R3</t>
  </si>
  <si>
    <t>R4</t>
  </si>
  <si>
    <t>C1</t>
  </si>
  <si>
    <t>C2</t>
  </si>
  <si>
    <t>C3</t>
  </si>
  <si>
    <t>calculated output voltage</t>
  </si>
  <si>
    <t>Freq</t>
  </si>
  <si>
    <t>ω</t>
  </si>
  <si>
    <t>s=iω</t>
  </si>
  <si>
    <t>Gvd</t>
  </si>
  <si>
    <r>
      <t>Gvd LM(</t>
    </r>
    <r>
      <rPr>
        <sz val="11"/>
        <color theme="1"/>
        <rFont val="Calibri"/>
        <family val="2"/>
      </rPr>
      <t>ω)</t>
    </r>
  </si>
  <si>
    <t>Gvd Ф(ω)</t>
  </si>
  <si>
    <t>Gvc</t>
  </si>
  <si>
    <t>Gvc LM(ω)</t>
  </si>
  <si>
    <t>Go LM(ω)</t>
  </si>
  <si>
    <t>Go Ф(ω)</t>
  </si>
  <si>
    <t>Gvc Ф(ω)</t>
  </si>
  <si>
    <t>suggested value</t>
  </si>
  <si>
    <t>100uF</t>
  </si>
  <si>
    <t>Go</t>
  </si>
  <si>
    <t>20.5kΩ</t>
  </si>
  <si>
    <t>Gvc-- compensation network; Gvd-- control plant; Go-- system loop</t>
  </si>
  <si>
    <t>percentage of pk-pk current</t>
  </si>
  <si>
    <t>%</t>
  </si>
  <si>
    <t>Typically the inductor ripple current to inductor current ratio is 20%~40%</t>
  </si>
  <si>
    <t>R1 and R2 are voltage divider to decide output voltage</t>
  </si>
  <si>
    <t>Over Cerrent Protection Calculation</t>
  </si>
  <si>
    <t>OCP current</t>
  </si>
  <si>
    <t>Rocp Value</t>
  </si>
  <si>
    <t>Input Voltage Ripple</t>
  </si>
  <si>
    <t>±</t>
  </si>
  <si>
    <t>Output Voltage Ripple</t>
  </si>
  <si>
    <t>Total Output Capacitor</t>
  </si>
  <si>
    <t>Application Paramters: Input and Output Rating</t>
  </si>
  <si>
    <t>A/us</t>
  </si>
  <si>
    <t>Load Transient Amplitude</t>
  </si>
  <si>
    <t>Load Transient Speed</t>
  </si>
  <si>
    <t>Full Load Current</t>
  </si>
  <si>
    <t xml:space="preserve">% of  Full Load      </t>
  </si>
  <si>
    <t>kHz</t>
  </si>
  <si>
    <t>Total Input Capacitor</t>
  </si>
  <si>
    <t>Input Capacitor</t>
  </si>
  <si>
    <t>Input Capacitor ESR</t>
  </si>
  <si>
    <t>Input Capacitor ESL</t>
  </si>
  <si>
    <t>No of Input Capacitors</t>
  </si>
  <si>
    <t>max percentage of pk-pk current</t>
  </si>
  <si>
    <t>10uF</t>
  </si>
  <si>
    <r>
      <t>10m</t>
    </r>
    <r>
      <rPr>
        <sz val="11"/>
        <color theme="1"/>
        <rFont val="Calibri"/>
        <family val="2"/>
      </rPr>
      <t>Ω</t>
    </r>
  </si>
  <si>
    <t>Over(Under)shoot of Transient</t>
  </si>
  <si>
    <t>Overshoot of load fast release</t>
  </si>
  <si>
    <t>pcs</t>
  </si>
  <si>
    <t>Output Over(Under)shoot</t>
  </si>
  <si>
    <t>PWM Ramp amplitude factor</t>
  </si>
  <si>
    <t>PWM gain</t>
  </si>
  <si>
    <t>Total Output Capacitor ESR</t>
  </si>
  <si>
    <t>Total Output Capacitor ESL</t>
  </si>
  <si>
    <t>Cout ESR zero, f_esr</t>
  </si>
  <si>
    <t>Double LC poles, f_LC</t>
  </si>
  <si>
    <t>Typically 3~5*f_LC≤f_c≤0.2*f_sw</t>
  </si>
  <si>
    <t>Switching Frequency, f_sw</t>
  </si>
  <si>
    <t>Select cross over ponit, f_c</t>
  </si>
  <si>
    <t>LC damping rate, Q</t>
  </si>
  <si>
    <t>Target phase margin, PM</t>
  </si>
  <si>
    <t>°</t>
  </si>
  <si>
    <r>
      <t>Typically need greater than 45</t>
    </r>
    <r>
      <rPr>
        <sz val="11"/>
        <color theme="1"/>
        <rFont val="Calibri"/>
        <family val="2"/>
      </rPr>
      <t>°</t>
    </r>
  </si>
  <si>
    <t>Compensation gain at f_c</t>
  </si>
  <si>
    <t>Compensation phase boost at f_c</t>
  </si>
  <si>
    <t>dB</t>
  </si>
  <si>
    <t>Compensation 2nd zero</t>
  </si>
  <si>
    <t>Compensation 1st zero</t>
  </si>
  <si>
    <t>Compensation 1st pole</t>
  </si>
  <si>
    <t>Compensation 2nd pole</t>
  </si>
  <si>
    <t>V/V</t>
  </si>
  <si>
    <t>this term just for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</si>
</sst>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
  </numFmts>
  <fonts count="11" x14ac:knownFonts="1">
    <font>
      <sz val="11"/>
      <color theme="1"/>
      <name val="Calibri"/>
      <family val="2"/>
      <scheme val="minor"/>
    </font>
    <font>
      <sz val="12"/>
      <color indexed="8"/>
      <name val="Times New Roman"/>
      <family val="1"/>
    </font>
    <font>
      <sz val="11"/>
      <color theme="1"/>
      <name val="Calibri"/>
      <family val="2"/>
    </font>
    <font>
      <sz val="12"/>
      <color theme="1"/>
      <name val="Times New Roman"/>
      <family val="1"/>
    </font>
    <font>
      <b/>
      <sz val="14"/>
      <color theme="1"/>
      <name val="Times New Roman"/>
      <family val="1"/>
    </font>
    <font>
      <sz val="11"/>
      <color rgb="FF3F3F76"/>
      <name val="Calibri"/>
      <family val="2"/>
      <scheme val="minor"/>
    </font>
    <font>
      <sz val="18"/>
      <color theme="1"/>
      <name val="Times New Roman"/>
      <family val="1"/>
    </font>
    <font>
      <sz val="12"/>
      <color rgb="FF3F3F76"/>
      <name val="Times New Roman"/>
      <family val="1"/>
    </font>
    <font>
      <sz val="11"/>
      <color theme="1"/>
      <name val="Times New Roman"/>
      <family val="1"/>
    </font>
    <font>
      <i/>
      <sz val="11"/>
      <color rgb="FF7F7F7F"/>
      <name val="Calibri"/>
      <family val="2"/>
      <scheme val="minor"/>
    </font>
    <font>
      <sz val="12"/>
      <color theme="1"/>
      <name val="Calibri"/>
      <family val="2"/>
    </font>
  </fonts>
  <fills count="7">
    <fill>
      <patternFill patternType="none"/>
    </fill>
    <fill>
      <patternFill patternType="gray125"/>
    </fill>
    <fill>
      <patternFill patternType="solid">
        <fgColor rgb="FF00FF00"/>
        <bgColor indexed="64"/>
      </patternFill>
    </fill>
    <fill>
      <patternFill patternType="solid">
        <fgColor indexed="15"/>
        <bgColor indexed="64"/>
      </patternFill>
    </fill>
    <fill>
      <patternFill patternType="solid">
        <fgColor indexed="11"/>
        <bgColor indexed="64"/>
      </patternFill>
    </fill>
    <fill>
      <patternFill patternType="solid">
        <fgColor indexed="22"/>
        <bgColor indexed="64"/>
      </patternFill>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5" fillId="6" borderId="1" applyNumberFormat="0" applyAlignment="0" applyProtection="0"/>
    <xf numFmtId="0" fontId="9" fillId="0" borderId="0" applyNumberFormat="0" applyFill="0" applyBorder="0" applyAlignment="0" applyProtection="0"/>
  </cellStyleXfs>
  <cellXfs count="43">
    <xf numFmtId="0" fontId="0" fillId="0" borderId="0" xfId="0"/>
    <xf numFmtId="0" fontId="1" fillId="3" borderId="0" xfId="0" applyFont="1" applyFill="1" applyBorder="1" applyAlignment="1" applyProtection="1">
      <alignment horizontal="center"/>
      <protection locked="0"/>
    </xf>
    <xf numFmtId="164" fontId="1" fillId="4" borderId="0" xfId="0" applyNumberFormat="1" applyFont="1" applyFill="1" applyBorder="1" applyAlignment="1" applyProtection="1">
      <alignment horizontal="center"/>
      <protection hidden="1"/>
    </xf>
    <xf numFmtId="0" fontId="2" fillId="0" borderId="0" xfId="0" applyFont="1"/>
    <xf numFmtId="11" fontId="1" fillId="3" borderId="0" xfId="0" applyNumberFormat="1" applyFont="1" applyFill="1" applyBorder="1" applyAlignment="1" applyProtection="1">
      <alignment horizontal="center"/>
      <protection locked="0"/>
    </xf>
    <xf numFmtId="0" fontId="3" fillId="0" borderId="0" xfId="0" applyFont="1"/>
    <xf numFmtId="11" fontId="3" fillId="2" borderId="0" xfId="0" applyNumberFormat="1" applyFont="1" applyFill="1"/>
    <xf numFmtId="0" fontId="3" fillId="2" borderId="0" xfId="0" applyFont="1" applyFill="1"/>
    <xf numFmtId="11" fontId="0" fillId="0" borderId="0" xfId="0" applyNumberFormat="1"/>
    <xf numFmtId="0" fontId="0" fillId="0" borderId="0" xfId="0" applyNumberFormat="1"/>
    <xf numFmtId="0" fontId="6" fillId="0" borderId="0" xfId="0" applyFont="1"/>
    <xf numFmtId="0" fontId="5" fillId="6" borderId="0" xfId="1" applyBorder="1" applyAlignment="1" applyProtection="1">
      <alignment horizontal="center"/>
      <protection locked="0"/>
    </xf>
    <xf numFmtId="0" fontId="8" fillId="0" borderId="0" xfId="0" applyFont="1"/>
    <xf numFmtId="0" fontId="0" fillId="5" borderId="0" xfId="0" applyFill="1" applyBorder="1" applyAlignment="1" applyProtection="1">
      <alignment horizontal="center" wrapText="1"/>
      <protection hidden="1"/>
    </xf>
    <xf numFmtId="0" fontId="0" fillId="0" borderId="0" xfId="0"/>
    <xf numFmtId="0" fontId="9" fillId="0" borderId="0" xfId="2"/>
    <xf numFmtId="0" fontId="0" fillId="0" borderId="0" xfId="0" applyAlignment="1">
      <alignment horizontal="center"/>
    </xf>
    <xf numFmtId="0" fontId="0" fillId="0" borderId="0" xfId="0"/>
    <xf numFmtId="0" fontId="0" fillId="5" borderId="0" xfId="0" applyFill="1" applyBorder="1" applyAlignment="1" applyProtection="1">
      <alignment horizontal="center" wrapText="1"/>
      <protection hidden="1"/>
    </xf>
    <xf numFmtId="0" fontId="0" fillId="0" borderId="0" xfId="0"/>
    <xf numFmtId="0" fontId="10" fillId="0" borderId="0" xfId="0" applyFont="1"/>
    <xf numFmtId="11" fontId="3" fillId="0" borderId="0" xfId="0" applyNumberFormat="1" applyFont="1"/>
    <xf numFmtId="0" fontId="0" fillId="0" borderId="0" xfId="0"/>
    <xf numFmtId="0" fontId="0" fillId="0" borderId="0" xfId="0"/>
    <xf numFmtId="0" fontId="8" fillId="0" borderId="0" xfId="0" applyFont="1" applyAlignment="1">
      <alignment horizontal="center"/>
    </xf>
    <xf numFmtId="0" fontId="10" fillId="0" borderId="0" xfId="0" applyFont="1" applyAlignment="1">
      <alignment horizontal="right"/>
    </xf>
    <xf numFmtId="0" fontId="0" fillId="5" borderId="0" xfId="0" applyFill="1" applyBorder="1" applyAlignment="1" applyProtection="1">
      <alignment horizontal="center" wrapText="1"/>
      <protection hidden="1"/>
    </xf>
    <xf numFmtId="0" fontId="0" fillId="0" borderId="0" xfId="0"/>
    <xf numFmtId="0" fontId="0" fillId="0" borderId="0" xfId="0"/>
    <xf numFmtId="0" fontId="0" fillId="0" borderId="0" xfId="0" applyAlignment="1">
      <alignment horizontal="right"/>
    </xf>
    <xf numFmtId="0" fontId="8" fillId="0" borderId="0" xfId="0" applyFont="1" applyAlignment="1">
      <alignment horizontal="right"/>
    </xf>
    <xf numFmtId="49" fontId="3" fillId="0" borderId="0" xfId="0" applyNumberFormat="1" applyFont="1"/>
    <xf numFmtId="0" fontId="3" fillId="0" borderId="0" xfId="0" applyFont="1" applyAlignment="1">
      <alignment horizontal="left"/>
    </xf>
    <xf numFmtId="11" fontId="3" fillId="2" borderId="0" xfId="0" applyNumberFormat="1" applyFont="1" applyFill="1" applyProtection="1">
      <protection hidden="1"/>
    </xf>
    <xf numFmtId="11" fontId="7" fillId="6" borderId="1" xfId="1" applyNumberFormat="1" applyFont="1" applyProtection="1">
      <protection hidden="1"/>
    </xf>
    <xf numFmtId="2" fontId="7" fillId="6" borderId="0" xfId="1" applyNumberFormat="1" applyFont="1" applyBorder="1" applyAlignment="1" applyProtection="1">
      <alignment horizontal="center"/>
      <protection hidden="1"/>
    </xf>
    <xf numFmtId="11" fontId="7" fillId="6" borderId="0" xfId="1" applyNumberFormat="1" applyFont="1" applyBorder="1" applyAlignment="1" applyProtection="1">
      <alignment horizontal="center"/>
      <protection hidden="1"/>
    </xf>
    <xf numFmtId="0" fontId="7" fillId="6" borderId="0" xfId="1" applyNumberFormat="1" applyFont="1" applyBorder="1" applyAlignment="1" applyProtection="1">
      <alignment horizontal="center"/>
      <protection hidden="1"/>
    </xf>
    <xf numFmtId="0" fontId="7" fillId="6" borderId="0" xfId="1" applyFont="1" applyBorder="1" applyAlignment="1" applyProtection="1">
      <alignment horizontal="center"/>
      <protection hidden="1"/>
    </xf>
    <xf numFmtId="0" fontId="4" fillId="5" borderId="0" xfId="0" applyFont="1" applyFill="1" applyBorder="1" applyAlignment="1" applyProtection="1">
      <alignment horizontal="center" wrapText="1"/>
      <protection hidden="1"/>
    </xf>
    <xf numFmtId="0" fontId="0" fillId="5" borderId="0" xfId="0" applyFill="1" applyBorder="1" applyAlignment="1" applyProtection="1">
      <alignment horizontal="center" wrapText="1"/>
      <protection hidden="1"/>
    </xf>
    <xf numFmtId="0" fontId="9" fillId="0" borderId="0" xfId="2"/>
    <xf numFmtId="0" fontId="0" fillId="0" borderId="0" xfId="0"/>
  </cellXfs>
  <cellStyles count="3">
    <cellStyle name="Explanatory Text" xfId="2" builtinId="53"/>
    <cellStyle name="Input" xfId="1" builtinId="20"/>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itchFamily="18" charset="0"/>
                <a:cs typeface="Times New Roman" pitchFamily="18" charset="0"/>
              </a:rPr>
              <a:t>Gvd Gain</a:t>
            </a:r>
          </a:p>
        </c:rich>
      </c:tx>
      <c:layout/>
      <c:overlay val="0"/>
    </c:title>
    <c:autoTitleDeleted val="0"/>
    <c:plotArea>
      <c:layout/>
      <c:scatterChart>
        <c:scatterStyle val="smoothMarker"/>
        <c:varyColors val="0"/>
        <c:ser>
          <c:idx val="0"/>
          <c:order val="0"/>
          <c:tx>
            <c:v>Gvd Gain</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Front!$F$109:$F$149</c:f>
              <c:numCache>
                <c:formatCode>0.00E+00</c:formatCode>
                <c:ptCount val="41"/>
                <c:pt idx="0">
                  <c:v>15.348973079015142</c:v>
                </c:pt>
                <c:pt idx="1">
                  <c:v>15.34922188162893</c:v>
                </c:pt>
                <c:pt idx="2">
                  <c:v>15.349616209053279</c:v>
                </c:pt>
                <c:pt idx="3">
                  <c:v>15.350241180558793</c:v>
                </c:pt>
                <c:pt idx="4">
                  <c:v>15.351231705313655</c:v>
                </c:pt>
                <c:pt idx="5">
                  <c:v>15.352801610478664</c:v>
                </c:pt>
                <c:pt idx="6">
                  <c:v>15.355289815534778</c:v>
                </c:pt>
                <c:pt idx="7">
                  <c:v>15.359233536839586</c:v>
                </c:pt>
                <c:pt idx="8">
                  <c:v>15.365484365443056</c:v>
                </c:pt>
                <c:pt idx="9">
                  <c:v>15.375392372474399</c:v>
                </c:pt>
                <c:pt idx="10">
                  <c:v>15.391098205042645</c:v>
                </c:pt>
                <c:pt idx="11">
                  <c:v>15.41599668389323</c:v>
                </c:pt>
                <c:pt idx="12">
                  <c:v>15.455472723486427</c:v>
                </c:pt>
                <c:pt idx="13">
                  <c:v>15.518068618050059</c:v>
                </c:pt>
                <c:pt idx="14">
                  <c:v>15.617327922238122</c:v>
                </c:pt>
                <c:pt idx="15">
                  <c:v>15.774665182851287</c:v>
                </c:pt>
                <c:pt idx="16">
                  <c:v>16.023610718304674</c:v>
                </c:pt>
                <c:pt idx="17">
                  <c:v>16.41493214078077</c:v>
                </c:pt>
                <c:pt idx="18">
                  <c:v>17.016200902890009</c:v>
                </c:pt>
                <c:pt idx="19">
                  <c:v>17.863913598317751</c:v>
                </c:pt>
                <c:pt idx="20">
                  <c:v>18.647048601200385</c:v>
                </c:pt>
                <c:pt idx="21">
                  <c:v>17.798959661807288</c:v>
                </c:pt>
                <c:pt idx="22">
                  <c:v>14.059104143450774</c:v>
                </c:pt>
                <c:pt idx="23">
                  <c:v>9.2114244277511954</c:v>
                </c:pt>
                <c:pt idx="24">
                  <c:v>4.4616394374822379</c:v>
                </c:pt>
                <c:pt idx="25">
                  <c:v>-1.8639624941139177E-2</c:v>
                </c:pt>
                <c:pt idx="26">
                  <c:v>-4.2727773002701488</c:v>
                </c:pt>
                <c:pt idx="27">
                  <c:v>-8.3475661485570036</c:v>
                </c:pt>
                <c:pt idx="28">
                  <c:v>-12.264353298167215</c:v>
                </c:pt>
                <c:pt idx="29">
                  <c:v>-16.02074698982722</c:v>
                </c:pt>
                <c:pt idx="30">
                  <c:v>-19.597355145446599</c:v>
                </c:pt>
                <c:pt idx="31">
                  <c:v>-22.967195410821638</c:v>
                </c:pt>
                <c:pt idx="32">
                  <c:v>-26.107608232774307</c:v>
                </c:pt>
                <c:pt idx="33">
                  <c:v>-29.011587761745904</c:v>
                </c:pt>
                <c:pt idx="34">
                  <c:v>-31.693154233199749</c:v>
                </c:pt>
                <c:pt idx="35">
                  <c:v>-34.183961046151332</c:v>
                </c:pt>
                <c:pt idx="36">
                  <c:v>-36.524114960807871</c:v>
                </c:pt>
                <c:pt idx="37">
                  <c:v>-38.753000364119536</c:v>
                </c:pt>
                <c:pt idx="38">
                  <c:v>-40.903754331994421</c:v>
                </c:pt>
                <c:pt idx="39">
                  <c:v>-43.001586949509843</c:v>
                </c:pt>
                <c:pt idx="40">
                  <c:v>-45.064447833311718</c:v>
                </c:pt>
              </c:numCache>
            </c:numRef>
          </c:yVal>
          <c:smooth val="1"/>
        </c:ser>
        <c:dLbls>
          <c:showLegendKey val="0"/>
          <c:showVal val="0"/>
          <c:showCatName val="0"/>
          <c:showSerName val="0"/>
          <c:showPercent val="0"/>
          <c:showBubbleSize val="0"/>
        </c:dLbls>
        <c:axId val="169368352"/>
        <c:axId val="169368736"/>
      </c:scatterChart>
      <c:valAx>
        <c:axId val="169368352"/>
        <c:scaling>
          <c:logBase val="10"/>
          <c:orientation val="minMax"/>
          <c:max val="1000000"/>
          <c:min val="100"/>
        </c:scaling>
        <c:delete val="0"/>
        <c:axPos val="b"/>
        <c:majorGridlines/>
        <c:minorGridlines/>
        <c:numFmt formatCode="General" sourceLinked="0"/>
        <c:majorTickMark val="out"/>
        <c:minorTickMark val="none"/>
        <c:tickLblPos val="nextTo"/>
        <c:crossAx val="169368736"/>
        <c:crossesAt val="-60"/>
        <c:crossBetween val="midCat"/>
        <c:dispUnits>
          <c:builtInUnit val="thousands"/>
          <c:dispUnitsLbl>
            <c:layout>
              <c:manualLayout>
                <c:xMode val="edge"/>
                <c:yMode val="edge"/>
                <c:x val="0.86159733158355289"/>
                <c:y val="0.87868037328667326"/>
              </c:manualLayout>
            </c:layout>
            <c:tx>
              <c:rich>
                <a:bodyPr/>
                <a:lstStyle/>
                <a:p>
                  <a:pPr>
                    <a:defRPr/>
                  </a:pPr>
                  <a:r>
                    <a:rPr lang="en-US"/>
                    <a:t>kHz</a:t>
                  </a:r>
                </a:p>
              </c:rich>
            </c:tx>
          </c:dispUnitsLbl>
        </c:dispUnits>
      </c:valAx>
      <c:valAx>
        <c:axId val="169368736"/>
        <c:scaling>
          <c:orientation val="minMax"/>
          <c:max val="40"/>
          <c:min val="-60"/>
        </c:scaling>
        <c:delete val="0"/>
        <c:axPos val="l"/>
        <c:majorGridlines/>
        <c:title>
          <c:tx>
            <c:rich>
              <a:bodyPr rot="-5400000" vert="horz"/>
              <a:lstStyle/>
              <a:p>
                <a:pPr>
                  <a:defRPr/>
                </a:pPr>
                <a:r>
                  <a:rPr lang="en-US" b="0">
                    <a:latin typeface="Times New Roman" pitchFamily="18" charset="0"/>
                    <a:cs typeface="Times New Roman" pitchFamily="18" charset="0"/>
                  </a:rPr>
                  <a:t>Magnitude (dB)</a:t>
                </a:r>
              </a:p>
            </c:rich>
          </c:tx>
          <c:layout/>
          <c:overlay val="0"/>
        </c:title>
        <c:numFmt formatCode="General" sourceLinked="0"/>
        <c:majorTickMark val="out"/>
        <c:minorTickMark val="none"/>
        <c:tickLblPos val="nextTo"/>
        <c:crossAx val="169368352"/>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itchFamily="18" charset="0"/>
                <a:cs typeface="Times New Roman" pitchFamily="18" charset="0"/>
              </a:rPr>
              <a:t>Gvd Phase</a:t>
            </a:r>
          </a:p>
        </c:rich>
      </c:tx>
      <c:layout/>
      <c:overlay val="0"/>
    </c:title>
    <c:autoTitleDeleted val="0"/>
    <c:plotArea>
      <c:layout/>
      <c:scatterChart>
        <c:scatterStyle val="smoothMarker"/>
        <c:varyColors val="0"/>
        <c:ser>
          <c:idx val="0"/>
          <c:order val="0"/>
          <c:tx>
            <c:v>Gvd Phase</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Front!$G$109:$G$149</c:f>
              <c:numCache>
                <c:formatCode>General</c:formatCode>
                <c:ptCount val="41"/>
                <c:pt idx="0">
                  <c:v>-0.30733587877326218</c:v>
                </c:pt>
                <c:pt idx="1">
                  <c:v>-0.3869267959303162</c:v>
                </c:pt>
                <c:pt idx="2">
                  <c:v>-0.48713960843089965</c:v>
                </c:pt>
                <c:pt idx="3">
                  <c:v>-0.61332757187406906</c:v>
                </c:pt>
                <c:pt idx="4">
                  <c:v>-0.77224370186629454</c:v>
                </c:pt>
                <c:pt idx="5">
                  <c:v>-0.97241682666806084</c:v>
                </c:pt>
                <c:pt idx="6">
                  <c:v>-1.2246386027559995</c:v>
                </c:pt>
                <c:pt idx="7">
                  <c:v>-1.5426038370083193</c:v>
                </c:pt>
                <c:pt idx="8">
                  <c:v>-1.9437711525017121</c:v>
                </c:pt>
                <c:pt idx="9">
                  <c:v>-2.4505561800368119</c:v>
                </c:pt>
                <c:pt idx="10">
                  <c:v>-3.0920551996867474</c:v>
                </c:pt>
                <c:pt idx="11">
                  <c:v>-3.9066655189970305</c:v>
                </c:pt>
                <c:pt idx="12">
                  <c:v>-4.9463101820129713</c:v>
                </c:pt>
                <c:pt idx="13">
                  <c:v>-6.2836908525282142</c:v>
                </c:pt>
                <c:pt idx="14">
                  <c:v>-8.0255593768603664</c:v>
                </c:pt>
                <c:pt idx="15">
                  <c:v>-10.338606592042652</c:v>
                </c:pt>
                <c:pt idx="16">
                  <c:v>-13.503407963148165</c:v>
                </c:pt>
                <c:pt idx="17">
                  <c:v>-18.034975499888574</c:v>
                </c:pt>
                <c:pt idx="18">
                  <c:v>-24.970809834151012</c:v>
                </c:pt>
                <c:pt idx="19">
                  <c:v>-36.56571421540599</c:v>
                </c:pt>
                <c:pt idx="20">
                  <c:v>-57.362631060718329</c:v>
                </c:pt>
                <c:pt idx="21">
                  <c:v>-89.841488177516609</c:v>
                </c:pt>
                <c:pt idx="22">
                  <c:v>-119.76281179740594</c:v>
                </c:pt>
                <c:pt idx="23">
                  <c:v>-137.03473902964706</c:v>
                </c:pt>
                <c:pt idx="24">
                  <c:v>-145.91173914359632</c:v>
                </c:pt>
                <c:pt idx="25">
                  <c:v>-150.29174363679289</c:v>
                </c:pt>
                <c:pt idx="26">
                  <c:v>-151.96772619675508</c:v>
                </c:pt>
                <c:pt idx="27">
                  <c:v>-151.73285509439884</c:v>
                </c:pt>
                <c:pt idx="28">
                  <c:v>-149.96225300629933</c:v>
                </c:pt>
                <c:pt idx="29">
                  <c:v>-146.87127170305624</c:v>
                </c:pt>
                <c:pt idx="30">
                  <c:v>-142.64920265559289</c:v>
                </c:pt>
                <c:pt idx="31">
                  <c:v>-137.53705529216194</c:v>
                </c:pt>
                <c:pt idx="32">
                  <c:v>-131.85782670185179</c:v>
                </c:pt>
                <c:pt idx="33">
                  <c:v>-125.99151405915013</c:v>
                </c:pt>
                <c:pt idx="34">
                  <c:v>-120.30637896815028</c:v>
                </c:pt>
                <c:pt idx="35">
                  <c:v>-115.08675400363065</c:v>
                </c:pt>
                <c:pt idx="36">
                  <c:v>-110.49712812630361</c:v>
                </c:pt>
                <c:pt idx="37">
                  <c:v>-106.59048330812693</c:v>
                </c:pt>
                <c:pt idx="38">
                  <c:v>-103.3414845920931</c:v>
                </c:pt>
                <c:pt idx="39">
                  <c:v>-100.6821509869536</c:v>
                </c:pt>
                <c:pt idx="40">
                  <c:v>-98.52849672265512</c:v>
                </c:pt>
              </c:numCache>
            </c:numRef>
          </c:yVal>
          <c:smooth val="1"/>
        </c:ser>
        <c:dLbls>
          <c:showLegendKey val="0"/>
          <c:showVal val="0"/>
          <c:showCatName val="0"/>
          <c:showSerName val="0"/>
          <c:showPercent val="0"/>
          <c:showBubbleSize val="0"/>
        </c:dLbls>
        <c:axId val="169595080"/>
        <c:axId val="169595464"/>
      </c:scatterChart>
      <c:valAx>
        <c:axId val="169595080"/>
        <c:scaling>
          <c:logBase val="10"/>
          <c:orientation val="minMax"/>
          <c:max val="1000000"/>
          <c:min val="100"/>
        </c:scaling>
        <c:delete val="0"/>
        <c:axPos val="b"/>
        <c:majorGridlines/>
        <c:minorGridlines/>
        <c:numFmt formatCode="General" sourceLinked="0"/>
        <c:majorTickMark val="out"/>
        <c:minorTickMark val="none"/>
        <c:tickLblPos val="nextTo"/>
        <c:crossAx val="169595464"/>
        <c:crossesAt val="-180"/>
        <c:crossBetween val="midCat"/>
        <c:dispUnits>
          <c:builtInUnit val="thousands"/>
          <c:dispUnitsLbl>
            <c:layout/>
            <c:tx>
              <c:rich>
                <a:bodyPr/>
                <a:lstStyle/>
                <a:p>
                  <a:pPr>
                    <a:defRPr/>
                  </a:pPr>
                  <a:r>
                    <a:rPr lang="en-US"/>
                    <a:t>kHz</a:t>
                  </a:r>
                </a:p>
              </c:rich>
            </c:tx>
          </c:dispUnitsLbl>
        </c:dispUnits>
      </c:valAx>
      <c:valAx>
        <c:axId val="169595464"/>
        <c:scaling>
          <c:orientation val="minMax"/>
          <c:max val="0"/>
          <c:min val="-180"/>
        </c:scaling>
        <c:delete val="0"/>
        <c:axPos val="l"/>
        <c:majorGridlines/>
        <c:title>
          <c:tx>
            <c:rich>
              <a:bodyPr rot="-5400000" vert="horz"/>
              <a:lstStyle/>
              <a:p>
                <a:pPr>
                  <a:defRPr/>
                </a:pPr>
                <a:r>
                  <a:rPr lang="en-US" b="0">
                    <a:latin typeface="Times New Roman" pitchFamily="18" charset="0"/>
                    <a:cs typeface="Times New Roman" pitchFamily="18" charset="0"/>
                  </a:rPr>
                  <a:t>Phase (deg)</a:t>
                </a:r>
              </a:p>
            </c:rich>
          </c:tx>
          <c:layout/>
          <c:overlay val="0"/>
        </c:title>
        <c:numFmt formatCode="General" sourceLinked="0"/>
        <c:majorTickMark val="out"/>
        <c:minorTickMark val="none"/>
        <c:tickLblPos val="nextTo"/>
        <c:crossAx val="169595080"/>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itchFamily="18" charset="0"/>
                <a:cs typeface="Times New Roman" pitchFamily="18" charset="0"/>
              </a:rPr>
              <a:t>Gvc Gain</a:t>
            </a:r>
          </a:p>
        </c:rich>
      </c:tx>
      <c:layout/>
      <c:overlay val="0"/>
    </c:title>
    <c:autoTitleDeleted val="0"/>
    <c:plotArea>
      <c:layout/>
      <c:scatterChart>
        <c:scatterStyle val="smoothMarker"/>
        <c:varyColors val="0"/>
        <c:ser>
          <c:idx val="0"/>
          <c:order val="0"/>
          <c:tx>
            <c:v>Gvc Gain</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Front!$I$109:$I$149</c:f>
              <c:numCache>
                <c:formatCode>General</c:formatCode>
                <c:ptCount val="41"/>
                <c:pt idx="0">
                  <c:v>38.785848873887375</c:v>
                </c:pt>
                <c:pt idx="1">
                  <c:v>36.786756813712415</c:v>
                </c:pt>
                <c:pt idx="2">
                  <c:v>34.788195516200901</c:v>
                </c:pt>
                <c:pt idx="3">
                  <c:v>32.790474990109296</c:v>
                </c:pt>
                <c:pt idx="4">
                  <c:v>30.794085916253806</c:v>
                </c:pt>
                <c:pt idx="5">
                  <c:v>28.799804342394985</c:v>
                </c:pt>
                <c:pt idx="6">
                  <c:v>26.808856144259913</c:v>
                </c:pt>
                <c:pt idx="7">
                  <c:v>24.823174020499501</c:v>
                </c:pt>
                <c:pt idx="8">
                  <c:v>22.84579574007288</c:v>
                </c:pt>
                <c:pt idx="9">
                  <c:v>20.88147305402579</c:v>
                </c:pt>
                <c:pt idx="10">
                  <c:v>18.937582735603478</c:v>
                </c:pt>
                <c:pt idx="11">
                  <c:v>17.025442059884565</c:v>
                </c:pt>
                <c:pt idx="12">
                  <c:v>15.162098002479038</c:v>
                </c:pt>
                <c:pt idx="13">
                  <c:v>13.372515532236415</c:v>
                </c:pt>
                <c:pt idx="14">
                  <c:v>11.691736918086704</c:v>
                </c:pt>
                <c:pt idx="15">
                  <c:v>10.165974241960992</c:v>
                </c:pt>
                <c:pt idx="16">
                  <c:v>8.850989917290093</c:v>
                </c:pt>
                <c:pt idx="17">
                  <c:v>7.8063607863002265</c:v>
                </c:pt>
                <c:pt idx="18">
                  <c:v>7.0862299724885762</c:v>
                </c:pt>
                <c:pt idx="19">
                  <c:v>6.7299679030460062</c:v>
                </c:pt>
                <c:pt idx="20">
                  <c:v>6.7563741356295095</c:v>
                </c:pt>
                <c:pt idx="21">
                  <c:v>7.1616319166060363</c:v>
                </c:pt>
                <c:pt idx="22">
                  <c:v>7.9190635033466368</c:v>
                </c:pt>
                <c:pt idx="23">
                  <c:v>8.9808973398162308</c:v>
                </c:pt>
                <c:pt idx="24">
                  <c:v>10.283813760769187</c:v>
                </c:pt>
                <c:pt idx="25">
                  <c:v>11.757201019922018</c:v>
                </c:pt>
                <c:pt idx="26">
                  <c:v>13.33008176309888</c:v>
                </c:pt>
                <c:pt idx="27">
                  <c:v>14.933695745708002</c:v>
                </c:pt>
                <c:pt idx="28">
                  <c:v>16.499902677310921</c:v>
                </c:pt>
                <c:pt idx="29">
                  <c:v>17.957831277661633</c:v>
                </c:pt>
                <c:pt idx="30">
                  <c:v>19.231994031675342</c:v>
                </c:pt>
                <c:pt idx="31">
                  <c:v>20.244803127336183</c:v>
                </c:pt>
                <c:pt idx="32">
                  <c:v>20.924673735951718</c:v>
                </c:pt>
                <c:pt idx="33">
                  <c:v>21.217618682487398</c:v>
                </c:pt>
                <c:pt idx="34">
                  <c:v>21.097605246775121</c:v>
                </c:pt>
                <c:pt idx="35">
                  <c:v>20.57142985689358</c:v>
                </c:pt>
                <c:pt idx="36">
                  <c:v>19.676333617178013</c:v>
                </c:pt>
                <c:pt idx="37">
                  <c:v>18.470879635790055</c:v>
                </c:pt>
                <c:pt idx="38">
                  <c:v>17.022102018500803</c:v>
                </c:pt>
                <c:pt idx="39">
                  <c:v>15.393715076844469</c:v>
                </c:pt>
                <c:pt idx="40">
                  <c:v>13.638937191580347</c:v>
                </c:pt>
              </c:numCache>
            </c:numRef>
          </c:yVal>
          <c:smooth val="1"/>
        </c:ser>
        <c:dLbls>
          <c:showLegendKey val="0"/>
          <c:showVal val="0"/>
          <c:showCatName val="0"/>
          <c:showSerName val="0"/>
          <c:showPercent val="0"/>
          <c:showBubbleSize val="0"/>
        </c:dLbls>
        <c:axId val="169539672"/>
        <c:axId val="169540056"/>
      </c:scatterChart>
      <c:valAx>
        <c:axId val="169539672"/>
        <c:scaling>
          <c:logBase val="10"/>
          <c:orientation val="minMax"/>
          <c:max val="1000000"/>
          <c:min val="100"/>
        </c:scaling>
        <c:delete val="0"/>
        <c:axPos val="b"/>
        <c:majorGridlines/>
        <c:minorGridlines/>
        <c:numFmt formatCode="General" sourceLinked="0"/>
        <c:majorTickMark val="out"/>
        <c:minorTickMark val="none"/>
        <c:tickLblPos val="nextTo"/>
        <c:crossAx val="169540056"/>
        <c:crosses val="autoZero"/>
        <c:crossBetween val="midCat"/>
        <c:dispUnits>
          <c:builtInUnit val="thousands"/>
          <c:dispUnitsLbl>
            <c:layout/>
            <c:tx>
              <c:rich>
                <a:bodyPr/>
                <a:lstStyle/>
                <a:p>
                  <a:pPr>
                    <a:defRPr/>
                  </a:pPr>
                  <a:r>
                    <a:rPr lang="en-US"/>
                    <a:t>kHz</a:t>
                  </a:r>
                </a:p>
              </c:rich>
            </c:tx>
          </c:dispUnitsLbl>
        </c:dispUnits>
      </c:valAx>
      <c:valAx>
        <c:axId val="169540056"/>
        <c:scaling>
          <c:orientation val="minMax"/>
        </c:scaling>
        <c:delete val="0"/>
        <c:axPos val="l"/>
        <c:majorGridlines/>
        <c:title>
          <c:tx>
            <c:rich>
              <a:bodyPr rot="-5400000" vert="horz"/>
              <a:lstStyle/>
              <a:p>
                <a:pPr>
                  <a:defRPr/>
                </a:pPr>
                <a:r>
                  <a:rPr lang="en-US" b="0">
                    <a:latin typeface="Times New Roman" pitchFamily="18" charset="0"/>
                    <a:cs typeface="Times New Roman" pitchFamily="18" charset="0"/>
                  </a:rPr>
                  <a:t>Magnitude (dB)</a:t>
                </a:r>
              </a:p>
            </c:rich>
          </c:tx>
          <c:layout/>
          <c:overlay val="0"/>
        </c:title>
        <c:numFmt formatCode="General" sourceLinked="1"/>
        <c:majorTickMark val="out"/>
        <c:minorTickMark val="none"/>
        <c:tickLblPos val="nextTo"/>
        <c:crossAx val="169539672"/>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itchFamily="18" charset="0"/>
                <a:cs typeface="Times New Roman" pitchFamily="18" charset="0"/>
              </a:rPr>
              <a:t>Gvc Phase</a:t>
            </a:r>
          </a:p>
        </c:rich>
      </c:tx>
      <c:layout/>
      <c:overlay val="0"/>
    </c:title>
    <c:autoTitleDeleted val="0"/>
    <c:plotArea>
      <c:layout/>
      <c:scatterChart>
        <c:scatterStyle val="smoothMarker"/>
        <c:varyColors val="0"/>
        <c:ser>
          <c:idx val="0"/>
          <c:order val="0"/>
          <c:tx>
            <c:v>Gvc Phase</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Front!$J$109:$J$149</c:f>
              <c:numCache>
                <c:formatCode>General</c:formatCode>
                <c:ptCount val="41"/>
                <c:pt idx="0">
                  <c:v>-88.629737474527872</c:v>
                </c:pt>
                <c:pt idx="1">
                  <c:v>-88.275021123579293</c:v>
                </c:pt>
                <c:pt idx="2">
                  <c:v>-87.828538716215363</c:v>
                </c:pt>
                <c:pt idx="3">
                  <c:v>-87.266608247338027</c:v>
                </c:pt>
                <c:pt idx="4">
                  <c:v>-86.559493836496827</c:v>
                </c:pt>
                <c:pt idx="5">
                  <c:v>-85.669915446192363</c:v>
                </c:pt>
                <c:pt idx="6">
                  <c:v>-84.551248706912119</c:v>
                </c:pt>
                <c:pt idx="7">
                  <c:v>-83.145408354514217</c:v>
                </c:pt>
                <c:pt idx="8">
                  <c:v>-81.380476529673814</c:v>
                </c:pt>
                <c:pt idx="9">
                  <c:v>-79.168283306657258</c:v>
                </c:pt>
                <c:pt idx="10">
                  <c:v>-76.402435509458641</c:v>
                </c:pt>
                <c:pt idx="11">
                  <c:v>-72.957814280531096</c:v>
                </c:pt>
                <c:pt idx="12">
                  <c:v>-68.693412252080265</c:v>
                </c:pt>
                <c:pt idx="13">
                  <c:v>-63.461506424846128</c:v>
                </c:pt>
                <c:pt idx="14">
                  <c:v>-57.127010744846189</c:v>
                </c:pt>
                <c:pt idx="15">
                  <c:v>-49.599818139236994</c:v>
                </c:pt>
                <c:pt idx="16">
                  <c:v>-40.877462841598991</c:v>
                </c:pt>
                <c:pt idx="17">
                  <c:v>-31.084951410537904</c:v>
                </c:pt>
                <c:pt idx="18">
                  <c:v>-20.490657879171881</c:v>
                </c:pt>
                <c:pt idx="19">
                  <c:v>-9.4858727789255681</c:v>
                </c:pt>
                <c:pt idx="20">
                  <c:v>1.4601955537171956</c:v>
                </c:pt>
                <c:pt idx="21">
                  <c:v>11.847378095925297</c:v>
                </c:pt>
                <c:pt idx="22">
                  <c:v>21.188120017820175</c:v>
                </c:pt>
                <c:pt idx="23">
                  <c:v>29.054609726525168</c:v>
                </c:pt>
                <c:pt idx="24">
                  <c:v>35.120412266817738</c:v>
                </c:pt>
                <c:pt idx="25">
                  <c:v>39.174555833527016</c:v>
                </c:pt>
                <c:pt idx="26">
                  <c:v>41.102411702738181</c:v>
                </c:pt>
                <c:pt idx="27">
                  <c:v>40.851872893901024</c:v>
                </c:pt>
                <c:pt idx="28">
                  <c:v>38.409542747950297</c:v>
                </c:pt>
                <c:pt idx="29">
                  <c:v>33.802311662754811</c:v>
                </c:pt>
                <c:pt idx="30">
                  <c:v>27.126245289454314</c:v>
                </c:pt>
                <c:pt idx="31">
                  <c:v>18.590492042374979</c:v>
                </c:pt>
                <c:pt idx="32">
                  <c:v>8.5508511566665053</c:v>
                </c:pt>
                <c:pt idx="33">
                  <c:v>-2.494175924871938</c:v>
                </c:pt>
                <c:pt idx="34">
                  <c:v>-13.954410808611394</c:v>
                </c:pt>
                <c:pt idx="35">
                  <c:v>-25.23157415293263</c:v>
                </c:pt>
                <c:pt idx="36">
                  <c:v>-35.809461738568643</c:v>
                </c:pt>
                <c:pt idx="37">
                  <c:v>-45.323438655746067</c:v>
                </c:pt>
                <c:pt idx="38">
                  <c:v>-53.586840914398294</c:v>
                </c:pt>
                <c:pt idx="39">
                  <c:v>-60.57060175874134</c:v>
                </c:pt>
                <c:pt idx="40">
                  <c:v>-66.354961316318736</c:v>
                </c:pt>
              </c:numCache>
            </c:numRef>
          </c:yVal>
          <c:smooth val="1"/>
        </c:ser>
        <c:dLbls>
          <c:showLegendKey val="0"/>
          <c:showVal val="0"/>
          <c:showCatName val="0"/>
          <c:showSerName val="0"/>
          <c:showPercent val="0"/>
          <c:showBubbleSize val="0"/>
        </c:dLbls>
        <c:axId val="170162208"/>
        <c:axId val="170162592"/>
      </c:scatterChart>
      <c:valAx>
        <c:axId val="170162208"/>
        <c:scaling>
          <c:logBase val="10"/>
          <c:orientation val="minMax"/>
          <c:max val="1000000"/>
          <c:min val="100"/>
        </c:scaling>
        <c:delete val="0"/>
        <c:axPos val="b"/>
        <c:majorGridlines/>
        <c:minorGridlines/>
        <c:numFmt formatCode="General" sourceLinked="0"/>
        <c:majorTickMark val="out"/>
        <c:minorTickMark val="none"/>
        <c:tickLblPos val="nextTo"/>
        <c:crossAx val="170162592"/>
        <c:crossesAt val="-100"/>
        <c:crossBetween val="midCat"/>
        <c:dispUnits>
          <c:builtInUnit val="thousands"/>
          <c:dispUnitsLbl>
            <c:layout/>
            <c:tx>
              <c:rich>
                <a:bodyPr/>
                <a:lstStyle/>
                <a:p>
                  <a:pPr>
                    <a:defRPr/>
                  </a:pPr>
                  <a:r>
                    <a:rPr lang="en-US"/>
                    <a:t>kHz</a:t>
                  </a:r>
                </a:p>
              </c:rich>
            </c:tx>
          </c:dispUnitsLbl>
        </c:dispUnits>
      </c:valAx>
      <c:valAx>
        <c:axId val="170162592"/>
        <c:scaling>
          <c:orientation val="minMax"/>
          <c:max val="60"/>
          <c:min val="-100"/>
        </c:scaling>
        <c:delete val="0"/>
        <c:axPos val="l"/>
        <c:majorGridlines/>
        <c:title>
          <c:tx>
            <c:rich>
              <a:bodyPr rot="-5400000" vert="horz"/>
              <a:lstStyle/>
              <a:p>
                <a:pPr>
                  <a:defRPr/>
                </a:pPr>
                <a:r>
                  <a:rPr lang="en-US" b="0">
                    <a:latin typeface="Times New Roman" pitchFamily="18" charset="0"/>
                    <a:cs typeface="Times New Roman" pitchFamily="18" charset="0"/>
                  </a:rPr>
                  <a:t>Phase</a:t>
                </a:r>
                <a:r>
                  <a:rPr lang="en-US" b="0" baseline="0">
                    <a:latin typeface="Times New Roman" pitchFamily="18" charset="0"/>
                    <a:cs typeface="Times New Roman" pitchFamily="18" charset="0"/>
                  </a:rPr>
                  <a:t> (deg)</a:t>
                </a:r>
                <a:endParaRPr lang="en-US" b="0">
                  <a:latin typeface="Times New Roman" pitchFamily="18" charset="0"/>
                  <a:cs typeface="Times New Roman" pitchFamily="18" charset="0"/>
                </a:endParaRPr>
              </a:p>
            </c:rich>
          </c:tx>
          <c:layout/>
          <c:overlay val="0"/>
        </c:title>
        <c:numFmt formatCode="General" sourceLinked="1"/>
        <c:majorTickMark val="out"/>
        <c:minorTickMark val="none"/>
        <c:tickLblPos val="nextTo"/>
        <c:crossAx val="170162208"/>
        <c:crosses val="autoZero"/>
        <c:crossBetween val="midCat"/>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atin typeface="Times New Roman" pitchFamily="18" charset="0"/>
                <a:cs typeface="Times New Roman" pitchFamily="18" charset="0"/>
              </a:rPr>
              <a:t>System Loop Go Gain</a:t>
            </a:r>
          </a:p>
        </c:rich>
      </c:tx>
      <c:layout/>
      <c:overlay val="0"/>
    </c:title>
    <c:autoTitleDeleted val="0"/>
    <c:plotArea>
      <c:layout/>
      <c:scatterChart>
        <c:scatterStyle val="smoothMarker"/>
        <c:varyColors val="0"/>
        <c:ser>
          <c:idx val="0"/>
          <c:order val="0"/>
          <c:tx>
            <c:v>System Loop Gain</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Front!$L$109:$L$149</c:f>
              <c:numCache>
                <c:formatCode>0.00E+00</c:formatCode>
                <c:ptCount val="41"/>
                <c:pt idx="0">
                  <c:v>54.134821952902513</c:v>
                </c:pt>
                <c:pt idx="1">
                  <c:v>52.13597869534135</c:v>
                </c:pt>
                <c:pt idx="2">
                  <c:v>50.13781172525416</c:v>
                </c:pt>
                <c:pt idx="3">
                  <c:v>48.140716170668071</c:v>
                </c:pt>
                <c:pt idx="4">
                  <c:v>46.145317621567472</c:v>
                </c:pt>
                <c:pt idx="5">
                  <c:v>44.15260595287365</c:v>
                </c:pt>
                <c:pt idx="6">
                  <c:v>42.164145959794666</c:v>
                </c:pt>
                <c:pt idx="7">
                  <c:v>40.182407557339104</c:v>
                </c:pt>
                <c:pt idx="8">
                  <c:v>38.211280105515932</c:v>
                </c:pt>
                <c:pt idx="9">
                  <c:v>36.256865426500198</c:v>
                </c:pt>
                <c:pt idx="10">
                  <c:v>34.328680940646116</c:v>
                </c:pt>
                <c:pt idx="11">
                  <c:v>32.441438743777788</c:v>
                </c:pt>
                <c:pt idx="12">
                  <c:v>30.617570725965479</c:v>
                </c:pt>
                <c:pt idx="13">
                  <c:v>28.890584150286479</c:v>
                </c:pt>
                <c:pt idx="14">
                  <c:v>27.309064840324844</c:v>
                </c:pt>
                <c:pt idx="15">
                  <c:v>25.940639424812282</c:v>
                </c:pt>
                <c:pt idx="16">
                  <c:v>24.87460063559476</c:v>
                </c:pt>
                <c:pt idx="17">
                  <c:v>24.221292927080967</c:v>
                </c:pt>
                <c:pt idx="18">
                  <c:v>24.102430875378587</c:v>
                </c:pt>
                <c:pt idx="19">
                  <c:v>24.59388150136375</c:v>
                </c:pt>
                <c:pt idx="20">
                  <c:v>25.403422736829896</c:v>
                </c:pt>
                <c:pt idx="21">
                  <c:v>24.960591578413315</c:v>
                </c:pt>
                <c:pt idx="22">
                  <c:v>21.978167646797395</c:v>
                </c:pt>
                <c:pt idx="23">
                  <c:v>18.192321767567428</c:v>
                </c:pt>
                <c:pt idx="24">
                  <c:v>14.745453198251425</c:v>
                </c:pt>
                <c:pt idx="25">
                  <c:v>11.738561394980877</c:v>
                </c:pt>
                <c:pt idx="26">
                  <c:v>9.0573044628287356</c:v>
                </c:pt>
                <c:pt idx="27">
                  <c:v>6.586129597150987</c:v>
                </c:pt>
                <c:pt idx="28">
                  <c:v>4.235549379143702</c:v>
                </c:pt>
                <c:pt idx="29">
                  <c:v>1.9370842878344405</c:v>
                </c:pt>
                <c:pt idx="30">
                  <c:v>-0.36536111377125674</c:v>
                </c:pt>
                <c:pt idx="31">
                  <c:v>-2.7223922834854557</c:v>
                </c:pt>
                <c:pt idx="32">
                  <c:v>-5.1829344968225897</c:v>
                </c:pt>
                <c:pt idx="33">
                  <c:v>-7.7939690792585035</c:v>
                </c:pt>
                <c:pt idx="34">
                  <c:v>-10.595548986424623</c:v>
                </c:pt>
                <c:pt idx="35">
                  <c:v>-13.612531189257769</c:v>
                </c:pt>
                <c:pt idx="36">
                  <c:v>-16.847781343629883</c:v>
                </c:pt>
                <c:pt idx="37">
                  <c:v>-20.282120728329481</c:v>
                </c:pt>
                <c:pt idx="38">
                  <c:v>-23.881652313493621</c:v>
                </c:pt>
                <c:pt idx="39">
                  <c:v>-27.607871872665367</c:v>
                </c:pt>
                <c:pt idx="40">
                  <c:v>-31.425510641731353</c:v>
                </c:pt>
              </c:numCache>
            </c:numRef>
          </c:yVal>
          <c:smooth val="1"/>
        </c:ser>
        <c:dLbls>
          <c:showLegendKey val="0"/>
          <c:showVal val="0"/>
          <c:showCatName val="0"/>
          <c:showSerName val="0"/>
          <c:showPercent val="0"/>
          <c:showBubbleSize val="0"/>
        </c:dLbls>
        <c:axId val="170208984"/>
        <c:axId val="170209376"/>
      </c:scatterChart>
      <c:valAx>
        <c:axId val="170208984"/>
        <c:scaling>
          <c:logBase val="10"/>
          <c:orientation val="minMax"/>
          <c:max val="1000000"/>
          <c:min val="100"/>
        </c:scaling>
        <c:delete val="0"/>
        <c:axPos val="b"/>
        <c:majorGridlines/>
        <c:minorGridlines/>
        <c:title>
          <c:tx>
            <c:rich>
              <a:bodyPr/>
              <a:lstStyle/>
              <a:p>
                <a:pPr>
                  <a:defRPr/>
                </a:pPr>
                <a:r>
                  <a:rPr lang="en-US" sz="1200">
                    <a:latin typeface="Times New Roman" pitchFamily="18" charset="0"/>
                    <a:cs typeface="Times New Roman" pitchFamily="18" charset="0"/>
                  </a:rPr>
                  <a:t>Frequency (kHz)</a:t>
                </a:r>
              </a:p>
            </c:rich>
          </c:tx>
          <c:layout/>
          <c:overlay val="0"/>
        </c:title>
        <c:numFmt formatCode="General" sourceLinked="0"/>
        <c:majorTickMark val="out"/>
        <c:minorTickMark val="none"/>
        <c:tickLblPos val="nextTo"/>
        <c:txPr>
          <a:bodyPr/>
          <a:lstStyle/>
          <a:p>
            <a:pPr>
              <a:defRPr>
                <a:latin typeface="Times New Roman" pitchFamily="18" charset="0"/>
                <a:cs typeface="Times New Roman" pitchFamily="18" charset="0"/>
              </a:defRPr>
            </a:pPr>
            <a:endParaRPr lang="en-US"/>
          </a:p>
        </c:txPr>
        <c:crossAx val="170209376"/>
        <c:crossesAt val="-40"/>
        <c:crossBetween val="midCat"/>
        <c:dispUnits>
          <c:builtInUnit val="thousands"/>
        </c:dispUnits>
      </c:valAx>
      <c:valAx>
        <c:axId val="170209376"/>
        <c:scaling>
          <c:orientation val="minMax"/>
          <c:max val="60"/>
          <c:min val="-40"/>
        </c:scaling>
        <c:delete val="0"/>
        <c:axPos val="l"/>
        <c:majorGridlines/>
        <c:title>
          <c:tx>
            <c:rich>
              <a:bodyPr rot="-5400000" vert="horz"/>
              <a:lstStyle/>
              <a:p>
                <a:pPr>
                  <a:defRPr sz="1200">
                    <a:latin typeface="Times New Roman" pitchFamily="18" charset="0"/>
                    <a:cs typeface="Times New Roman" pitchFamily="18" charset="0"/>
                  </a:defRPr>
                </a:pPr>
                <a:r>
                  <a:rPr lang="en-US" sz="1200">
                    <a:latin typeface="Times New Roman" pitchFamily="18" charset="0"/>
                    <a:cs typeface="Times New Roman" pitchFamily="18" charset="0"/>
                  </a:rPr>
                  <a:t>Magnitude (dB)</a:t>
                </a:r>
              </a:p>
            </c:rich>
          </c:tx>
          <c:layout/>
          <c:overlay val="0"/>
        </c:title>
        <c:numFmt formatCode="General" sourceLinked="0"/>
        <c:majorTickMark val="out"/>
        <c:minorTickMark val="none"/>
        <c:tickLblPos val="nextTo"/>
        <c:txPr>
          <a:bodyPr/>
          <a:lstStyle/>
          <a:p>
            <a:pPr>
              <a:defRPr>
                <a:latin typeface="Times New Roman" pitchFamily="18" charset="0"/>
                <a:cs typeface="Times New Roman" pitchFamily="18" charset="0"/>
              </a:defRPr>
            </a:pPr>
            <a:endParaRPr lang="en-US"/>
          </a:p>
        </c:txPr>
        <c:crossAx val="170208984"/>
        <c:crosses val="autoZero"/>
        <c:crossBetween val="midCat"/>
      </c:valAx>
      <c:spPr>
        <a:ln w="25400">
          <a:solidFill>
            <a:schemeClr val="tx1"/>
          </a:solid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System Loop Go Phase</a:t>
            </a:r>
          </a:p>
        </c:rich>
      </c:tx>
      <c:layout/>
      <c:overlay val="0"/>
    </c:title>
    <c:autoTitleDeleted val="0"/>
    <c:plotArea>
      <c:layout/>
      <c:scatterChart>
        <c:scatterStyle val="smoothMarker"/>
        <c:varyColors val="0"/>
        <c:ser>
          <c:idx val="0"/>
          <c:order val="0"/>
          <c:tx>
            <c:v>System Loop Phase</c:v>
          </c:tx>
          <c:marker>
            <c:symbol val="none"/>
          </c:marker>
          <c:xVal>
            <c:numRef>
              <c:f>Front!$B$109:$B$149</c:f>
              <c:numCache>
                <c:formatCode>0.00E+00</c:formatCode>
                <c:ptCount val="41"/>
                <c:pt idx="0">
                  <c:v>100</c:v>
                </c:pt>
                <c:pt idx="1">
                  <c:v>125.89254117941677</c:v>
                </c:pt>
                <c:pt idx="2">
                  <c:v>158.48931924611153</c:v>
                </c:pt>
                <c:pt idx="3">
                  <c:v>199.52623149688802</c:v>
                </c:pt>
                <c:pt idx="4">
                  <c:v>251.18864315095806</c:v>
                </c:pt>
                <c:pt idx="5">
                  <c:v>316.22776601683825</c:v>
                </c:pt>
                <c:pt idx="6">
                  <c:v>398.10717055349761</c:v>
                </c:pt>
                <c:pt idx="7">
                  <c:v>501.18723362727269</c:v>
                </c:pt>
                <c:pt idx="8">
                  <c:v>630.95734448019323</c:v>
                </c:pt>
                <c:pt idx="9">
                  <c:v>794.32823472428208</c:v>
                </c:pt>
                <c:pt idx="10">
                  <c:v>1000</c:v>
                </c:pt>
                <c:pt idx="11">
                  <c:v>1258.925411794168</c:v>
                </c:pt>
                <c:pt idx="12">
                  <c:v>1584.8931924611156</c:v>
                </c:pt>
                <c:pt idx="13">
                  <c:v>1995.2623149688804</c:v>
                </c:pt>
                <c:pt idx="14">
                  <c:v>2511.8864315095811</c:v>
                </c:pt>
                <c:pt idx="15">
                  <c:v>3162.2776601683804</c:v>
                </c:pt>
                <c:pt idx="16">
                  <c:v>3981.0717055349769</c:v>
                </c:pt>
                <c:pt idx="17">
                  <c:v>5011.8723362727324</c:v>
                </c:pt>
                <c:pt idx="18">
                  <c:v>6309.5734448019384</c:v>
                </c:pt>
                <c:pt idx="19">
                  <c:v>7943.2823472428154</c:v>
                </c:pt>
                <c:pt idx="20">
                  <c:v>10000</c:v>
                </c:pt>
                <c:pt idx="21">
                  <c:v>12589.254117941671</c:v>
                </c:pt>
                <c:pt idx="22">
                  <c:v>15848.931924611146</c:v>
                </c:pt>
                <c:pt idx="23">
                  <c:v>19952.623149688792</c:v>
                </c:pt>
                <c:pt idx="24">
                  <c:v>25118.86431509586</c:v>
                </c:pt>
                <c:pt idx="25">
                  <c:v>31622.77660168384</c:v>
                </c:pt>
                <c:pt idx="26">
                  <c:v>39810.717055349742</c:v>
                </c:pt>
                <c:pt idx="27">
                  <c:v>50118.723362727294</c:v>
                </c:pt>
                <c:pt idx="28">
                  <c:v>63095.734448019342</c:v>
                </c:pt>
                <c:pt idx="29">
                  <c:v>79432.823472428237</c:v>
                </c:pt>
                <c:pt idx="30">
                  <c:v>100000</c:v>
                </c:pt>
                <c:pt idx="31">
                  <c:v>125892.54117941685</c:v>
                </c:pt>
                <c:pt idx="32">
                  <c:v>158489.31924611164</c:v>
                </c:pt>
                <c:pt idx="33">
                  <c:v>199526.23149688813</c:v>
                </c:pt>
                <c:pt idx="34">
                  <c:v>251188.64315095844</c:v>
                </c:pt>
                <c:pt idx="35">
                  <c:v>316227.7660168382</c:v>
                </c:pt>
                <c:pt idx="36">
                  <c:v>398107.17055349716</c:v>
                </c:pt>
                <c:pt idx="37">
                  <c:v>501187.23362727347</c:v>
                </c:pt>
                <c:pt idx="38">
                  <c:v>630957.34448019415</c:v>
                </c:pt>
                <c:pt idx="39">
                  <c:v>794328.23472428333</c:v>
                </c:pt>
                <c:pt idx="40">
                  <c:v>1000000</c:v>
                </c:pt>
              </c:numCache>
            </c:numRef>
          </c:xVal>
          <c:yVal>
            <c:numRef>
              <c:f>Front!$M$109:$M$149</c:f>
              <c:numCache>
                <c:formatCode>General</c:formatCode>
                <c:ptCount val="41"/>
                <c:pt idx="0">
                  <c:v>-88.93707335330113</c:v>
                </c:pt>
                <c:pt idx="1">
                  <c:v>-88.661947919509629</c:v>
                </c:pt>
                <c:pt idx="2">
                  <c:v>-88.315678324646257</c:v>
                </c:pt>
                <c:pt idx="3">
                  <c:v>-87.879935819212108</c:v>
                </c:pt>
                <c:pt idx="4">
                  <c:v>-87.331737538363129</c:v>
                </c:pt>
                <c:pt idx="5">
                  <c:v>-86.642332272860443</c:v>
                </c:pt>
                <c:pt idx="6">
                  <c:v>-85.775887309668093</c:v>
                </c:pt>
                <c:pt idx="7">
                  <c:v>-84.688012191522546</c:v>
                </c:pt>
                <c:pt idx="8">
                  <c:v>-83.324247682175539</c:v>
                </c:pt>
                <c:pt idx="9">
                  <c:v>-81.6188394866941</c:v>
                </c:pt>
                <c:pt idx="10">
                  <c:v>-79.494490709145396</c:v>
                </c:pt>
                <c:pt idx="11">
                  <c:v>-76.864479799528112</c:v>
                </c:pt>
                <c:pt idx="12">
                  <c:v>-73.639722434093244</c:v>
                </c:pt>
                <c:pt idx="13">
                  <c:v>-69.745197277374373</c:v>
                </c:pt>
                <c:pt idx="14">
                  <c:v>-65.152570121706603</c:v>
                </c:pt>
                <c:pt idx="15">
                  <c:v>-59.938424731279675</c:v>
                </c:pt>
                <c:pt idx="16">
                  <c:v>-54.380870804747204</c:v>
                </c:pt>
                <c:pt idx="17">
                  <c:v>-49.119926910426464</c:v>
                </c:pt>
                <c:pt idx="18">
                  <c:v>-45.461467713322996</c:v>
                </c:pt>
                <c:pt idx="19">
                  <c:v>-46.05158699433138</c:v>
                </c:pt>
                <c:pt idx="20">
                  <c:v>-55.902435507001044</c:v>
                </c:pt>
                <c:pt idx="21">
                  <c:v>-77.994110081591302</c:v>
                </c:pt>
                <c:pt idx="22">
                  <c:v>-98.574691779585763</c:v>
                </c:pt>
                <c:pt idx="23">
                  <c:v>-107.98012930312188</c:v>
                </c:pt>
                <c:pt idx="24">
                  <c:v>-110.79132687677856</c:v>
                </c:pt>
                <c:pt idx="25">
                  <c:v>-111.11718780326592</c:v>
                </c:pt>
                <c:pt idx="26">
                  <c:v>-110.86531449401681</c:v>
                </c:pt>
                <c:pt idx="27">
                  <c:v>-110.88098220049783</c:v>
                </c:pt>
                <c:pt idx="28">
                  <c:v>-111.55271025834909</c:v>
                </c:pt>
                <c:pt idx="29">
                  <c:v>-113.06896004030133</c:v>
                </c:pt>
                <c:pt idx="30">
                  <c:v>-115.52295736613856</c:v>
                </c:pt>
                <c:pt idx="31">
                  <c:v>-118.94656324978696</c:v>
                </c:pt>
                <c:pt idx="32">
                  <c:v>-123.30697554518531</c:v>
                </c:pt>
                <c:pt idx="33">
                  <c:v>-128.485689984022</c:v>
                </c:pt>
                <c:pt idx="34">
                  <c:v>-134.26078977676156</c:v>
                </c:pt>
                <c:pt idx="35">
                  <c:v>-140.31832815656338</c:v>
                </c:pt>
                <c:pt idx="36">
                  <c:v>-146.30658986487217</c:v>
                </c:pt>
                <c:pt idx="37">
                  <c:v>-151.91392196387295</c:v>
                </c:pt>
                <c:pt idx="38">
                  <c:v>-156.92832550649135</c:v>
                </c:pt>
                <c:pt idx="39">
                  <c:v>-161.25275274569498</c:v>
                </c:pt>
                <c:pt idx="40">
                  <c:v>-164.88345803897388</c:v>
                </c:pt>
              </c:numCache>
            </c:numRef>
          </c:yVal>
          <c:smooth val="1"/>
        </c:ser>
        <c:dLbls>
          <c:showLegendKey val="0"/>
          <c:showVal val="0"/>
          <c:showCatName val="0"/>
          <c:showSerName val="0"/>
          <c:showPercent val="0"/>
          <c:showBubbleSize val="0"/>
        </c:dLbls>
        <c:axId val="170210160"/>
        <c:axId val="170210552"/>
      </c:scatterChart>
      <c:valAx>
        <c:axId val="170210160"/>
        <c:scaling>
          <c:logBase val="10"/>
          <c:orientation val="minMax"/>
          <c:max val="1000000"/>
          <c:min val="100"/>
        </c:scaling>
        <c:delete val="0"/>
        <c:axPos val="b"/>
        <c:majorGridlines/>
        <c:minorGridlines/>
        <c:title>
          <c:tx>
            <c:rich>
              <a:bodyPr/>
              <a:lstStyle/>
              <a:p>
                <a:pPr>
                  <a:defRPr/>
                </a:pPr>
                <a:r>
                  <a:rPr lang="en-US" sz="1200"/>
                  <a:t>Frequency (kHz)</a:t>
                </a:r>
              </a:p>
            </c:rich>
          </c:tx>
          <c:layout/>
          <c:overlay val="0"/>
        </c:title>
        <c:numFmt formatCode="General" sourceLinked="0"/>
        <c:majorTickMark val="out"/>
        <c:minorTickMark val="none"/>
        <c:tickLblPos val="nextTo"/>
        <c:txPr>
          <a:bodyPr/>
          <a:lstStyle/>
          <a:p>
            <a:pPr>
              <a:defRPr>
                <a:latin typeface="Times New Roman" pitchFamily="18" charset="0"/>
                <a:cs typeface="Times New Roman" pitchFamily="18" charset="0"/>
              </a:defRPr>
            </a:pPr>
            <a:endParaRPr lang="en-US"/>
          </a:p>
        </c:txPr>
        <c:crossAx val="170210552"/>
        <c:crossesAt val="-180"/>
        <c:crossBetween val="midCat"/>
        <c:dispUnits>
          <c:builtInUnit val="thousands"/>
        </c:dispUnits>
      </c:valAx>
      <c:valAx>
        <c:axId val="170210552"/>
        <c:scaling>
          <c:orientation val="minMax"/>
          <c:max val="0"/>
          <c:min val="-180"/>
        </c:scaling>
        <c:delete val="0"/>
        <c:axPos val="l"/>
        <c:majorGridlines/>
        <c:title>
          <c:tx>
            <c:rich>
              <a:bodyPr rot="-5400000" vert="horz"/>
              <a:lstStyle/>
              <a:p>
                <a:pPr>
                  <a:defRPr sz="1200"/>
                </a:pPr>
                <a:r>
                  <a:rPr lang="en-US" sz="1200"/>
                  <a:t>Phase (deg)</a:t>
                </a:r>
              </a:p>
            </c:rich>
          </c:tx>
          <c:layout/>
          <c:overlay val="0"/>
        </c:title>
        <c:numFmt formatCode="General" sourceLinked="1"/>
        <c:majorTickMark val="out"/>
        <c:minorTickMark val="none"/>
        <c:tickLblPos val="nextTo"/>
        <c:crossAx val="170210160"/>
        <c:crosses val="autoZero"/>
        <c:crossBetween val="midCat"/>
      </c:valAx>
      <c:spPr>
        <a:noFill/>
        <a:ln w="25400">
          <a:solidFill>
            <a:sysClr val="windowText" lastClr="000000"/>
          </a:solidFill>
        </a:ln>
      </c:spPr>
    </c:plotArea>
    <c:plotVisOnly val="1"/>
    <c:dispBlanksAs val="gap"/>
    <c:showDLblsOverMax val="0"/>
  </c:chart>
  <c:txPr>
    <a:bodyPr/>
    <a:lstStyle/>
    <a:p>
      <a:pPr>
        <a:defRPr>
          <a:latin typeface="Times New Roman" pitchFamily="18" charset="0"/>
          <a:cs typeface="Times New Roman" pitchFamily="18" charset="0"/>
        </a:defRPr>
      </a:pPr>
      <a:endParaRPr lang="en-U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1</xdr:colOff>
      <xdr:row>106</xdr:row>
      <xdr:rowOff>581025</xdr:rowOff>
    </xdr:from>
    <xdr:to>
      <xdr:col>21</xdr:col>
      <xdr:colOff>304800</xdr:colOff>
      <xdr:row>121</xdr:row>
      <xdr:rowOff>74519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600075</xdr:colOff>
      <xdr:row>121</xdr:row>
      <xdr:rowOff>103094</xdr:rowOff>
    </xdr:from>
    <xdr:to>
      <xdr:col>21</xdr:col>
      <xdr:colOff>295275</xdr:colOff>
      <xdr:row>135</xdr:row>
      <xdr:rowOff>179294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476250</xdr:colOff>
      <xdr:row>106</xdr:row>
      <xdr:rowOff>571500</xdr:rowOff>
    </xdr:from>
    <xdr:to>
      <xdr:col>29</xdr:col>
      <xdr:colOff>171451</xdr:colOff>
      <xdr:row>121</xdr:row>
      <xdr:rowOff>64994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470646</xdr:colOff>
      <xdr:row>121</xdr:row>
      <xdr:rowOff>112619</xdr:rowOff>
    </xdr:from>
    <xdr:to>
      <xdr:col>29</xdr:col>
      <xdr:colOff>152400</xdr:colOff>
      <xdr:row>135</xdr:row>
      <xdr:rowOff>188819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107</xdr:row>
      <xdr:rowOff>0</xdr:rowOff>
    </xdr:from>
    <xdr:to>
      <xdr:col>12</xdr:col>
      <xdr:colOff>605116</xdr:colOff>
      <xdr:row>133</xdr:row>
      <xdr:rowOff>188819</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9524</xdr:rowOff>
    </xdr:from>
    <xdr:to>
      <xdr:col>13</xdr:col>
      <xdr:colOff>0</xdr:colOff>
      <xdr:row>161</xdr:row>
      <xdr:rowOff>9526</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22413</xdr:colOff>
      <xdr:row>0</xdr:row>
      <xdr:rowOff>33617</xdr:rowOff>
    </xdr:from>
    <xdr:to>
      <xdr:col>2</xdr:col>
      <xdr:colOff>1122</xdr:colOff>
      <xdr:row>5</xdr:row>
      <xdr:rowOff>605117</xdr:rowOff>
    </xdr:to>
    <xdr:pic>
      <xdr:nvPicPr>
        <xdr:cNvPr id="16" name="Picture 15" descr="on_logo_jpg.bmp"/>
        <xdr:cNvPicPr>
          <a:picLocks noChangeAspect="1"/>
        </xdr:cNvPicPr>
      </xdr:nvPicPr>
      <xdr:blipFill>
        <a:blip xmlns:r="http://schemas.openxmlformats.org/officeDocument/2006/relationships" r:embed="rId7" cstate="print"/>
        <a:stretch>
          <a:fillRect/>
        </a:stretch>
      </xdr:blipFill>
      <xdr:spPr>
        <a:xfrm>
          <a:off x="22413" y="33617"/>
          <a:ext cx="1524000" cy="1524000"/>
        </a:xfrm>
        <a:prstGeom prst="rect">
          <a:avLst/>
        </a:prstGeom>
      </xdr:spPr>
    </xdr:pic>
    <xdr:clientData/>
  </xdr:twoCellAnchor>
  <xdr:twoCellAnchor>
    <xdr:from>
      <xdr:col>2</xdr:col>
      <xdr:colOff>392206</xdr:colOff>
      <xdr:row>0</xdr:row>
      <xdr:rowOff>0</xdr:rowOff>
    </xdr:from>
    <xdr:to>
      <xdr:col>12</xdr:col>
      <xdr:colOff>11206</xdr:colOff>
      <xdr:row>6</xdr:row>
      <xdr:rowOff>0</xdr:rowOff>
    </xdr:to>
    <xdr:sp macro="" textlink="">
      <xdr:nvSpPr>
        <xdr:cNvPr id="17" name="TextBox 16"/>
        <xdr:cNvSpPr txBox="1"/>
      </xdr:nvSpPr>
      <xdr:spPr>
        <a:xfrm>
          <a:off x="1613647" y="0"/>
          <a:ext cx="5423647" cy="1748118"/>
        </a:xfrm>
        <a:prstGeom prst="rect">
          <a:avLst/>
        </a:prstGeom>
        <a:solidFill>
          <a:srgbClr val="00FF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100"/>
        </a:p>
        <a:p>
          <a:pPr algn="ctr"/>
          <a:endParaRPr lang="en-US" sz="1100"/>
        </a:p>
        <a:p>
          <a:pPr algn="ctr"/>
          <a:endParaRPr lang="en-US" sz="1100"/>
        </a:p>
        <a:p>
          <a:pPr algn="ctr"/>
          <a:endParaRPr lang="en-US" sz="1100"/>
        </a:p>
        <a:p>
          <a:pPr algn="ctr"/>
          <a:r>
            <a:rPr lang="en-US" sz="2400" b="1">
              <a:latin typeface="Times New Roman" pitchFamily="18" charset="0"/>
              <a:cs typeface="Times New Roman" pitchFamily="18" charset="0"/>
            </a:rPr>
            <a:t>NCP3231 Design Aid Version 1</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78</xdr:row>
          <xdr:rowOff>0</xdr:rowOff>
        </xdr:from>
        <xdr:to>
          <xdr:col>8</xdr:col>
          <xdr:colOff>628650</xdr:colOff>
          <xdr:row>90</xdr:row>
          <xdr:rowOff>57150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70"/>
  <sheetViews>
    <sheetView tabSelected="1" topLeftCell="A61" zoomScaleNormal="100" workbookViewId="0">
      <selection activeCell="L82" sqref="L82"/>
    </sheetView>
  </sheetViews>
  <sheetFormatPr defaultRowHeight="15" x14ac:dyDescent="0.25"/>
  <cols>
    <col min="2" max="2" width="14.140625" customWidth="1"/>
    <col min="3" max="3" width="9.85546875" customWidth="1"/>
    <col min="4" max="4" width="10.85546875" customWidth="1"/>
    <col min="5" max="5" width="10.28515625" customWidth="1"/>
    <col min="6" max="6" width="10.140625" customWidth="1"/>
    <col min="9" max="9" width="9.5703125" customWidth="1"/>
    <col min="11" max="11" width="9.140625" style="14"/>
  </cols>
  <sheetData>
    <row r="2" spans="1:13" ht="15" customHeight="1" x14ac:dyDescent="0.25">
      <c r="A2" s="41"/>
      <c r="B2" s="41"/>
      <c r="C2" s="41"/>
      <c r="D2" s="41"/>
      <c r="E2" s="41"/>
      <c r="F2" s="41"/>
      <c r="G2" s="41"/>
      <c r="H2" s="41"/>
      <c r="I2" s="41"/>
      <c r="J2" s="41"/>
      <c r="K2" s="15"/>
    </row>
    <row r="3" spans="1:13" x14ac:dyDescent="0.25">
      <c r="A3" s="41"/>
      <c r="B3" s="41"/>
      <c r="C3" s="41"/>
      <c r="D3" s="41"/>
      <c r="E3" s="41"/>
      <c r="F3" s="41"/>
      <c r="G3" s="41"/>
      <c r="H3" s="41"/>
      <c r="I3" s="41"/>
      <c r="J3" s="41"/>
      <c r="K3" s="15"/>
    </row>
    <row r="4" spans="1:13" x14ac:dyDescent="0.25">
      <c r="A4" s="42"/>
      <c r="B4" s="42"/>
      <c r="C4" s="42"/>
      <c r="D4" s="42"/>
      <c r="E4" s="42"/>
      <c r="F4" s="42"/>
      <c r="G4" s="42"/>
      <c r="H4" s="42"/>
      <c r="I4" s="42"/>
      <c r="J4" s="42"/>
    </row>
    <row r="6" spans="1:13" ht="63" customHeight="1" x14ac:dyDescent="0.25">
      <c r="M6" s="16"/>
    </row>
    <row r="7" spans="1:13" ht="15.75" x14ac:dyDescent="0.25">
      <c r="B7" s="11"/>
      <c r="C7" s="5" t="s">
        <v>1</v>
      </c>
      <c r="D7" s="5"/>
    </row>
    <row r="8" spans="1:13" ht="15.75" x14ac:dyDescent="0.25">
      <c r="B8" s="1"/>
      <c r="C8" s="5" t="s">
        <v>0</v>
      </c>
      <c r="D8" s="5"/>
    </row>
    <row r="9" spans="1:13" ht="15.75" x14ac:dyDescent="0.25">
      <c r="B9" s="2"/>
      <c r="C9" s="5" t="s">
        <v>38</v>
      </c>
      <c r="D9" s="5"/>
    </row>
    <row r="10" spans="1:13" s="27" customFormat="1" ht="15.75" x14ac:dyDescent="0.25">
      <c r="B10" s="5"/>
      <c r="C10" s="5"/>
      <c r="D10" s="5"/>
    </row>
    <row r="11" spans="1:13" s="27" customFormat="1" ht="15" customHeight="1" x14ac:dyDescent="0.25">
      <c r="A11" s="39" t="s">
        <v>54</v>
      </c>
      <c r="B11" s="40"/>
      <c r="C11" s="40"/>
      <c r="D11" s="40"/>
      <c r="E11" s="40"/>
      <c r="F11" s="40"/>
      <c r="G11" s="40"/>
      <c r="H11" s="40"/>
      <c r="I11" s="40"/>
      <c r="J11" s="40"/>
      <c r="K11" s="26"/>
    </row>
    <row r="12" spans="1:13" s="27" customFormat="1" ht="18.75" customHeight="1" x14ac:dyDescent="0.25">
      <c r="A12" s="40"/>
      <c r="B12" s="40"/>
      <c r="C12" s="40"/>
      <c r="D12" s="40"/>
      <c r="E12" s="40"/>
      <c r="F12" s="40"/>
      <c r="G12" s="40"/>
      <c r="H12" s="40"/>
      <c r="I12" s="40"/>
      <c r="J12" s="40"/>
      <c r="K12" s="26"/>
    </row>
    <row r="13" spans="1:13" s="27" customFormat="1" ht="15" customHeight="1" x14ac:dyDescent="0.3">
      <c r="A13" s="39"/>
      <c r="B13" s="40"/>
      <c r="C13" s="40"/>
      <c r="D13" s="40"/>
      <c r="E13" s="40"/>
      <c r="F13" s="40"/>
      <c r="G13" s="40"/>
      <c r="H13" s="40"/>
      <c r="I13" s="40"/>
      <c r="J13" s="40"/>
      <c r="K13" s="26"/>
    </row>
    <row r="14" spans="1:13" ht="15.75" x14ac:dyDescent="0.25">
      <c r="A14" s="5" t="s">
        <v>2</v>
      </c>
      <c r="B14" s="5"/>
      <c r="C14" s="5"/>
      <c r="D14" s="1">
        <v>12</v>
      </c>
      <c r="E14" s="12" t="s">
        <v>10</v>
      </c>
    </row>
    <row r="15" spans="1:13" s="22" customFormat="1" ht="15.75" x14ac:dyDescent="0.25">
      <c r="A15" s="5" t="s">
        <v>50</v>
      </c>
      <c r="B15" s="5"/>
      <c r="C15" s="25" t="s">
        <v>51</v>
      </c>
      <c r="D15" s="1">
        <v>0.5</v>
      </c>
      <c r="E15" s="24" t="s">
        <v>44</v>
      </c>
    </row>
    <row r="16" spans="1:13" s="27" customFormat="1" ht="15.75" x14ac:dyDescent="0.25">
      <c r="A16" s="5"/>
      <c r="B16" s="5"/>
      <c r="C16" s="25"/>
      <c r="E16" s="24"/>
    </row>
    <row r="17" spans="1:11" ht="15.75" x14ac:dyDescent="0.25">
      <c r="A17" s="5" t="s">
        <v>3</v>
      </c>
      <c r="B17" s="5"/>
      <c r="C17" s="5"/>
      <c r="D17" s="1">
        <v>0.8</v>
      </c>
      <c r="E17" s="12" t="s">
        <v>10</v>
      </c>
      <c r="J17" s="22"/>
    </row>
    <row r="18" spans="1:11" s="22" customFormat="1" ht="15.75" x14ac:dyDescent="0.25">
      <c r="A18" s="5" t="s">
        <v>52</v>
      </c>
      <c r="B18" s="5"/>
      <c r="C18" s="25" t="s">
        <v>51</v>
      </c>
      <c r="D18" s="1">
        <v>3</v>
      </c>
      <c r="E18" s="24" t="s">
        <v>44</v>
      </c>
    </row>
    <row r="19" spans="1:11" s="27" customFormat="1" ht="15.75" x14ac:dyDescent="0.25">
      <c r="A19" s="31" t="s">
        <v>72</v>
      </c>
      <c r="B19" s="5"/>
      <c r="C19" s="25" t="s">
        <v>51</v>
      </c>
      <c r="D19" s="1">
        <v>10</v>
      </c>
      <c r="E19" s="24" t="s">
        <v>44</v>
      </c>
    </row>
    <row r="20" spans="1:11" ht="15.75" x14ac:dyDescent="0.25">
      <c r="A20" s="5" t="s">
        <v>58</v>
      </c>
      <c r="B20" s="5"/>
      <c r="C20" s="5"/>
      <c r="D20" s="1">
        <v>20</v>
      </c>
      <c r="E20" s="12" t="s">
        <v>11</v>
      </c>
    </row>
    <row r="21" spans="1:11" ht="15.75" x14ac:dyDescent="0.25">
      <c r="A21" s="5" t="s">
        <v>57</v>
      </c>
      <c r="D21" s="1">
        <v>1</v>
      </c>
      <c r="E21" s="29" t="s">
        <v>55</v>
      </c>
    </row>
    <row r="22" spans="1:11" ht="15.75" x14ac:dyDescent="0.25">
      <c r="A22" s="5" t="s">
        <v>56</v>
      </c>
      <c r="D22" s="1">
        <v>100</v>
      </c>
      <c r="F22" s="29" t="s">
        <v>59</v>
      </c>
    </row>
    <row r="23" spans="1:11" s="27" customFormat="1" ht="15.75" x14ac:dyDescent="0.25">
      <c r="A23" s="5"/>
      <c r="F23" s="29"/>
    </row>
    <row r="24" spans="1:11" ht="15.75" x14ac:dyDescent="0.25">
      <c r="A24" s="5" t="s">
        <v>80</v>
      </c>
      <c r="B24" s="5"/>
      <c r="C24" s="5"/>
      <c r="D24" s="1">
        <v>500</v>
      </c>
      <c r="E24" s="12" t="s">
        <v>60</v>
      </c>
      <c r="F24" s="5"/>
    </row>
    <row r="25" spans="1:11" ht="15" customHeight="1" x14ac:dyDescent="0.25">
      <c r="A25" s="39" t="s">
        <v>15</v>
      </c>
      <c r="B25" s="40"/>
      <c r="C25" s="40"/>
      <c r="D25" s="40"/>
      <c r="E25" s="40"/>
      <c r="F25" s="40"/>
      <c r="G25" s="40"/>
      <c r="H25" s="40"/>
      <c r="I25" s="40"/>
      <c r="J25" s="40"/>
      <c r="K25" s="13"/>
    </row>
    <row r="26" spans="1:11" ht="18.75" customHeight="1" x14ac:dyDescent="0.25">
      <c r="A26" s="40"/>
      <c r="B26" s="40"/>
      <c r="C26" s="40"/>
      <c r="D26" s="40"/>
      <c r="E26" s="40"/>
      <c r="F26" s="40"/>
      <c r="G26" s="40"/>
      <c r="H26" s="40"/>
      <c r="I26" s="40"/>
      <c r="J26" s="40"/>
      <c r="K26" s="13"/>
    </row>
    <row r="27" spans="1:11" ht="15" customHeight="1" x14ac:dyDescent="0.3">
      <c r="A27" s="39"/>
      <c r="B27" s="40"/>
      <c r="C27" s="40"/>
      <c r="D27" s="40"/>
      <c r="E27" s="40"/>
      <c r="F27" s="40"/>
      <c r="G27" s="40"/>
      <c r="H27" s="40"/>
      <c r="I27" s="40"/>
      <c r="J27" s="40"/>
      <c r="K27" s="13"/>
    </row>
    <row r="28" spans="1:11" ht="15.75" x14ac:dyDescent="0.25">
      <c r="A28" s="5" t="s">
        <v>4</v>
      </c>
      <c r="B28" s="5"/>
      <c r="C28" s="5"/>
      <c r="D28" s="33">
        <f>D17*(1-D17/D14/(1+D15/100))/(D20*0.3*D24*1000)</f>
        <v>2.4897733554449974E-7</v>
      </c>
      <c r="E28" s="12" t="s">
        <v>12</v>
      </c>
      <c r="F28" s="5"/>
    </row>
    <row r="29" spans="1:11" s="22" customFormat="1" ht="15.75" x14ac:dyDescent="0.25">
      <c r="A29" s="5" t="s">
        <v>4</v>
      </c>
      <c r="B29" s="5"/>
      <c r="C29" s="5"/>
      <c r="D29" s="4">
        <v>3.3000000000000002E-7</v>
      </c>
      <c r="E29" s="30" t="s">
        <v>12</v>
      </c>
      <c r="F29" s="5"/>
      <c r="J29" s="23"/>
    </row>
    <row r="30" spans="1:11" ht="15.75" x14ac:dyDescent="0.25">
      <c r="A30" s="5" t="s">
        <v>5</v>
      </c>
      <c r="B30" s="5"/>
      <c r="C30" s="5"/>
      <c r="D30" s="1">
        <v>1E-3</v>
      </c>
      <c r="E30" s="12" t="s">
        <v>13</v>
      </c>
      <c r="F30" s="5"/>
    </row>
    <row r="31" spans="1:11" ht="15.75" x14ac:dyDescent="0.25">
      <c r="A31" s="5" t="s">
        <v>16</v>
      </c>
      <c r="B31" s="5"/>
      <c r="C31" s="5"/>
      <c r="D31" s="36">
        <f>($D$14-$D$17)*$D$17/$D$14/$D$24/$D$29/1000</f>
        <v>4.5252525252525251</v>
      </c>
      <c r="E31" s="5" t="s">
        <v>11</v>
      </c>
      <c r="F31" s="5"/>
      <c r="G31" s="5"/>
    </row>
    <row r="32" spans="1:11" s="17" customFormat="1" ht="15.75" x14ac:dyDescent="0.25">
      <c r="A32" s="5" t="s">
        <v>43</v>
      </c>
      <c r="B32" s="5"/>
      <c r="C32" s="5"/>
      <c r="D32" s="38">
        <f>$D$31/$D$20*100</f>
        <v>22.626262626262626</v>
      </c>
      <c r="E32" s="5" t="s">
        <v>44</v>
      </c>
      <c r="F32" s="5" t="s">
        <v>45</v>
      </c>
      <c r="G32" s="5"/>
    </row>
    <row r="33" spans="1:7" s="27" customFormat="1" ht="15.75" x14ac:dyDescent="0.25">
      <c r="A33" s="5" t="s">
        <v>66</v>
      </c>
      <c r="B33" s="5"/>
      <c r="C33" s="5"/>
      <c r="D33" s="38">
        <f>D32*(1+D15/100)</f>
        <v>22.739393939393938</v>
      </c>
      <c r="E33" s="5" t="s">
        <v>44</v>
      </c>
      <c r="F33" s="5"/>
      <c r="G33" s="5"/>
    </row>
    <row r="34" spans="1:7" s="27" customFormat="1" ht="15.75" x14ac:dyDescent="0.25">
      <c r="A34" s="5"/>
      <c r="B34" s="5"/>
      <c r="C34" s="5"/>
      <c r="D34" s="5"/>
      <c r="E34" s="5"/>
      <c r="F34" s="5"/>
      <c r="G34" s="5"/>
    </row>
    <row r="35" spans="1:7" s="27" customFormat="1" ht="15.75" x14ac:dyDescent="0.25">
      <c r="A35" s="5" t="s">
        <v>61</v>
      </c>
      <c r="B35" s="5"/>
      <c r="C35" s="5"/>
      <c r="D35" s="33">
        <f>D20*(1-D17/D14/(1+D15/100))*D17/D14/(1+D15/100)/(D24*1000*(D14*2*D15/100-D37/D39*D20*(1+0.5*D33/100)))</f>
        <v>3.2833887020400553E-5</v>
      </c>
      <c r="E35" s="12" t="s">
        <v>14</v>
      </c>
      <c r="F35" s="5"/>
      <c r="G35" s="5"/>
    </row>
    <row r="36" spans="1:7" s="27" customFormat="1" ht="15.75" x14ac:dyDescent="0.25">
      <c r="A36" s="5" t="s">
        <v>62</v>
      </c>
      <c r="B36" s="5"/>
      <c r="C36" s="5"/>
      <c r="D36" s="4">
        <v>1.0000000000000001E-5</v>
      </c>
      <c r="E36" s="12" t="s">
        <v>14</v>
      </c>
      <c r="F36" s="27" t="s">
        <v>67</v>
      </c>
      <c r="G36" s="5"/>
    </row>
    <row r="37" spans="1:7" s="27" customFormat="1" ht="15.75" x14ac:dyDescent="0.25">
      <c r="A37" s="5" t="s">
        <v>63</v>
      </c>
      <c r="B37" s="5"/>
      <c r="C37" s="5"/>
      <c r="D37" s="1">
        <v>0.01</v>
      </c>
      <c r="E37" s="12" t="s">
        <v>13</v>
      </c>
      <c r="F37" s="27" t="s">
        <v>68</v>
      </c>
      <c r="G37" s="5"/>
    </row>
    <row r="38" spans="1:7" s="27" customFormat="1" ht="15.75" x14ac:dyDescent="0.25">
      <c r="A38" s="5" t="s">
        <v>64</v>
      </c>
      <c r="B38" s="5"/>
      <c r="C38" s="5"/>
      <c r="D38" s="1">
        <v>1.0000000000000001E-9</v>
      </c>
      <c r="E38" s="12" t="s">
        <v>12</v>
      </c>
      <c r="G38" s="5"/>
    </row>
    <row r="39" spans="1:7" s="27" customFormat="1" ht="15.75" x14ac:dyDescent="0.25">
      <c r="A39" s="5" t="s">
        <v>65</v>
      </c>
      <c r="B39" s="5"/>
      <c r="C39" s="5"/>
      <c r="D39" s="1">
        <v>5</v>
      </c>
      <c r="E39" s="30" t="s">
        <v>71</v>
      </c>
      <c r="G39" s="5"/>
    </row>
    <row r="40" spans="1:7" s="27" customFormat="1" ht="15.75" x14ac:dyDescent="0.25">
      <c r="A40" s="5" t="s">
        <v>61</v>
      </c>
      <c r="B40" s="5"/>
      <c r="C40" s="5"/>
      <c r="D40" s="36">
        <f>D39*D36</f>
        <v>5.0000000000000002E-5</v>
      </c>
      <c r="E40" s="12" t="s">
        <v>14</v>
      </c>
      <c r="F40" s="5"/>
      <c r="G40" s="5"/>
    </row>
    <row r="41" spans="1:7" s="27" customFormat="1" ht="15.75" x14ac:dyDescent="0.25">
      <c r="A41" s="5"/>
      <c r="B41" s="5"/>
      <c r="C41" s="5"/>
      <c r="G41" s="5"/>
    </row>
    <row r="42" spans="1:7" s="27" customFormat="1" ht="15.75" x14ac:dyDescent="0.25">
      <c r="A42" s="5" t="s">
        <v>53</v>
      </c>
      <c r="B42" s="5"/>
      <c r="C42" s="5"/>
      <c r="D42" s="33">
        <f>MAX(D33/100*D20/($D$24*1000)/8/(2*D17*D18/100-$D$31*$D$44/$D$46),MIN(3*D20*(D22/100),3*(D21*3/D24*1000))/(D24*1000*D17*(D19/100)),D29*D20^2/2/D17/(D17*(D19/100)))</f>
        <v>1.0312499999999998E-3</v>
      </c>
      <c r="E42" s="12" t="s">
        <v>14</v>
      </c>
      <c r="F42" s="5"/>
      <c r="G42" s="5"/>
    </row>
    <row r="43" spans="1:7" s="27" customFormat="1" ht="15.75" x14ac:dyDescent="0.25">
      <c r="A43" s="5" t="s">
        <v>6</v>
      </c>
      <c r="B43" s="5"/>
      <c r="C43" s="5"/>
      <c r="D43" s="4">
        <v>1E-4</v>
      </c>
      <c r="E43" s="12" t="s">
        <v>14</v>
      </c>
      <c r="F43" s="27" t="s">
        <v>39</v>
      </c>
      <c r="G43" s="5"/>
    </row>
    <row r="44" spans="1:7" s="27" customFormat="1" ht="15.75" x14ac:dyDescent="0.25">
      <c r="A44" s="5" t="s">
        <v>7</v>
      </c>
      <c r="B44" s="5"/>
      <c r="C44" s="5"/>
      <c r="D44" s="1">
        <v>0.01</v>
      </c>
      <c r="E44" s="12" t="s">
        <v>13</v>
      </c>
      <c r="F44" s="27" t="s">
        <v>68</v>
      </c>
      <c r="G44" s="5"/>
    </row>
    <row r="45" spans="1:7" s="27" customFormat="1" ht="15.75" x14ac:dyDescent="0.25">
      <c r="A45" s="5" t="s">
        <v>8</v>
      </c>
      <c r="B45" s="5"/>
      <c r="C45" s="5"/>
      <c r="D45" s="1">
        <v>1.0000000000000001E-9</v>
      </c>
      <c r="E45" s="12" t="s">
        <v>12</v>
      </c>
      <c r="F45"/>
      <c r="G45" s="5"/>
    </row>
    <row r="46" spans="1:7" s="27" customFormat="1" ht="15.75" x14ac:dyDescent="0.25">
      <c r="A46" s="5" t="s">
        <v>9</v>
      </c>
      <c r="B46" s="5"/>
      <c r="C46" s="5"/>
      <c r="D46" s="1">
        <v>5</v>
      </c>
      <c r="E46" s="30" t="s">
        <v>71</v>
      </c>
      <c r="F46"/>
      <c r="G46" s="5"/>
    </row>
    <row r="47" spans="1:7" s="27" customFormat="1" ht="15.75" x14ac:dyDescent="0.25">
      <c r="A47" s="5" t="s">
        <v>53</v>
      </c>
      <c r="B47" s="5"/>
      <c r="C47" s="5"/>
      <c r="D47" s="36">
        <f>D43*D46</f>
        <v>5.0000000000000001E-4</v>
      </c>
      <c r="E47" s="12" t="s">
        <v>14</v>
      </c>
      <c r="F47" s="5"/>
      <c r="G47" s="5"/>
    </row>
    <row r="48" spans="1:7" s="28" customFormat="1" ht="15.75" x14ac:dyDescent="0.25">
      <c r="A48" s="5" t="s">
        <v>75</v>
      </c>
      <c r="B48" s="5"/>
      <c r="C48" s="5"/>
      <c r="D48" s="38">
        <f>D44/D46</f>
        <v>2E-3</v>
      </c>
      <c r="E48" s="12" t="s">
        <v>13</v>
      </c>
      <c r="G48" s="5"/>
    </row>
    <row r="49" spans="1:11" s="28" customFormat="1" ht="15.75" x14ac:dyDescent="0.25">
      <c r="A49" s="5" t="s">
        <v>76</v>
      </c>
      <c r="B49" s="5"/>
      <c r="C49" s="5"/>
      <c r="D49" s="38">
        <f>D45/D46</f>
        <v>2.0000000000000001E-10</v>
      </c>
      <c r="E49" s="12" t="s">
        <v>12</v>
      </c>
      <c r="G49" s="5"/>
    </row>
    <row r="50" spans="1:11" s="27" customFormat="1" ht="15.75" x14ac:dyDescent="0.25">
      <c r="A50" s="5"/>
      <c r="B50" s="5"/>
      <c r="C50" s="5"/>
      <c r="D50" s="12"/>
      <c r="E50" s="12"/>
      <c r="F50" s="5"/>
      <c r="G50" s="5"/>
    </row>
    <row r="51" spans="1:11" ht="15.75" x14ac:dyDescent="0.25">
      <c r="A51" s="5" t="s">
        <v>17</v>
      </c>
      <c r="B51" s="5"/>
      <c r="C51" s="5"/>
      <c r="D51" s="36">
        <f>$D$31/($D$46*$D$43)/($D$24*1000)/8+$D$31*$D$44/$D$46</f>
        <v>1.1313131313131313E-2</v>
      </c>
      <c r="E51" s="5" t="s">
        <v>10</v>
      </c>
      <c r="F51" s="5"/>
      <c r="G51" s="5"/>
    </row>
    <row r="52" spans="1:11" s="22" customFormat="1" ht="15.75" x14ac:dyDescent="0.25">
      <c r="A52" s="5"/>
      <c r="B52" s="5"/>
      <c r="C52" s="25" t="s">
        <v>51</v>
      </c>
      <c r="D52" s="38">
        <f>D51/D17*100/2</f>
        <v>0.70707070707070707</v>
      </c>
      <c r="E52" s="5" t="s">
        <v>44</v>
      </c>
      <c r="F52" s="5"/>
      <c r="G52" s="5"/>
    </row>
    <row r="53" spans="1:11" s="22" customFormat="1" ht="15.75" x14ac:dyDescent="0.25">
      <c r="A53" s="5"/>
      <c r="B53" s="5"/>
      <c r="C53" s="5"/>
      <c r="D53" s="5"/>
      <c r="E53" s="5"/>
      <c r="F53" s="5"/>
      <c r="G53" s="5"/>
    </row>
    <row r="54" spans="1:11" s="22" customFormat="1" ht="15.75" x14ac:dyDescent="0.25">
      <c r="A54" s="5" t="s">
        <v>69</v>
      </c>
      <c r="B54" s="5"/>
      <c r="C54" s="5"/>
      <c r="D54" s="36">
        <f>3*MIN(3*D21/D24*10^3,D22/100*D20)/(D24*1000)/D43/D46</f>
        <v>7.1999999999999995E-2</v>
      </c>
      <c r="E54" s="5" t="s">
        <v>10</v>
      </c>
      <c r="F54" s="5"/>
      <c r="G54" s="5"/>
    </row>
    <row r="55" spans="1:11" s="22" customFormat="1" ht="15.75" x14ac:dyDescent="0.25">
      <c r="A55" s="5"/>
      <c r="B55" s="5"/>
      <c r="C55" s="25" t="s">
        <v>51</v>
      </c>
      <c r="D55" s="38">
        <f>D54/D17*100</f>
        <v>8.9999999999999982</v>
      </c>
      <c r="E55" s="5" t="s">
        <v>44</v>
      </c>
      <c r="F55" s="5"/>
      <c r="G55" s="5"/>
    </row>
    <row r="56" spans="1:11" s="22" customFormat="1" ht="15.75" x14ac:dyDescent="0.25">
      <c r="A56" s="5"/>
      <c r="B56" s="5"/>
      <c r="C56" s="5"/>
      <c r="D56" s="5"/>
      <c r="E56" s="5"/>
      <c r="F56" s="5"/>
      <c r="G56" s="5"/>
    </row>
    <row r="57" spans="1:11" ht="15.75" x14ac:dyDescent="0.25">
      <c r="A57" s="5" t="s">
        <v>70</v>
      </c>
      <c r="D57" s="36">
        <f>D29*D20^2/2/D17/D43/D46</f>
        <v>0.16499999999999998</v>
      </c>
      <c r="E57" s="5" t="s">
        <v>10</v>
      </c>
      <c r="F57" s="28" t="s">
        <v>94</v>
      </c>
    </row>
    <row r="58" spans="1:11" s="22" customFormat="1" ht="15.75" x14ac:dyDescent="0.25">
      <c r="C58" s="25"/>
      <c r="D58" s="38">
        <f>D57/D17*100</f>
        <v>20.624999999999996</v>
      </c>
      <c r="E58" s="5" t="s">
        <v>44</v>
      </c>
    </row>
    <row r="59" spans="1:11" x14ac:dyDescent="0.25">
      <c r="A59" s="39" t="s">
        <v>18</v>
      </c>
      <c r="B59" s="40"/>
      <c r="C59" s="40"/>
      <c r="D59" s="40"/>
      <c r="E59" s="40"/>
      <c r="F59" s="40"/>
      <c r="G59" s="40"/>
      <c r="H59" s="40"/>
      <c r="I59" s="40"/>
      <c r="J59" s="40"/>
      <c r="K59" s="13"/>
    </row>
    <row r="60" spans="1:11" x14ac:dyDescent="0.25">
      <c r="A60" s="40"/>
      <c r="B60" s="40"/>
      <c r="C60" s="40"/>
      <c r="D60" s="40"/>
      <c r="E60" s="40"/>
      <c r="F60" s="40"/>
      <c r="G60" s="40"/>
      <c r="H60" s="40"/>
      <c r="I60" s="40"/>
      <c r="J60" s="40"/>
      <c r="K60" s="13"/>
    </row>
    <row r="61" spans="1:11" ht="18.75" x14ac:dyDescent="0.3">
      <c r="A61" s="39"/>
      <c r="B61" s="40"/>
      <c r="C61" s="40"/>
      <c r="D61" s="40"/>
      <c r="E61" s="40"/>
      <c r="F61" s="40"/>
      <c r="G61" s="40"/>
      <c r="H61" s="40"/>
      <c r="I61" s="40"/>
      <c r="J61" s="40"/>
      <c r="K61" s="13"/>
    </row>
    <row r="62" spans="1:11" s="28" customFormat="1" ht="15.75" x14ac:dyDescent="0.25">
      <c r="A62" s="5" t="s">
        <v>73</v>
      </c>
      <c r="D62" s="1">
        <v>6.6</v>
      </c>
      <c r="E62" s="5"/>
    </row>
    <row r="63" spans="1:11" s="28" customFormat="1" ht="15.75" x14ac:dyDescent="0.25">
      <c r="A63" s="5" t="s">
        <v>74</v>
      </c>
      <c r="D63" s="38">
        <f>D14/D62</f>
        <v>1.8181818181818183</v>
      </c>
      <c r="E63" s="5"/>
    </row>
    <row r="64" spans="1:11" s="28" customFormat="1" ht="15.75" x14ac:dyDescent="0.25">
      <c r="A64" s="5" t="s">
        <v>77</v>
      </c>
      <c r="D64" s="38">
        <f>1/(2*PI()*D47*D48)/1000</f>
        <v>159.15494309189535</v>
      </c>
      <c r="E64" s="5" t="s">
        <v>60</v>
      </c>
    </row>
    <row r="65" spans="1:7" s="28" customFormat="1" ht="15.75" x14ac:dyDescent="0.25">
      <c r="A65" s="5" t="s">
        <v>78</v>
      </c>
      <c r="D65" s="38">
        <f>1/(2*PI()*SQRT(D29*D47))/1000</f>
        <v>12.390195515512778</v>
      </c>
      <c r="E65" s="5" t="s">
        <v>60</v>
      </c>
    </row>
    <row r="66" spans="1:7" s="28" customFormat="1" ht="15.75" x14ac:dyDescent="0.25">
      <c r="A66" s="5" t="s">
        <v>82</v>
      </c>
      <c r="D66" s="38">
        <f>D17/D20*SQRT(D47/D29)</f>
        <v>1.556997888323046</v>
      </c>
      <c r="E66" s="5"/>
    </row>
    <row r="67" spans="1:7" s="28" customFormat="1" x14ac:dyDescent="0.25"/>
    <row r="68" spans="1:7" s="28" customFormat="1" ht="15.75" x14ac:dyDescent="0.25">
      <c r="A68" s="5" t="s">
        <v>81</v>
      </c>
      <c r="D68" s="1">
        <v>100</v>
      </c>
      <c r="E68" s="5" t="s">
        <v>60</v>
      </c>
      <c r="F68" s="5" t="s">
        <v>79</v>
      </c>
    </row>
    <row r="69" spans="1:7" s="28" customFormat="1" ht="15.75" x14ac:dyDescent="0.25">
      <c r="A69" s="5" t="s">
        <v>83</v>
      </c>
      <c r="D69" s="1">
        <v>60</v>
      </c>
      <c r="E69" s="20" t="s">
        <v>84</v>
      </c>
      <c r="F69" s="28" t="s">
        <v>85</v>
      </c>
    </row>
    <row r="70" spans="1:7" s="28" customFormat="1" x14ac:dyDescent="0.25"/>
    <row r="71" spans="1:7" s="28" customFormat="1" ht="15.75" x14ac:dyDescent="0.25">
      <c r="A71" s="5" t="s">
        <v>86</v>
      </c>
      <c r="D71" s="38">
        <f>-20*LOG10(IMABS(IMDIV(IMSUM(IMPRODUCT(COMPLEX(0,2*PI()*D68*1000),6*$D$17*D$43*$D$44/$D$20),6*$D$17/$D$20),IMSUM(IMPRODUCT(IMPOWER(COMPLEX(0,2*PI()*D68*1000),2),$D$29*$D$43*$D$44+$D$17*$D$29*$D$43*$D$46/$D$20),IMPRODUCT(COMPLEX(0,2*PI()*D68*1000),$D$30*$D$43*$D$44+$D$29+$D$17*$D$30*$D$43*$D$46/$D$20+$D$44*$D$43*$D$17/$D$20),$D$30+$D$17/$D$20))))</f>
        <v>19.597355145446599</v>
      </c>
      <c r="E71" s="5" t="s">
        <v>88</v>
      </c>
      <c r="F71" s="38">
        <f>10^(D71/20)</f>
        <v>9.5470183492072724</v>
      </c>
      <c r="G71" s="32" t="s">
        <v>93</v>
      </c>
    </row>
    <row r="72" spans="1:7" s="28" customFormat="1" ht="15.75" x14ac:dyDescent="0.25">
      <c r="A72" s="5" t="s">
        <v>87</v>
      </c>
      <c r="D72" s="38">
        <f>D69-IMARGUMENT(IMDIV(IMSUM(IMPRODUCT(COMPLEX(0,2*PI()*D68*1000),6*$D$17*D$43*$D$44/$D$20),6*$D$17/$D$20),IMSUM(IMPRODUCT(IMPOWER(COMPLEX(0,2*PI()*D68*1000),2),$D$29*$D$43*$D$44+$D$17*$D$29*$D$43*$D$46/$D$20),IMPRODUCT(COMPLEX(0,2*PI()*D68*1000),$D$30*$D$43*$D$44+$D$29+$D$17*$D$30*$D$43*$D$46/$D$20+$D$44*$D$43*$D$17/$D$20),$D$30+$D$17/$D$20)))*180/PI()-90</f>
        <v>112.64920265559289</v>
      </c>
      <c r="E72" s="20" t="s">
        <v>84</v>
      </c>
    </row>
    <row r="73" spans="1:7" s="28" customFormat="1" ht="15.75" x14ac:dyDescent="0.25">
      <c r="A73" s="5"/>
      <c r="D73" s="20"/>
      <c r="E73" s="20"/>
    </row>
    <row r="74" spans="1:7" s="28" customFormat="1" ht="15.75" x14ac:dyDescent="0.25">
      <c r="A74" s="5" t="s">
        <v>90</v>
      </c>
      <c r="D74" s="38">
        <f>0.5*D65</f>
        <v>6.1950977577563888</v>
      </c>
      <c r="E74" s="5" t="s">
        <v>60</v>
      </c>
    </row>
    <row r="75" spans="1:7" s="28" customFormat="1" ht="15.75" x14ac:dyDescent="0.25">
      <c r="A75" s="5" t="s">
        <v>89</v>
      </c>
      <c r="D75" s="38">
        <f>D65</f>
        <v>12.390195515512778</v>
      </c>
      <c r="E75" s="5" t="s">
        <v>60</v>
      </c>
    </row>
    <row r="76" spans="1:7" s="28" customFormat="1" ht="15.75" x14ac:dyDescent="0.25">
      <c r="A76" s="5" t="s">
        <v>91</v>
      </c>
      <c r="D76" s="38">
        <f>IF(D64&gt;D24,0.85*D24,D64)</f>
        <v>159.15494309189535</v>
      </c>
      <c r="E76" s="5" t="s">
        <v>60</v>
      </c>
    </row>
    <row r="77" spans="1:7" s="28" customFormat="1" ht="15.75" x14ac:dyDescent="0.25">
      <c r="A77" s="5" t="s">
        <v>92</v>
      </c>
      <c r="D77" s="38">
        <f>D68/TAN((ATAN(D68/D74)/PI()*180+ATAN(D68/D75)/PI()*180-ATAN(D68/D76)/PI()*180-D72)/180*PI())</f>
        <v>218.41060341962893</v>
      </c>
      <c r="E77" s="5" t="s">
        <v>60</v>
      </c>
    </row>
    <row r="78" spans="1:7" s="28" customFormat="1" x14ac:dyDescent="0.25"/>
    <row r="92" spans="1:7" ht="15.75" x14ac:dyDescent="0.25">
      <c r="F92" s="5"/>
    </row>
    <row r="93" spans="1:7" ht="15.75" x14ac:dyDescent="0.25">
      <c r="A93" s="5" t="s">
        <v>19</v>
      </c>
      <c r="B93" s="5"/>
      <c r="C93" s="5"/>
      <c r="D93" s="6">
        <v>20500</v>
      </c>
      <c r="E93" s="5" t="s">
        <v>13</v>
      </c>
      <c r="F93" s="5" t="s">
        <v>41</v>
      </c>
      <c r="G93" s="5" t="s">
        <v>46</v>
      </c>
    </row>
    <row r="94" spans="1:7" ht="15.75" x14ac:dyDescent="0.25">
      <c r="A94" s="5" t="s">
        <v>20</v>
      </c>
      <c r="B94" s="5"/>
      <c r="C94" s="5"/>
      <c r="D94" s="34">
        <f>0.6*$D$93/($D$17-0.6)</f>
        <v>61499.999999999978</v>
      </c>
      <c r="E94" s="5" t="s">
        <v>13</v>
      </c>
      <c r="F94" s="5"/>
    </row>
    <row r="95" spans="1:7" s="28" customFormat="1" ht="15.75" x14ac:dyDescent="0.25">
      <c r="A95" s="5" t="s">
        <v>21</v>
      </c>
      <c r="B95" s="5"/>
      <c r="C95" s="5"/>
      <c r="D95" s="37">
        <f>D93*D75/(D77-D75)</f>
        <v>1232.8827549270045</v>
      </c>
      <c r="E95" s="5" t="s">
        <v>13</v>
      </c>
      <c r="F95" s="5"/>
    </row>
    <row r="96" spans="1:7" ht="15.75" x14ac:dyDescent="0.25">
      <c r="B96" s="5"/>
      <c r="C96" s="5"/>
      <c r="D96" s="1">
        <v>1000</v>
      </c>
      <c r="E96" s="5" t="s">
        <v>13</v>
      </c>
      <c r="F96" s="5"/>
    </row>
    <row r="97" spans="1:13" s="28" customFormat="1" ht="15.75" x14ac:dyDescent="0.25">
      <c r="A97" s="5" t="s">
        <v>22</v>
      </c>
      <c r="B97" s="5"/>
      <c r="C97" s="5"/>
      <c r="D97" s="37">
        <f>10^(D71/20)*D93*D77/(D77-D74)*SQRT((1+(D68/D76)^2)*(1+(D68/D77)^2)/(1+(D68/D75)^2)/(1+(D74/D68)^2))</f>
        <v>32109.684652779753</v>
      </c>
      <c r="E97" s="5" t="s">
        <v>13</v>
      </c>
      <c r="F97" s="5"/>
    </row>
    <row r="98" spans="1:13" ht="15.75" x14ac:dyDescent="0.25">
      <c r="B98" s="5"/>
      <c r="C98" s="5"/>
      <c r="D98" s="1">
        <v>32100</v>
      </c>
      <c r="E98" s="5" t="s">
        <v>13</v>
      </c>
      <c r="F98" s="5"/>
    </row>
    <row r="99" spans="1:13" s="28" customFormat="1" ht="15.75" x14ac:dyDescent="0.25">
      <c r="A99" s="5" t="s">
        <v>23</v>
      </c>
      <c r="B99" s="5"/>
      <c r="C99" s="5"/>
      <c r="D99" s="37">
        <f>(D77-D75)/(2*PI()*D93*D77*D75*1000)</f>
        <v>5.9105056257449435E-10</v>
      </c>
      <c r="E99" s="5" t="s">
        <v>14</v>
      </c>
      <c r="F99" s="5"/>
    </row>
    <row r="100" spans="1:13" ht="15.75" x14ac:dyDescent="0.25">
      <c r="A100" s="5"/>
      <c r="B100" s="5"/>
      <c r="C100" s="5"/>
      <c r="D100" s="1">
        <v>5.6000000000000003E-10</v>
      </c>
      <c r="E100" s="5" t="s">
        <v>14</v>
      </c>
      <c r="F100" s="5"/>
    </row>
    <row r="101" spans="1:13" s="28" customFormat="1" ht="15.75" x14ac:dyDescent="0.25">
      <c r="A101" s="5" t="s">
        <v>24</v>
      </c>
      <c r="B101" s="5"/>
      <c r="C101" s="5"/>
      <c r="D101" s="34">
        <f>1/(2*PI()*D97*D74*1000)</f>
        <v>8.000846297662479E-10</v>
      </c>
      <c r="E101" s="5" t="s">
        <v>14</v>
      </c>
      <c r="F101" s="5"/>
    </row>
    <row r="102" spans="1:13" ht="15.75" x14ac:dyDescent="0.25">
      <c r="B102" s="5"/>
      <c r="C102" s="5"/>
      <c r="D102" s="4">
        <v>8.6000000000000003E-10</v>
      </c>
      <c r="E102" s="5" t="s">
        <v>14</v>
      </c>
      <c r="F102" s="5"/>
    </row>
    <row r="103" spans="1:13" s="28" customFormat="1" ht="15.75" x14ac:dyDescent="0.25">
      <c r="A103" s="5" t="s">
        <v>25</v>
      </c>
      <c r="B103" s="5"/>
      <c r="C103" s="5"/>
      <c r="D103" s="34">
        <f>D101/(2*PI()*D76*D97*D101*1000-1)</f>
        <v>3.2404599292399872E-11</v>
      </c>
      <c r="E103" s="5" t="s">
        <v>14</v>
      </c>
      <c r="F103" s="5"/>
    </row>
    <row r="104" spans="1:13" ht="15.75" x14ac:dyDescent="0.25">
      <c r="B104" s="5"/>
      <c r="C104" s="5"/>
      <c r="D104" s="1">
        <v>3.3000000000000002E-11</v>
      </c>
      <c r="E104" s="5" t="s">
        <v>14</v>
      </c>
      <c r="F104" s="5"/>
    </row>
    <row r="105" spans="1:13" ht="15.75" x14ac:dyDescent="0.25">
      <c r="A105" s="5" t="s">
        <v>26</v>
      </c>
      <c r="D105" s="37">
        <f>0.6/$D$94*($D$94+$D$93)</f>
        <v>0.79999999999999993</v>
      </c>
      <c r="E105" s="5" t="s">
        <v>10</v>
      </c>
    </row>
    <row r="106" spans="1:13" ht="15.75" x14ac:dyDescent="0.25">
      <c r="A106" s="5"/>
    </row>
    <row r="107" spans="1:13" ht="45.75" customHeight="1" x14ac:dyDescent="0.35">
      <c r="A107" s="10" t="s">
        <v>42</v>
      </c>
    </row>
    <row r="108" spans="1:13" x14ac:dyDescent="0.25">
      <c r="B108" t="s">
        <v>27</v>
      </c>
      <c r="C108" s="3" t="s">
        <v>28</v>
      </c>
      <c r="D108" t="s">
        <v>29</v>
      </c>
      <c r="E108" t="s">
        <v>30</v>
      </c>
      <c r="F108" t="s">
        <v>31</v>
      </c>
      <c r="G108" s="3" t="s">
        <v>32</v>
      </c>
      <c r="H108" s="3" t="s">
        <v>33</v>
      </c>
      <c r="I108" s="3" t="s">
        <v>34</v>
      </c>
      <c r="J108" s="3" t="s">
        <v>37</v>
      </c>
      <c r="K108" s="3" t="s">
        <v>40</v>
      </c>
      <c r="L108" s="3" t="s">
        <v>35</v>
      </c>
      <c r="M108" s="3" t="s">
        <v>36</v>
      </c>
    </row>
    <row r="109" spans="1:13" x14ac:dyDescent="0.25">
      <c r="A109">
        <v>2</v>
      </c>
      <c r="B109" s="8">
        <f>10^A109</f>
        <v>100</v>
      </c>
      <c r="C109" s="8">
        <f>2*PI()*B109</f>
        <v>628.31853071795865</v>
      </c>
      <c r="D109" s="8" t="str">
        <f>COMPLEX(0,C109)</f>
        <v>628.318530717959i</v>
      </c>
      <c r="E109" s="9" t="str">
        <f t="shared" ref="E109:E149" si="0">IMDIV(IMSUM(IMPRODUCT(D109,6*$D$17*D$43*$D$44/$D$20),6*$D$17/$D$20),IMSUM(IMPRODUCT(IMPOWER(D109,2),$D$29*$D$43*$D$44+$D$17*$D$29*$D$43*$D$46/$D$20),IMPRODUCT(D109,$D$30*$D$43*$D$44+$D$29+$D$17*$D$30*$D$43*$D$46/$D$20+$D$44*$D$43*$D$17/$D$20),$D$30+$D$17/$D$20))</f>
        <v>5.853861001437-0.031400546176517i</v>
      </c>
      <c r="F109" s="8">
        <f>20*LOG10(IMABS(E109))</f>
        <v>15.348973079015142</v>
      </c>
      <c r="G109">
        <f>IMARGUMENT(E109)*180/PI()</f>
        <v>-0.30733587877326218</v>
      </c>
      <c r="H109" t="str">
        <f>IMDIV(IMPRODUCT(IMSUM(IMPRODUCT(D109,$D$98*$D$102),1),IMSUM(IMPRODUCT(D109,$D$100*$D$93+$D$100*$D$96),1)),IMPRODUCT(IMPRODUCT(D109,$D$93),IMSUM(IMPRODUCT(D109,$D$96*$D$100),1),IMSUM(IMPRODUCT(D109,$D$98*$D$102*$D$104),$D$102+$D$104)))</f>
        <v>2.07937199976238-86.9297104943434i</v>
      </c>
      <c r="I109">
        <f>20*LOG10(IMABS(H109))</f>
        <v>38.785848873887375</v>
      </c>
      <c r="J109">
        <f>IMARGUMENT(H109)*180/PI()</f>
        <v>-88.629737474527872</v>
      </c>
      <c r="K109" s="14" t="str">
        <f>IMPRODUCT(E109,H109)</f>
        <v>9.44271426840018-508.939735545542i</v>
      </c>
      <c r="L109" s="8">
        <f>20*LOG10(IMABS(K109))</f>
        <v>54.134821952902513</v>
      </c>
      <c r="M109">
        <f>IMARGUMENT(K109)*180/PI()</f>
        <v>-88.93707335330113</v>
      </c>
    </row>
    <row r="110" spans="1:13" x14ac:dyDescent="0.25">
      <c r="A110">
        <v>2.1</v>
      </c>
      <c r="B110" s="8">
        <f t="shared" ref="B110:B149" si="1">10^A110</f>
        <v>125.89254117941677</v>
      </c>
      <c r="C110" s="8">
        <f t="shared" ref="C110:C149" si="2">2*PI()*B110</f>
        <v>791.0061650220124</v>
      </c>
      <c r="D110" s="8" t="str">
        <f t="shared" ref="D110:D149" si="3">COMPLEX(0,C110)</f>
        <v>791.006165022012i</v>
      </c>
      <c r="E110" s="9" t="str">
        <f t="shared" si="0"/>
        <v>5.85397941589488-0.0395333818897826i</v>
      </c>
      <c r="F110" s="8">
        <f t="shared" ref="F110:F149" si="4">20*LOG10(IMABS(E110))</f>
        <v>15.34922188162893</v>
      </c>
      <c r="G110">
        <f t="shared" ref="G110:G149" si="5">IMARGUMENT(E110)*180/PI()</f>
        <v>-0.3869267959303162</v>
      </c>
      <c r="H110" t="str">
        <f t="shared" ref="H110:H149" si="6">IMDIV(IMPRODUCT(IMSUM(IMPRODUCT(D110,$D$98*$D$102),1),IMSUM(IMPRODUCT(D110,$D$100*$D$93+$D$100*$D$96),1)),IMPRODUCT(IMPRODUCT(D110,$D$93),IMSUM(IMPRODUCT(D110,$D$96*$D$100),1),IMSUM(IMPRODUCT(D110,$D$98*$D$102*$D$104),$D$102+$D$104)))</f>
        <v>2.07937768842566-69.0463916863771i</v>
      </c>
      <c r="I110">
        <f t="shared" ref="I110:I149" si="7">20*LOG10(IMABS(H110))</f>
        <v>36.786756813712415</v>
      </c>
      <c r="J110">
        <f t="shared" ref="J110:J149" si="8">IMARGUMENT(H110)*180/PI()</f>
        <v>-88.275021123579293</v>
      </c>
      <c r="K110" s="14" t="str">
        <f>IMPRODUCT(E110,H110)</f>
        <v>9.44299681526583-404.278360506117i</v>
      </c>
      <c r="L110" s="8">
        <f>20*LOG10(IMABS(K110))</f>
        <v>52.13597869534135</v>
      </c>
      <c r="M110" s="14">
        <f>IMARGUMENT(K110)*180/PI()</f>
        <v>-88.661947919509629</v>
      </c>
    </row>
    <row r="111" spans="1:13" x14ac:dyDescent="0.25">
      <c r="A111">
        <v>2.2000000000000002</v>
      </c>
      <c r="B111" s="8">
        <f t="shared" si="1"/>
        <v>158.48931924611153</v>
      </c>
      <c r="C111" s="8">
        <f t="shared" si="2"/>
        <v>995.81776203206277</v>
      </c>
      <c r="D111" s="8" t="str">
        <f t="shared" si="3"/>
        <v>995.817762032063i</v>
      </c>
      <c r="E111" s="9" t="str">
        <f t="shared" si="0"/>
        <v>5.8541670813048-0.0497744406667504i</v>
      </c>
      <c r="F111" s="8">
        <f t="shared" si="4"/>
        <v>15.349616209053279</v>
      </c>
      <c r="G111">
        <f t="shared" si="5"/>
        <v>-0.48713960843089965</v>
      </c>
      <c r="H111" t="str">
        <f t="shared" si="6"/>
        <v>2.07938670434188-54.8400450213296i</v>
      </c>
      <c r="I111">
        <f t="shared" si="7"/>
        <v>34.788195516200901</v>
      </c>
      <c r="J111">
        <f t="shared" si="8"/>
        <v>-87.828538716215363</v>
      </c>
      <c r="K111" s="14" t="str">
        <f t="shared" ref="K111:K149" si="9">IMPRODUCT(E111,H111)</f>
        <v>9.44344462678502-321.146286611279i</v>
      </c>
      <c r="L111" s="8">
        <f t="shared" ref="L111:L149" si="10">20*LOG10(IMABS(K111))</f>
        <v>50.13781172525416</v>
      </c>
      <c r="M111" s="14">
        <f t="shared" ref="M111:M149" si="11">IMARGUMENT(K111)*180/PI()</f>
        <v>-88.315678324646257</v>
      </c>
    </row>
    <row r="112" spans="1:13" x14ac:dyDescent="0.25">
      <c r="A112">
        <v>2.2999999999999998</v>
      </c>
      <c r="B112" s="8">
        <f t="shared" si="1"/>
        <v>199.52623149688802</v>
      </c>
      <c r="C112" s="8">
        <f t="shared" si="2"/>
        <v>1253.6602861381596</v>
      </c>
      <c r="D112" s="8" t="str">
        <f t="shared" si="3"/>
        <v>1253.66028613816i</v>
      </c>
      <c r="E112" s="9" t="str">
        <f t="shared" si="0"/>
        <v>5.85446448866854-0.0626720096487113i</v>
      </c>
      <c r="F112" s="8">
        <f t="shared" si="4"/>
        <v>15.350241180558793</v>
      </c>
      <c r="G112">
        <f t="shared" si="5"/>
        <v>-0.61332757187406906</v>
      </c>
      <c r="H112" t="str">
        <f t="shared" si="6"/>
        <v>2.07940099358747-43.5541307422318i</v>
      </c>
      <c r="I112">
        <f t="shared" si="7"/>
        <v>32.790474990109296</v>
      </c>
      <c r="J112">
        <f t="shared" si="8"/>
        <v>-87.266608247338027</v>
      </c>
      <c r="K112" s="14" t="str">
        <f t="shared" si="9"/>
        <v>9.44415437254154-255.116432004356i</v>
      </c>
      <c r="L112" s="8">
        <f t="shared" si="10"/>
        <v>48.140716170668071</v>
      </c>
      <c r="M112" s="14">
        <f t="shared" si="11"/>
        <v>-87.879935819212108</v>
      </c>
    </row>
    <row r="113" spans="1:13" x14ac:dyDescent="0.25">
      <c r="A113">
        <v>2.4</v>
      </c>
      <c r="B113" s="8">
        <f t="shared" si="1"/>
        <v>251.18864315095806</v>
      </c>
      <c r="C113" s="8">
        <f t="shared" si="2"/>
        <v>1578.2647919764759</v>
      </c>
      <c r="D113" s="8" t="str">
        <f t="shared" si="3"/>
        <v>1578.26479197648i</v>
      </c>
      <c r="E113" s="9" t="str">
        <f t="shared" si="0"/>
        <v>5.85493579157933-0.0789187465278183i</v>
      </c>
      <c r="F113" s="8">
        <f t="shared" si="4"/>
        <v>15.351231705313655</v>
      </c>
      <c r="G113">
        <f t="shared" si="5"/>
        <v>-0.77224370186629454</v>
      </c>
      <c r="H113" t="str">
        <f t="shared" si="6"/>
        <v>2.07942364046861-34.5876327726905i</v>
      </c>
      <c r="I113">
        <f t="shared" si="7"/>
        <v>30.794085916253806</v>
      </c>
      <c r="J113">
        <f t="shared" si="8"/>
        <v>-86.559493836496827</v>
      </c>
      <c r="K113" s="14" t="str">
        <f t="shared" si="9"/>
        <v>9.44527927465063-202.672474574034i</v>
      </c>
      <c r="L113" s="8">
        <f t="shared" si="10"/>
        <v>46.145317621567472</v>
      </c>
      <c r="M113" s="14">
        <f t="shared" si="11"/>
        <v>-87.331737538363129</v>
      </c>
    </row>
    <row r="114" spans="1:13" x14ac:dyDescent="0.25">
      <c r="A114">
        <v>2.5</v>
      </c>
      <c r="B114" s="8">
        <f t="shared" si="1"/>
        <v>316.22776601683825</v>
      </c>
      <c r="C114" s="8">
        <f t="shared" si="2"/>
        <v>1986.917653159222</v>
      </c>
      <c r="D114" s="8" t="str">
        <f t="shared" si="3"/>
        <v>1986.91765315922i</v>
      </c>
      <c r="E114" s="9" t="str">
        <f t="shared" si="0"/>
        <v>5.85568261544733-0.099391458544061i</v>
      </c>
      <c r="F114" s="8">
        <f t="shared" si="4"/>
        <v>15.352801610478664</v>
      </c>
      <c r="G114">
        <f t="shared" si="5"/>
        <v>-0.97241682666806084</v>
      </c>
      <c r="H114" t="str">
        <f t="shared" si="6"/>
        <v>2.07945953323849-27.4630524257927i</v>
      </c>
      <c r="I114">
        <f t="shared" si="7"/>
        <v>28.799804342394985</v>
      </c>
      <c r="J114">
        <f t="shared" si="8"/>
        <v>-85.669915446192363</v>
      </c>
      <c r="K114" s="14" t="str">
        <f t="shared" si="9"/>
        <v>9.4470622016393-161.021599172825i</v>
      </c>
      <c r="L114" s="8">
        <f t="shared" si="10"/>
        <v>44.15260595287365</v>
      </c>
      <c r="M114" s="14">
        <f t="shared" si="11"/>
        <v>-86.642332272860443</v>
      </c>
    </row>
    <row r="115" spans="1:13" x14ac:dyDescent="0.25">
      <c r="A115">
        <v>2.6</v>
      </c>
      <c r="B115" s="8">
        <f t="shared" si="1"/>
        <v>398.10717055349761</v>
      </c>
      <c r="C115" s="8">
        <f t="shared" si="2"/>
        <v>2501.3811247045737</v>
      </c>
      <c r="D115" s="8" t="str">
        <f t="shared" si="3"/>
        <v>2501.38112470457i</v>
      </c>
      <c r="E115" s="9" t="str">
        <f t="shared" si="0"/>
        <v>5.85686589656195-0.12520357659947i</v>
      </c>
      <c r="F115" s="8">
        <f t="shared" si="4"/>
        <v>15.355289815534778</v>
      </c>
      <c r="G115">
        <f t="shared" si="5"/>
        <v>-1.2246386027559995</v>
      </c>
      <c r="H115" t="str">
        <f t="shared" si="6"/>
        <v>2.07951641914911-21.8009798709575i</v>
      </c>
      <c r="I115">
        <f t="shared" si="7"/>
        <v>26.808856144259913</v>
      </c>
      <c r="J115">
        <f t="shared" si="8"/>
        <v>-84.551248706912119</v>
      </c>
      <c r="K115" s="14" t="str">
        <f t="shared" si="9"/>
        <v>9.44988814343812-127.945778411119i</v>
      </c>
      <c r="L115" s="8">
        <f t="shared" si="10"/>
        <v>42.164145959794666</v>
      </c>
      <c r="M115" s="14">
        <f t="shared" si="11"/>
        <v>-85.775887309668093</v>
      </c>
    </row>
    <row r="116" spans="1:13" x14ac:dyDescent="0.25">
      <c r="A116">
        <v>2.7</v>
      </c>
      <c r="B116" s="8">
        <f t="shared" si="1"/>
        <v>501.18723362727269</v>
      </c>
      <c r="C116" s="8">
        <f t="shared" si="2"/>
        <v>3149.0522624728624</v>
      </c>
      <c r="D116" s="8" t="str">
        <f t="shared" si="3"/>
        <v>3149.05226247286i</v>
      </c>
      <c r="E116" s="9" t="str">
        <f t="shared" si="0"/>
        <v>5.85874037513376-0.157776014796099i</v>
      </c>
      <c r="F116" s="8">
        <f t="shared" si="4"/>
        <v>15.359233536839586</v>
      </c>
      <c r="G116">
        <f t="shared" si="5"/>
        <v>-1.5426038370083193</v>
      </c>
      <c r="H116" t="str">
        <f t="shared" si="6"/>
        <v>2.07960657649798-17.299889203146i</v>
      </c>
      <c r="I116">
        <f t="shared" si="7"/>
        <v>24.823174020499501</v>
      </c>
      <c r="J116">
        <f t="shared" si="8"/>
        <v>-83.145408354514217</v>
      </c>
      <c r="K116" s="14" t="str">
        <f t="shared" si="9"/>
        <v>9.45436743923597-101.683671397796i</v>
      </c>
      <c r="L116" s="8">
        <f t="shared" si="10"/>
        <v>40.182407557339104</v>
      </c>
      <c r="M116" s="14">
        <f t="shared" si="11"/>
        <v>-84.688012191522546</v>
      </c>
    </row>
    <row r="117" spans="1:13" x14ac:dyDescent="0.25">
      <c r="A117">
        <v>2.8</v>
      </c>
      <c r="B117" s="8">
        <f t="shared" si="1"/>
        <v>630.95734448019323</v>
      </c>
      <c r="C117" s="8">
        <f t="shared" si="2"/>
        <v>3964.4219162949989</v>
      </c>
      <c r="D117" s="8" t="str">
        <f t="shared" si="3"/>
        <v>3964.421916295i</v>
      </c>
      <c r="E117" s="9" t="str">
        <f t="shared" si="0"/>
        <v>5.86170895774849-0.198936012575192i</v>
      </c>
      <c r="F117" s="8">
        <f t="shared" si="4"/>
        <v>15.365484365443056</v>
      </c>
      <c r="G117">
        <f t="shared" si="5"/>
        <v>-1.9437711525017121</v>
      </c>
      <c r="H117" t="str">
        <f t="shared" si="6"/>
        <v>2.07974946439861-13.7200811412006i</v>
      </c>
      <c r="I117">
        <f t="shared" si="7"/>
        <v>22.84579574007288</v>
      </c>
      <c r="J117">
        <f t="shared" si="8"/>
        <v>-81.380476529673814</v>
      </c>
      <c r="K117" s="14" t="str">
        <f t="shared" si="9"/>
        <v>9.46146783089942-80.8368595920145i</v>
      </c>
      <c r="L117" s="8">
        <f t="shared" si="10"/>
        <v>38.211280105515932</v>
      </c>
      <c r="M117" s="14">
        <f t="shared" si="11"/>
        <v>-83.324247682175539</v>
      </c>
    </row>
    <row r="118" spans="1:13" x14ac:dyDescent="0.25">
      <c r="A118">
        <v>2.9</v>
      </c>
      <c r="B118" s="8">
        <f t="shared" si="1"/>
        <v>794.32823472428208</v>
      </c>
      <c r="C118" s="8">
        <f t="shared" si="2"/>
        <v>4990.9114934975069</v>
      </c>
      <c r="D118" s="8" t="str">
        <f t="shared" si="3"/>
        <v>4990.91149349751i</v>
      </c>
      <c r="E118" s="9" t="str">
        <f t="shared" si="0"/>
        <v>5.86640808879297-0.251060987441122i</v>
      </c>
      <c r="F118" s="8">
        <f t="shared" si="4"/>
        <v>15.375392372474399</v>
      </c>
      <c r="G118">
        <f t="shared" si="5"/>
        <v>-2.4505561800368119</v>
      </c>
      <c r="H118" t="str">
        <f t="shared" si="6"/>
        <v>2.07997592176791-10.8709182714045i</v>
      </c>
      <c r="I118">
        <f t="shared" si="7"/>
        <v>20.88147305402579</v>
      </c>
      <c r="J118">
        <f t="shared" si="8"/>
        <v>-79.168283306657258</v>
      </c>
      <c r="K118" s="14" t="str">
        <f t="shared" si="9"/>
        <v>9.47272409634333-64.2954436887475i</v>
      </c>
      <c r="L118" s="8">
        <f t="shared" si="10"/>
        <v>36.256865426500198</v>
      </c>
      <c r="M118" s="14">
        <f t="shared" si="11"/>
        <v>-81.6188394866941</v>
      </c>
    </row>
    <row r="119" spans="1:13" x14ac:dyDescent="0.25">
      <c r="A119">
        <v>3</v>
      </c>
      <c r="B119" s="8">
        <f t="shared" si="1"/>
        <v>1000</v>
      </c>
      <c r="C119" s="8">
        <f t="shared" si="2"/>
        <v>6283.1853071795858</v>
      </c>
      <c r="D119" s="8" t="str">
        <f t="shared" si="3"/>
        <v>6283.18530717959i</v>
      </c>
      <c r="E119" s="9" t="str">
        <f t="shared" si="0"/>
        <v>5.87384099589659-0.317298990295502i</v>
      </c>
      <c r="F119" s="8">
        <f t="shared" si="4"/>
        <v>15.391098205042645</v>
      </c>
      <c r="G119">
        <f t="shared" si="5"/>
        <v>-3.0920551996867474</v>
      </c>
      <c r="H119" t="str">
        <f t="shared" si="6"/>
        <v>2.08033482072628-8.6006731182246i</v>
      </c>
      <c r="I119">
        <f t="shared" si="7"/>
        <v>18.937582735603478</v>
      </c>
      <c r="J119">
        <f t="shared" si="8"/>
        <v>-76.402435509458641</v>
      </c>
      <c r="K119" s="14" t="str">
        <f t="shared" si="9"/>
        <v>9.49057105889887-51.1790744922264i</v>
      </c>
      <c r="L119" s="8">
        <f t="shared" si="10"/>
        <v>34.328680940646116</v>
      </c>
      <c r="M119" s="14">
        <f t="shared" si="11"/>
        <v>-79.494490709145396</v>
      </c>
    </row>
    <row r="120" spans="1:13" x14ac:dyDescent="0.25">
      <c r="A120">
        <v>3.1</v>
      </c>
      <c r="B120" s="8">
        <f t="shared" si="1"/>
        <v>1258.925411794168</v>
      </c>
      <c r="C120" s="8">
        <f t="shared" si="2"/>
        <v>7910.0616502201265</v>
      </c>
      <c r="D120" s="8" t="str">
        <f t="shared" si="3"/>
        <v>7910.06165022013i</v>
      </c>
      <c r="E120" s="9" t="str">
        <f t="shared" si="0"/>
        <v>5.88558336690249-0.401926709153059i</v>
      </c>
      <c r="F120" s="8">
        <f t="shared" si="4"/>
        <v>15.41599668389323</v>
      </c>
      <c r="G120">
        <f t="shared" si="5"/>
        <v>-3.9066655189970305</v>
      </c>
      <c r="H120" t="str">
        <f t="shared" si="6"/>
        <v>2.08090360764214-6.78844851828752i</v>
      </c>
      <c r="I120">
        <f t="shared" si="7"/>
        <v>17.025442059884565</v>
      </c>
      <c r="J120">
        <f t="shared" si="8"/>
        <v>-72.957814280531096</v>
      </c>
      <c r="K120" s="14" t="str">
        <f t="shared" si="9"/>
        <v>9.5188728880557-40.7903504253912i</v>
      </c>
      <c r="L120" s="8">
        <f t="shared" si="10"/>
        <v>32.441438743777788</v>
      </c>
      <c r="M120" s="14">
        <f t="shared" si="11"/>
        <v>-76.864479799528112</v>
      </c>
    </row>
    <row r="121" spans="1:13" x14ac:dyDescent="0.25">
      <c r="A121">
        <v>3.2</v>
      </c>
      <c r="B121" s="8">
        <f t="shared" si="1"/>
        <v>1584.8931924611156</v>
      </c>
      <c r="C121" s="8">
        <f t="shared" si="2"/>
        <v>9958.17762032063</v>
      </c>
      <c r="D121" s="8" t="str">
        <f t="shared" si="3"/>
        <v>9958.17762032063i</v>
      </c>
      <c r="E121" s="9" t="str">
        <f t="shared" si="0"/>
        <v>5.9040941532012-0.510966900160503i</v>
      </c>
      <c r="F121" s="8">
        <f t="shared" si="4"/>
        <v>15.455472723486427</v>
      </c>
      <c r="G121">
        <f t="shared" si="5"/>
        <v>-4.9463101820129713</v>
      </c>
      <c r="H121" t="str">
        <f t="shared" si="6"/>
        <v>2.0818049998072-5.3377402340695i</v>
      </c>
      <c r="I121">
        <f t="shared" si="7"/>
        <v>15.162098002479038</v>
      </c>
      <c r="J121">
        <f t="shared" si="8"/>
        <v>-68.693412252080265</v>
      </c>
      <c r="K121" s="14" t="str">
        <f t="shared" si="9"/>
        <v>9.56376414620223-32.5782543547667i</v>
      </c>
      <c r="L121" s="8">
        <f t="shared" si="10"/>
        <v>30.617570725965479</v>
      </c>
      <c r="M121" s="14">
        <f t="shared" si="11"/>
        <v>-73.639722434093244</v>
      </c>
    </row>
    <row r="122" spans="1:13" x14ac:dyDescent="0.25">
      <c r="A122">
        <v>3.3</v>
      </c>
      <c r="B122" s="8">
        <f t="shared" si="1"/>
        <v>1995.2623149688804</v>
      </c>
      <c r="C122" s="8">
        <f t="shared" si="2"/>
        <v>12536.602861381598</v>
      </c>
      <c r="D122" s="8" t="str">
        <f t="shared" si="3"/>
        <v>12536.6028613816i</v>
      </c>
      <c r="E122" s="9" t="str">
        <f t="shared" si="0"/>
        <v>5.93316444997705-0.653318057304031i</v>
      </c>
      <c r="F122" s="8">
        <f t="shared" si="4"/>
        <v>15.518068618050059</v>
      </c>
      <c r="G122">
        <f t="shared" si="5"/>
        <v>-6.2836908525282142</v>
      </c>
      <c r="H122" t="str">
        <f t="shared" si="6"/>
        <v>2.08323342338965-4.17129940380708i</v>
      </c>
      <c r="I122">
        <f t="shared" si="7"/>
        <v>13.372515532236415</v>
      </c>
      <c r="J122">
        <f t="shared" si="8"/>
        <v>-63.461506424846128</v>
      </c>
      <c r="K122" s="14" t="str">
        <f t="shared" si="9"/>
        <v>9.63498126573075-26.1100193459584i</v>
      </c>
      <c r="L122" s="8">
        <f t="shared" si="10"/>
        <v>28.890584150286479</v>
      </c>
      <c r="M122" s="14">
        <f t="shared" si="11"/>
        <v>-69.745197277374373</v>
      </c>
    </row>
    <row r="123" spans="1:13" x14ac:dyDescent="0.25">
      <c r="A123">
        <v>3.4</v>
      </c>
      <c r="B123" s="8">
        <f t="shared" si="1"/>
        <v>2511.8864315095811</v>
      </c>
      <c r="C123" s="8">
        <f t="shared" si="2"/>
        <v>15782.647919764762</v>
      </c>
      <c r="D123" s="8" t="str">
        <f t="shared" si="3"/>
        <v>15782.6479197648i</v>
      </c>
      <c r="E123" s="9" t="str">
        <f t="shared" si="0"/>
        <v>5.97849540167651-0.842942560731758i</v>
      </c>
      <c r="F123" s="8">
        <f t="shared" si="4"/>
        <v>15.617327922238122</v>
      </c>
      <c r="G123">
        <f t="shared" si="5"/>
        <v>-8.0255593768603664</v>
      </c>
      <c r="H123" t="str">
        <f t="shared" si="6"/>
        <v>2.08549685327051-3.22702205312212i</v>
      </c>
      <c r="I123">
        <f t="shared" si="7"/>
        <v>11.691736918086704</v>
      </c>
      <c r="J123">
        <f t="shared" si="8"/>
        <v>-57.127010744846189</v>
      </c>
      <c r="K123" s="14" t="str">
        <f t="shared" si="9"/>
        <v>9.74793911449196-21.0506905635932i</v>
      </c>
      <c r="L123" s="8">
        <f t="shared" si="10"/>
        <v>27.309064840324844</v>
      </c>
      <c r="M123" s="14">
        <f t="shared" si="11"/>
        <v>-65.152570121706603</v>
      </c>
    </row>
    <row r="124" spans="1:13" x14ac:dyDescent="0.25">
      <c r="A124">
        <v>3.5</v>
      </c>
      <c r="B124" s="8">
        <f t="shared" si="1"/>
        <v>3162.2776601683804</v>
      </c>
      <c r="C124" s="8">
        <f t="shared" si="2"/>
        <v>19869.176531592209</v>
      </c>
      <c r="D124" s="8" t="str">
        <f t="shared" si="3"/>
        <v>19869.1765315922i</v>
      </c>
      <c r="E124" s="9" t="str">
        <f t="shared" si="0"/>
        <v>6.0481747830823-1.10335008441063i</v>
      </c>
      <c r="F124" s="8">
        <f t="shared" si="4"/>
        <v>15.774665182851287</v>
      </c>
      <c r="G124">
        <f t="shared" si="5"/>
        <v>-10.338606592042652</v>
      </c>
      <c r="H124" t="str">
        <f t="shared" si="6"/>
        <v>2.08908297036823-2.4546484007342i</v>
      </c>
      <c r="I124">
        <f t="shared" si="7"/>
        <v>10.165974241960992</v>
      </c>
      <c r="J124">
        <f t="shared" si="8"/>
        <v>-49.599818139236994</v>
      </c>
      <c r="K124" s="14" t="str">
        <f t="shared" si="9"/>
        <v>9.9268024209993-17.1511324303505i</v>
      </c>
      <c r="L124" s="8">
        <f t="shared" si="10"/>
        <v>25.940639424812282</v>
      </c>
      <c r="M124" s="14">
        <f t="shared" si="11"/>
        <v>-59.938424731279675</v>
      </c>
    </row>
    <row r="125" spans="1:13" x14ac:dyDescent="0.25">
      <c r="A125">
        <v>3.6</v>
      </c>
      <c r="B125" s="8">
        <f t="shared" si="1"/>
        <v>3981.0717055349769</v>
      </c>
      <c r="C125" s="8">
        <f t="shared" si="2"/>
        <v>25013.811247045742</v>
      </c>
      <c r="D125" s="8" t="str">
        <f t="shared" si="3"/>
        <v>25013.8112470457i</v>
      </c>
      <c r="E125" s="9" t="str">
        <f t="shared" si="0"/>
        <v>6.15185158117368-1.47731590284268i</v>
      </c>
      <c r="F125" s="8">
        <f t="shared" si="4"/>
        <v>16.023610718304674</v>
      </c>
      <c r="G125">
        <f t="shared" si="5"/>
        <v>-13.503407963148165</v>
      </c>
      <c r="H125" t="str">
        <f t="shared" si="6"/>
        <v>2.09476362671578-1.81309942942955i</v>
      </c>
      <c r="I125">
        <f t="shared" si="7"/>
        <v>8.850989917290093</v>
      </c>
      <c r="J125">
        <f t="shared" si="8"/>
        <v>-40.877462841598991</v>
      </c>
      <c r="K125" s="14" t="str">
        <f t="shared" si="9"/>
        <v>10.2081543086653-14.2485462102049i</v>
      </c>
      <c r="L125" s="8">
        <f t="shared" si="10"/>
        <v>24.87460063559476</v>
      </c>
      <c r="M125" s="14">
        <f t="shared" si="11"/>
        <v>-54.380870804747204</v>
      </c>
    </row>
    <row r="126" spans="1:13" x14ac:dyDescent="0.25">
      <c r="A126">
        <v>3.7</v>
      </c>
      <c r="B126" s="8">
        <f t="shared" si="1"/>
        <v>5011.8723362727324</v>
      </c>
      <c r="C126" s="8">
        <f t="shared" si="2"/>
        <v>31490.522624728659</v>
      </c>
      <c r="D126" s="8" t="str">
        <f t="shared" si="3"/>
        <v>31490.5226247287i</v>
      </c>
      <c r="E126" s="9" t="str">
        <f t="shared" si="0"/>
        <v>6.29313000719205-2.04900986138144i</v>
      </c>
      <c r="F126" s="8">
        <f t="shared" si="4"/>
        <v>16.41493214078077</v>
      </c>
      <c r="G126">
        <f t="shared" si="5"/>
        <v>-18.034975499888574</v>
      </c>
      <c r="H126" t="str">
        <f t="shared" si="6"/>
        <v>2.10375944074009-1.26831533208483i</v>
      </c>
      <c r="I126">
        <f t="shared" si="7"/>
        <v>7.8063607863002265</v>
      </c>
      <c r="J126">
        <f t="shared" si="8"/>
        <v>-31.084951410537904</v>
      </c>
      <c r="K126" s="14" t="str">
        <f t="shared" si="9"/>
        <v>10.6404410416519-12.2922971149755i</v>
      </c>
      <c r="L126" s="8">
        <f t="shared" si="10"/>
        <v>24.221292927080967</v>
      </c>
      <c r="M126" s="14">
        <f t="shared" si="11"/>
        <v>-49.119926910426464</v>
      </c>
    </row>
    <row r="127" spans="1:13" x14ac:dyDescent="0.25">
      <c r="A127">
        <v>3.8</v>
      </c>
      <c r="B127" s="8">
        <f t="shared" si="1"/>
        <v>6309.5734448019384</v>
      </c>
      <c r="C127" s="8">
        <f t="shared" si="2"/>
        <v>39644.21916295003</v>
      </c>
      <c r="D127" s="8" t="str">
        <f t="shared" si="3"/>
        <v>39644.21916295i</v>
      </c>
      <c r="E127" s="9" t="str">
        <f t="shared" si="0"/>
        <v>6.42967264454559-2.99421857513495i</v>
      </c>
      <c r="F127" s="8">
        <f t="shared" si="4"/>
        <v>17.016200902890009</v>
      </c>
      <c r="G127">
        <f t="shared" si="5"/>
        <v>-24.970809834151012</v>
      </c>
      <c r="H127" t="str">
        <f t="shared" si="6"/>
        <v>2.11799823256847-0.791493497919992i</v>
      </c>
      <c r="I127">
        <f t="shared" si="7"/>
        <v>7.0862299724885762</v>
      </c>
      <c r="J127">
        <f t="shared" si="8"/>
        <v>-20.490657879171881</v>
      </c>
      <c r="K127" s="14" t="str">
        <f t="shared" si="9"/>
        <v>11.2481307635708-11.4307937419714i</v>
      </c>
      <c r="L127" s="8">
        <f t="shared" si="10"/>
        <v>24.102430875378587</v>
      </c>
      <c r="M127" s="14">
        <f t="shared" si="11"/>
        <v>-45.461467713322996</v>
      </c>
    </row>
    <row r="128" spans="1:13" x14ac:dyDescent="0.25">
      <c r="A128">
        <v>3.9</v>
      </c>
      <c r="B128" s="8">
        <f t="shared" si="1"/>
        <v>7943.2823472428154</v>
      </c>
      <c r="C128" s="8">
        <f t="shared" si="2"/>
        <v>49909.114934975034</v>
      </c>
      <c r="D128" s="8" t="str">
        <f t="shared" si="3"/>
        <v>49909.114934975i</v>
      </c>
      <c r="E128" s="9" t="str">
        <f t="shared" si="0"/>
        <v>6.28066141898383-4.65860213279645i</v>
      </c>
      <c r="F128" s="8">
        <f t="shared" si="4"/>
        <v>17.863913598317751</v>
      </c>
      <c r="G128">
        <f t="shared" si="5"/>
        <v>-36.56571421540599</v>
      </c>
      <c r="H128" t="str">
        <f t="shared" si="6"/>
        <v>2.14051854138666-0.357657419946742i</v>
      </c>
      <c r="I128">
        <f t="shared" si="7"/>
        <v>6.7299679030460062</v>
      </c>
      <c r="J128">
        <f t="shared" si="8"/>
        <v>-9.4858727789255681</v>
      </c>
      <c r="K128" s="14" t="str">
        <f t="shared" si="9"/>
        <v>11.7776886001324-12.218149400867i</v>
      </c>
      <c r="L128" s="8">
        <f t="shared" si="10"/>
        <v>24.59388150136375</v>
      </c>
      <c r="M128" s="14">
        <f t="shared" si="11"/>
        <v>-46.05158699433138</v>
      </c>
    </row>
    <row r="129" spans="1:13" x14ac:dyDescent="0.25">
      <c r="A129">
        <v>4</v>
      </c>
      <c r="B129" s="8">
        <f t="shared" si="1"/>
        <v>10000</v>
      </c>
      <c r="C129" s="8">
        <f t="shared" si="2"/>
        <v>62831.853071795864</v>
      </c>
      <c r="D129" s="8" t="str">
        <f t="shared" si="3"/>
        <v>62831.8530717959i</v>
      </c>
      <c r="E129" s="9" t="str">
        <f t="shared" si="0"/>
        <v>4.61529067296816-7.20636944675453i</v>
      </c>
      <c r="F129" s="8">
        <f t="shared" si="4"/>
        <v>18.647048601200385</v>
      </c>
      <c r="G129">
        <f t="shared" si="5"/>
        <v>-57.362631060718329</v>
      </c>
      <c r="H129" t="str">
        <f t="shared" si="6"/>
        <v>2.17609401827246+0.0554702448531994i</v>
      </c>
      <c r="I129">
        <f t="shared" si="7"/>
        <v>6.7563741356295095</v>
      </c>
      <c r="J129">
        <f t="shared" si="8"/>
        <v>1.4601955537171956</v>
      </c>
      <c r="K129" s="14" t="str">
        <f t="shared" si="9"/>
        <v>10.4430455037488-15.4257261428457i</v>
      </c>
      <c r="L129" s="8">
        <f t="shared" si="10"/>
        <v>25.403422736829896</v>
      </c>
      <c r="M129" s="14">
        <f t="shared" si="11"/>
        <v>-55.902435507001044</v>
      </c>
    </row>
    <row r="130" spans="1:13" x14ac:dyDescent="0.25">
      <c r="A130">
        <v>4.0999999999999996</v>
      </c>
      <c r="B130" s="8">
        <f t="shared" si="1"/>
        <v>12589.254117941671</v>
      </c>
      <c r="C130" s="8">
        <f t="shared" si="2"/>
        <v>79100.616502201214</v>
      </c>
      <c r="D130" s="8" t="str">
        <f t="shared" si="3"/>
        <v>79100.6165022012i</v>
      </c>
      <c r="E130" s="9" t="str">
        <f t="shared" si="0"/>
        <v>0.0214726900841031-7.76151178201583i</v>
      </c>
      <c r="F130" s="8">
        <f t="shared" si="4"/>
        <v>17.798959661807288</v>
      </c>
      <c r="G130">
        <f t="shared" si="5"/>
        <v>-89.841488177516609</v>
      </c>
      <c r="H130" t="str">
        <f t="shared" si="6"/>
        <v>2.23218547046438+0.468254534263454i</v>
      </c>
      <c r="I130">
        <f t="shared" si="7"/>
        <v>7.1616319166060363</v>
      </c>
      <c r="J130">
        <f t="shared" si="8"/>
        <v>11.847378095925297</v>
      </c>
      <c r="K130" s="14" t="str">
        <f t="shared" si="9"/>
        <v>3.68229411148565-17.3150791441591i</v>
      </c>
      <c r="L130" s="8">
        <f t="shared" si="10"/>
        <v>24.960591578413315</v>
      </c>
      <c r="M130" s="14">
        <f t="shared" si="11"/>
        <v>-77.994110081591302</v>
      </c>
    </row>
    <row r="131" spans="1:13" x14ac:dyDescent="0.25">
      <c r="A131">
        <v>4.2</v>
      </c>
      <c r="B131" s="8">
        <f t="shared" si="1"/>
        <v>15848.931924611146</v>
      </c>
      <c r="C131" s="8">
        <f t="shared" si="2"/>
        <v>99581.776203206231</v>
      </c>
      <c r="D131" s="8" t="str">
        <f t="shared" si="3"/>
        <v>99581.7762032062i</v>
      </c>
      <c r="E131" s="9" t="str">
        <f t="shared" si="0"/>
        <v>-2.50493394358633-4.38045151100952i</v>
      </c>
      <c r="F131" s="8">
        <f t="shared" si="4"/>
        <v>14.059104143450774</v>
      </c>
      <c r="G131">
        <f t="shared" si="5"/>
        <v>-119.76281179740594</v>
      </c>
      <c r="H131" t="str">
        <f t="shared" si="6"/>
        <v>2.32035729258809+0.899453828469275i</v>
      </c>
      <c r="I131">
        <f t="shared" si="7"/>
        <v>7.9190635033466368</v>
      </c>
      <c r="J131">
        <f t="shared" si="8"/>
        <v>21.188120017820175</v>
      </c>
      <c r="K131" s="14" t="str">
        <f t="shared" si="9"/>
        <v>-1.87232786145045-12.4172850340208i</v>
      </c>
      <c r="L131" s="8">
        <f t="shared" si="10"/>
        <v>21.978167646797395</v>
      </c>
      <c r="M131" s="14">
        <f t="shared" si="11"/>
        <v>-98.574691779585763</v>
      </c>
    </row>
    <row r="132" spans="1:13" x14ac:dyDescent="0.25">
      <c r="A132">
        <v>4.3</v>
      </c>
      <c r="B132" s="8">
        <f t="shared" si="1"/>
        <v>19952.623149688792</v>
      </c>
      <c r="C132" s="8">
        <f t="shared" si="2"/>
        <v>125366.0286138159</v>
      </c>
      <c r="D132" s="8" t="str">
        <f t="shared" si="3"/>
        <v>125366.028613816i</v>
      </c>
      <c r="E132" s="9" t="str">
        <f t="shared" si="0"/>
        <v>-2.11321693976793-1.96821259593597i</v>
      </c>
      <c r="F132" s="8">
        <f t="shared" si="4"/>
        <v>9.2114244277511954</v>
      </c>
      <c r="G132">
        <f t="shared" si="5"/>
        <v>-137.03473902964706</v>
      </c>
      <c r="H132" t="str">
        <f t="shared" si="6"/>
        <v>2.45829739024461+1.36572108832688i</v>
      </c>
      <c r="I132">
        <f t="shared" si="7"/>
        <v>8.9808973398162308</v>
      </c>
      <c r="J132">
        <f t="shared" si="8"/>
        <v>29.054609726525168</v>
      </c>
      <c r="K132" s="14" t="str">
        <f t="shared" si="9"/>
        <v>-2.50688623947186-7.72451682688662i</v>
      </c>
      <c r="L132" s="8">
        <f t="shared" si="10"/>
        <v>18.192321767567428</v>
      </c>
      <c r="M132" s="14">
        <f t="shared" si="11"/>
        <v>-107.98012930312188</v>
      </c>
    </row>
    <row r="133" spans="1:13" x14ac:dyDescent="0.25">
      <c r="A133">
        <v>4.4000000000000004</v>
      </c>
      <c r="B133" s="8">
        <f t="shared" si="1"/>
        <v>25118.86431509586</v>
      </c>
      <c r="C133" s="8">
        <f t="shared" si="2"/>
        <v>157826.47919764792</v>
      </c>
      <c r="D133" s="8" t="str">
        <f t="shared" si="3"/>
        <v>157826.479197648i</v>
      </c>
      <c r="E133" s="9" t="str">
        <f t="shared" si="0"/>
        <v>-1.38421702064154-0.936771823737206i</v>
      </c>
      <c r="F133" s="8">
        <f t="shared" si="4"/>
        <v>4.4616394374822379</v>
      </c>
      <c r="G133">
        <f t="shared" si="5"/>
        <v>-145.91173914359632</v>
      </c>
      <c r="H133" t="str">
        <f t="shared" si="6"/>
        <v>2.67248139784412+1.87967412795921i</v>
      </c>
      <c r="I133">
        <f t="shared" si="7"/>
        <v>10.283813760769187</v>
      </c>
      <c r="J133">
        <f t="shared" si="8"/>
        <v>35.120412266817738</v>
      </c>
      <c r="K133" s="14" t="str">
        <f t="shared" si="9"/>
        <v>-1.93846847736373-5.10538219414288i</v>
      </c>
      <c r="L133" s="8">
        <f t="shared" si="10"/>
        <v>14.745453198251425</v>
      </c>
      <c r="M133" s="14">
        <f t="shared" si="11"/>
        <v>-110.79132687677856</v>
      </c>
    </row>
    <row r="134" spans="1:13" x14ac:dyDescent="0.25">
      <c r="A134">
        <v>4.5</v>
      </c>
      <c r="B134" s="8">
        <f t="shared" si="1"/>
        <v>31622.77660168384</v>
      </c>
      <c r="C134" s="8">
        <f t="shared" si="2"/>
        <v>198691.7653159223</v>
      </c>
      <c r="D134" s="8" t="str">
        <f t="shared" si="3"/>
        <v>198691.765315922i</v>
      </c>
      <c r="E134" s="9" t="str">
        <f t="shared" si="0"/>
        <v>-0.866698207398157-0.494521467904693i</v>
      </c>
      <c r="F134" s="8">
        <f t="shared" si="4"/>
        <v>-1.8639624941139177E-2</v>
      </c>
      <c r="G134">
        <f t="shared" si="5"/>
        <v>-150.29174363679289</v>
      </c>
      <c r="H134" t="str">
        <f t="shared" si="6"/>
        <v>3.00115115327823+2.44546067656342i</v>
      </c>
      <c r="I134">
        <f t="shared" si="7"/>
        <v>11.757201019922018</v>
      </c>
      <c r="J134">
        <f t="shared" si="8"/>
        <v>39.174555833527016</v>
      </c>
      <c r="K134" s="14" t="str">
        <f t="shared" si="9"/>
        <v>-1.39175952119981-3.60361005836321i</v>
      </c>
      <c r="L134" s="8">
        <f t="shared" si="10"/>
        <v>11.738561394980877</v>
      </c>
      <c r="M134" s="14">
        <f t="shared" si="11"/>
        <v>-111.11718780326592</v>
      </c>
    </row>
    <row r="135" spans="1:13" x14ac:dyDescent="0.25">
      <c r="A135">
        <v>4.5999999999999996</v>
      </c>
      <c r="B135" s="8">
        <f t="shared" si="1"/>
        <v>39810.717055349742</v>
      </c>
      <c r="C135" s="8">
        <f t="shared" si="2"/>
        <v>250138.11247045727</v>
      </c>
      <c r="D135" s="8" t="str">
        <f t="shared" si="3"/>
        <v>250138.112470457i</v>
      </c>
      <c r="E135" s="9" t="str">
        <f t="shared" si="0"/>
        <v>-0.539716755299367-0.287362569232596i</v>
      </c>
      <c r="F135" s="8">
        <f t="shared" si="4"/>
        <v>-4.2727773002701488</v>
      </c>
      <c r="G135">
        <f t="shared" si="5"/>
        <v>-151.96772619675508</v>
      </c>
      <c r="H135" t="str">
        <f t="shared" si="6"/>
        <v>3.49629390405399+3.0502707394919i</v>
      </c>
      <c r="I135">
        <f t="shared" si="7"/>
        <v>13.33008176309888</v>
      </c>
      <c r="J135">
        <f t="shared" si="8"/>
        <v>41.102411702738181</v>
      </c>
      <c r="K135" s="14" t="str">
        <f t="shared" si="9"/>
        <v>-1.01047476491357-2.65098622536439i</v>
      </c>
      <c r="L135" s="8">
        <f t="shared" si="10"/>
        <v>9.0573044628287356</v>
      </c>
      <c r="M135" s="14">
        <f t="shared" si="11"/>
        <v>-110.86531449401681</v>
      </c>
    </row>
    <row r="136" spans="1:13" x14ac:dyDescent="0.25">
      <c r="A136">
        <v>4.7</v>
      </c>
      <c r="B136" s="8">
        <f t="shared" si="1"/>
        <v>50118.723362727294</v>
      </c>
      <c r="C136" s="8">
        <f t="shared" si="2"/>
        <v>314905.22624728642</v>
      </c>
      <c r="D136" s="8" t="str">
        <f t="shared" si="3"/>
        <v>314905.226247286i</v>
      </c>
      <c r="E136" s="9" t="str">
        <f t="shared" si="0"/>
        <v>-0.336878956641883-0.181141523637296i</v>
      </c>
      <c r="F136" s="8">
        <f t="shared" si="4"/>
        <v>-8.3475661485570036</v>
      </c>
      <c r="G136">
        <f t="shared" si="5"/>
        <v>-151.73285509439884</v>
      </c>
      <c r="H136" t="str">
        <f t="shared" si="6"/>
        <v>4.22122136083888+3.65033489574953i</v>
      </c>
      <c r="I136">
        <f t="shared" si="7"/>
        <v>14.933695745708002</v>
      </c>
      <c r="J136">
        <f t="shared" si="8"/>
        <v>40.851872893901024</v>
      </c>
      <c r="K136" s="14" t="str">
        <f t="shared" si="9"/>
        <v>-0.760813422991372-1.99435947998621i</v>
      </c>
      <c r="L136" s="8">
        <f t="shared" si="10"/>
        <v>6.586129597150987</v>
      </c>
      <c r="M136" s="14">
        <f t="shared" si="11"/>
        <v>-110.88098220049783</v>
      </c>
    </row>
    <row r="137" spans="1:13" x14ac:dyDescent="0.25">
      <c r="A137">
        <v>4.8</v>
      </c>
      <c r="B137" s="8">
        <f t="shared" si="1"/>
        <v>63095.734448019342</v>
      </c>
      <c r="C137" s="8">
        <f t="shared" si="2"/>
        <v>396442.19162950001</v>
      </c>
      <c r="D137" s="8" t="str">
        <f t="shared" si="3"/>
        <v>396442.1916295i</v>
      </c>
      <c r="E137" s="9" t="str">
        <f t="shared" si="0"/>
        <v>-0.210934516214054-0.121968457748903i</v>
      </c>
      <c r="F137" s="8">
        <f t="shared" si="4"/>
        <v>-12.264353298167215</v>
      </c>
      <c r="G137">
        <f t="shared" si="5"/>
        <v>-149.96225300629933</v>
      </c>
      <c r="H137" t="str">
        <f t="shared" si="6"/>
        <v>5.23701737621626+4.1522291889304i</v>
      </c>
      <c r="I137">
        <f t="shared" si="7"/>
        <v>16.499902677310921</v>
      </c>
      <c r="J137">
        <f t="shared" si="8"/>
        <v>38.409542747950297</v>
      </c>
      <c r="K137" s="14" t="str">
        <f t="shared" si="9"/>
        <v>-0.598226736262952-1.51459938775821i</v>
      </c>
      <c r="L137" s="8">
        <f t="shared" si="10"/>
        <v>4.235549379143702</v>
      </c>
      <c r="M137" s="14">
        <f t="shared" si="11"/>
        <v>-111.55271025834909</v>
      </c>
    </row>
    <row r="138" spans="1:13" x14ac:dyDescent="0.25">
      <c r="A138">
        <v>4.9000000000000004</v>
      </c>
      <c r="B138" s="8">
        <f t="shared" si="1"/>
        <v>79432.823472428237</v>
      </c>
      <c r="C138" s="8">
        <f t="shared" si="2"/>
        <v>499091.14934975083</v>
      </c>
      <c r="D138" s="8" t="str">
        <f t="shared" si="3"/>
        <v>499091.149349751i</v>
      </c>
      <c r="E138" s="9" t="str">
        <f t="shared" si="0"/>
        <v>-0.132409406096214-0.0864112408828774i</v>
      </c>
      <c r="F138" s="8">
        <f t="shared" si="4"/>
        <v>-16.02074698982722</v>
      </c>
      <c r="G138">
        <f t="shared" si="5"/>
        <v>-146.87127170305624</v>
      </c>
      <c r="H138" t="str">
        <f t="shared" si="6"/>
        <v>6.56859885756805+4.3976774634466i</v>
      </c>
      <c r="I138">
        <f t="shared" si="7"/>
        <v>17.957831277661633</v>
      </c>
      <c r="J138">
        <f t="shared" si="8"/>
        <v>33.802311662754811</v>
      </c>
      <c r="K138" s="14" t="str">
        <f t="shared" si="9"/>
        <v>-0.48973550699577-1.14989463928198i</v>
      </c>
      <c r="L138" s="8">
        <f t="shared" si="10"/>
        <v>1.9370842878344405</v>
      </c>
      <c r="M138" s="14">
        <f t="shared" si="11"/>
        <v>-113.06896004030133</v>
      </c>
    </row>
    <row r="139" spans="1:13" x14ac:dyDescent="0.25">
      <c r="A139">
        <v>5</v>
      </c>
      <c r="B139" s="8">
        <f t="shared" si="1"/>
        <v>100000</v>
      </c>
      <c r="C139" s="8">
        <f t="shared" si="2"/>
        <v>628318.53071795858</v>
      </c>
      <c r="D139" s="8" t="str">
        <f t="shared" si="3"/>
        <v>628318.530717959i</v>
      </c>
      <c r="E139" s="9" t="str">
        <f t="shared" si="0"/>
        <v>-0.083265359033476-0.0635479467435978i</v>
      </c>
      <c r="F139" s="8">
        <f t="shared" si="4"/>
        <v>-19.597355145446599</v>
      </c>
      <c r="G139">
        <f t="shared" si="5"/>
        <v>-142.64920265559289</v>
      </c>
      <c r="H139" t="str">
        <f t="shared" si="6"/>
        <v>8.14688676927462+4.17368273368118i</v>
      </c>
      <c r="I139">
        <f t="shared" si="7"/>
        <v>19.231994031675342</v>
      </c>
      <c r="J139">
        <f t="shared" si="8"/>
        <v>27.126245289454314</v>
      </c>
      <c r="K139" s="14" t="str">
        <f t="shared" si="9"/>
        <v>-0.413124483764081-0.865241117851768i</v>
      </c>
      <c r="L139" s="8">
        <f t="shared" si="10"/>
        <v>-0.36536111377125674</v>
      </c>
      <c r="M139" s="14">
        <f t="shared" si="11"/>
        <v>-115.52295736613856</v>
      </c>
    </row>
    <row r="140" spans="1:13" x14ac:dyDescent="0.25">
      <c r="A140">
        <v>5.0999999999999996</v>
      </c>
      <c r="B140" s="8">
        <f t="shared" si="1"/>
        <v>125892.54117941685</v>
      </c>
      <c r="C140" s="8">
        <f t="shared" si="2"/>
        <v>791006.16502201289</v>
      </c>
      <c r="D140" s="8" t="str">
        <f t="shared" si="3"/>
        <v>791006.165022013i</v>
      </c>
      <c r="E140" s="9" t="str">
        <f t="shared" si="0"/>
        <v>-0.0524237785727577-0.0479752068540191i</v>
      </c>
      <c r="F140" s="8">
        <f t="shared" si="4"/>
        <v>-22.967195410821638</v>
      </c>
      <c r="G140">
        <f t="shared" si="5"/>
        <v>-137.53705529216194</v>
      </c>
      <c r="H140" t="str">
        <f t="shared" si="6"/>
        <v>9.74914731350626+3.27914960404087i</v>
      </c>
      <c r="I140">
        <f t="shared" si="7"/>
        <v>20.244803127336183</v>
      </c>
      <c r="J140">
        <f t="shared" si="8"/>
        <v>18.590492042374979</v>
      </c>
      <c r="K140" s="14" t="str">
        <f t="shared" si="9"/>
        <v>-0.353769259477312-0.639622771764952i</v>
      </c>
      <c r="L140" s="8">
        <f t="shared" si="10"/>
        <v>-2.7223922834854557</v>
      </c>
      <c r="M140" s="14">
        <f t="shared" si="11"/>
        <v>-118.94656324978696</v>
      </c>
    </row>
    <row r="141" spans="1:13" x14ac:dyDescent="0.25">
      <c r="A141">
        <v>5.2</v>
      </c>
      <c r="B141" s="8">
        <f t="shared" si="1"/>
        <v>158489.31924611164</v>
      </c>
      <c r="C141" s="8">
        <f t="shared" si="2"/>
        <v>995817.76203206345</v>
      </c>
      <c r="D141" s="8" t="str">
        <f t="shared" si="3"/>
        <v>995817.762032063i</v>
      </c>
      <c r="E141" s="9" t="str">
        <f t="shared" si="0"/>
        <v>-0.0330316778836279-0.0368689656657075i</v>
      </c>
      <c r="F141" s="8">
        <f t="shared" si="4"/>
        <v>-26.107608232774307</v>
      </c>
      <c r="G141">
        <f t="shared" si="5"/>
        <v>-131.85782670185179</v>
      </c>
      <c r="H141" t="str">
        <f t="shared" si="6"/>
        <v>10.9996575431414+1.6538916276967i</v>
      </c>
      <c r="I141">
        <f t="shared" si="7"/>
        <v>20.924673735951718</v>
      </c>
      <c r="J141">
        <f t="shared" si="8"/>
        <v>8.5508511566665053</v>
      </c>
      <c r="K141" s="14" t="str">
        <f t="shared" si="9"/>
        <v>-0.302359871158914-0.460176811793127i</v>
      </c>
      <c r="L141" s="8">
        <f t="shared" si="10"/>
        <v>-5.1829344968225897</v>
      </c>
      <c r="M141" s="14">
        <f t="shared" si="11"/>
        <v>-123.30697554518531</v>
      </c>
    </row>
    <row r="142" spans="1:13" x14ac:dyDescent="0.25">
      <c r="A142">
        <v>5.3</v>
      </c>
      <c r="B142" s="8">
        <f t="shared" si="1"/>
        <v>199526.23149688813</v>
      </c>
      <c r="C142" s="8">
        <f t="shared" si="2"/>
        <v>1253660.2861381602</v>
      </c>
      <c r="D142" s="8" t="str">
        <f t="shared" si="3"/>
        <v>1253660.28613816i</v>
      </c>
      <c r="E142" s="9" t="str">
        <f t="shared" si="0"/>
        <v>-0.020823357312774-0.0286698210450528i</v>
      </c>
      <c r="F142" s="8">
        <f t="shared" si="4"/>
        <v>-29.011587761745904</v>
      </c>
      <c r="G142">
        <f t="shared" si="5"/>
        <v>-125.99151405915013</v>
      </c>
      <c r="H142" t="str">
        <f t="shared" si="6"/>
        <v>11.4939501799579-0.500666128749097i</v>
      </c>
      <c r="I142">
        <f t="shared" si="7"/>
        <v>21.217618682487398</v>
      </c>
      <c r="J142">
        <f t="shared" si="8"/>
        <v>-2.494175924871938</v>
      </c>
      <c r="K142" s="14" t="str">
        <f t="shared" si="9"/>
        <v>-0.253696639847042-0.3191039450668i</v>
      </c>
      <c r="L142" s="8">
        <f t="shared" si="10"/>
        <v>-7.7939690792585035</v>
      </c>
      <c r="M142" s="14">
        <f t="shared" si="11"/>
        <v>-128.485689984022</v>
      </c>
    </row>
    <row r="143" spans="1:13" x14ac:dyDescent="0.25">
      <c r="A143">
        <v>5.4</v>
      </c>
      <c r="B143" s="8">
        <f t="shared" si="1"/>
        <v>251188.64315095844</v>
      </c>
      <c r="C143" s="8">
        <f t="shared" si="2"/>
        <v>1578264.7919764782</v>
      </c>
      <c r="D143" s="8" t="str">
        <f t="shared" si="3"/>
        <v>1578264.79197648i</v>
      </c>
      <c r="E143" s="9" t="str">
        <f t="shared" si="0"/>
        <v>-0.0131313679731356-0.0224659007798863i</v>
      </c>
      <c r="F143" s="8">
        <f t="shared" si="4"/>
        <v>-31.693154233199749</v>
      </c>
      <c r="G143">
        <f t="shared" si="5"/>
        <v>-120.30637896815028</v>
      </c>
      <c r="H143" t="str">
        <f t="shared" si="6"/>
        <v>11.0121062405901-2.73632147797396i</v>
      </c>
      <c r="I143">
        <f t="shared" si="7"/>
        <v>21.097605246775121</v>
      </c>
      <c r="J143">
        <f t="shared" si="8"/>
        <v>-13.954410808611394</v>
      </c>
      <c r="K143" s="14" t="str">
        <f t="shared" si="9"/>
        <v>-0.206077946030486-0.211465241958594i</v>
      </c>
      <c r="L143" s="8">
        <f t="shared" si="10"/>
        <v>-10.595548986424623</v>
      </c>
      <c r="M143" s="14">
        <f t="shared" si="11"/>
        <v>-134.26078977676156</v>
      </c>
    </row>
    <row r="144" spans="1:13" x14ac:dyDescent="0.25">
      <c r="A144">
        <v>5.5</v>
      </c>
      <c r="B144" s="8">
        <f t="shared" si="1"/>
        <v>316227.7660168382</v>
      </c>
      <c r="C144" s="8">
        <f t="shared" si="2"/>
        <v>1986917.6531592219</v>
      </c>
      <c r="D144" s="8" t="str">
        <f t="shared" si="3"/>
        <v>1986917.65315922i</v>
      </c>
      <c r="E144" s="9" t="str">
        <f t="shared" si="0"/>
        <v>-0.00828242704440794-0.0176917346257083i</v>
      </c>
      <c r="F144" s="8">
        <f t="shared" si="4"/>
        <v>-34.183961046151332</v>
      </c>
      <c r="G144">
        <f t="shared" si="5"/>
        <v>-115.08675400363065</v>
      </c>
      <c r="H144" t="str">
        <f t="shared" si="6"/>
        <v>9.66105088891543-4.55264998305337i</v>
      </c>
      <c r="I144">
        <f t="shared" si="7"/>
        <v>20.57142985689358</v>
      </c>
      <c r="J144">
        <f t="shared" si="8"/>
        <v>-25.23157415293263</v>
      </c>
      <c r="K144" s="14" t="str">
        <f t="shared" si="9"/>
        <v>-0.16056122450367-0.13321375718879i</v>
      </c>
      <c r="L144" s="8">
        <f t="shared" si="10"/>
        <v>-13.612531189257769</v>
      </c>
      <c r="M144" s="14">
        <f t="shared" si="11"/>
        <v>-140.31832815656338</v>
      </c>
    </row>
    <row r="145" spans="1:13" x14ac:dyDescent="0.25">
      <c r="A145">
        <v>5.6</v>
      </c>
      <c r="B145" s="8">
        <f t="shared" si="1"/>
        <v>398107.17055349716</v>
      </c>
      <c r="C145" s="8">
        <f t="shared" si="2"/>
        <v>2501381.124704571</v>
      </c>
      <c r="D145" s="8" t="str">
        <f t="shared" si="3"/>
        <v>2501381.12470457i</v>
      </c>
      <c r="E145" s="9" t="str">
        <f t="shared" si="0"/>
        <v>-0.00522469954412533-0.0139762292594479i</v>
      </c>
      <c r="F145" s="8">
        <f t="shared" si="4"/>
        <v>-36.524114960807871</v>
      </c>
      <c r="G145">
        <f t="shared" si="5"/>
        <v>-110.49712812630361</v>
      </c>
      <c r="H145" t="str">
        <f t="shared" si="6"/>
        <v>7.81303868981439-5.63690281890108i</v>
      </c>
      <c r="I145">
        <f t="shared" si="7"/>
        <v>19.676333617178013</v>
      </c>
      <c r="J145">
        <f t="shared" si="8"/>
        <v>-35.809461738568643</v>
      </c>
      <c r="K145" s="14" t="str">
        <f t="shared" si="9"/>
        <v>-0.119603425791096-0.0797456963535911i</v>
      </c>
      <c r="L145" s="8">
        <f t="shared" si="10"/>
        <v>-16.847781343629883</v>
      </c>
      <c r="M145" s="14">
        <f t="shared" si="11"/>
        <v>-146.30658986487217</v>
      </c>
    </row>
    <row r="146" spans="1:13" x14ac:dyDescent="0.25">
      <c r="A146">
        <v>5.7</v>
      </c>
      <c r="B146" s="8">
        <f t="shared" si="1"/>
        <v>501187.23362727347</v>
      </c>
      <c r="C146" s="8">
        <f t="shared" si="2"/>
        <v>3149052.2624728675</v>
      </c>
      <c r="D146" s="8" t="str">
        <f t="shared" si="3"/>
        <v>3149052.26247287i</v>
      </c>
      <c r="E146" s="9" t="str">
        <f t="shared" si="0"/>
        <v>-0.00329610086067211-0.0110632620221748i</v>
      </c>
      <c r="F146" s="8">
        <f t="shared" si="4"/>
        <v>-38.753000364119536</v>
      </c>
      <c r="G146">
        <f t="shared" si="5"/>
        <v>-106.59048330812693</v>
      </c>
      <c r="H146" t="str">
        <f t="shared" si="6"/>
        <v>5.89608138386213-5.96302758900018i</v>
      </c>
      <c r="I146">
        <f t="shared" si="7"/>
        <v>18.470879635790055</v>
      </c>
      <c r="J146">
        <f t="shared" si="8"/>
        <v>-45.323438655746067</v>
      </c>
      <c r="K146" s="14" t="str">
        <f t="shared" si="9"/>
        <v>-0.085404615586507-0.0455751528854187i</v>
      </c>
      <c r="L146" s="8">
        <f t="shared" si="10"/>
        <v>-20.282120728329481</v>
      </c>
      <c r="M146" s="14">
        <f t="shared" si="11"/>
        <v>-151.91392196387295</v>
      </c>
    </row>
    <row r="147" spans="1:13" x14ac:dyDescent="0.25">
      <c r="A147">
        <v>5.8</v>
      </c>
      <c r="B147" s="8">
        <f t="shared" si="1"/>
        <v>630957.34448019415</v>
      </c>
      <c r="C147" s="8">
        <f t="shared" si="2"/>
        <v>3964421.9162950045</v>
      </c>
      <c r="D147" s="8" t="str">
        <f t="shared" si="3"/>
        <v>3964421.916295i</v>
      </c>
      <c r="E147" s="9" t="str">
        <f t="shared" si="0"/>
        <v>-0.00207951513645776-0.00876860492152102i</v>
      </c>
      <c r="F147" s="8">
        <f t="shared" si="4"/>
        <v>-40.903754331994421</v>
      </c>
      <c r="G147">
        <f t="shared" si="5"/>
        <v>-103.3414845920931</v>
      </c>
      <c r="H147" t="str">
        <f t="shared" si="6"/>
        <v>4.2130995635801-5.71176230765596i</v>
      </c>
      <c r="I147">
        <f t="shared" si="7"/>
        <v>17.022102018500803</v>
      </c>
      <c r="J147">
        <f t="shared" si="8"/>
        <v>-53.586840914398294</v>
      </c>
      <c r="K147" s="14" t="str">
        <f t="shared" si="9"/>
        <v>-0.0588453913953387-0.0250653093934471i</v>
      </c>
      <c r="L147" s="8">
        <f t="shared" si="10"/>
        <v>-23.881652313493621</v>
      </c>
      <c r="M147" s="14">
        <f t="shared" si="11"/>
        <v>-156.92832550649135</v>
      </c>
    </row>
    <row r="148" spans="1:13" x14ac:dyDescent="0.25">
      <c r="A148">
        <v>5.9</v>
      </c>
      <c r="B148" s="8">
        <f t="shared" si="1"/>
        <v>794328.23472428333</v>
      </c>
      <c r="C148" s="8">
        <f t="shared" si="2"/>
        <v>4990911.4934975151</v>
      </c>
      <c r="D148" s="8" t="str">
        <f t="shared" si="3"/>
        <v>4990911.49349752i</v>
      </c>
      <c r="E148" s="9" t="str">
        <f t="shared" si="0"/>
        <v>-0.00131201210547371-0.00695550408881041i</v>
      </c>
      <c r="F148" s="8">
        <f t="shared" si="4"/>
        <v>-43.001586949509843</v>
      </c>
      <c r="G148">
        <f t="shared" si="5"/>
        <v>-100.6821509869536</v>
      </c>
      <c r="H148" t="str">
        <f t="shared" si="6"/>
        <v>2.89119469080601-5.12489378701741i</v>
      </c>
      <c r="I148">
        <f t="shared" si="7"/>
        <v>15.393715076844469</v>
      </c>
      <c r="J148">
        <f t="shared" si="8"/>
        <v>-60.57060175874134</v>
      </c>
      <c r="K148" s="14" t="str">
        <f t="shared" si="9"/>
        <v>-0.0394395021239375-0.0133857938056143i</v>
      </c>
      <c r="L148" s="8">
        <f t="shared" si="10"/>
        <v>-27.607871872665367</v>
      </c>
      <c r="M148" s="14">
        <f t="shared" si="11"/>
        <v>-161.25275274569498</v>
      </c>
    </row>
    <row r="149" spans="1:13" x14ac:dyDescent="0.25">
      <c r="A149">
        <v>6</v>
      </c>
      <c r="B149" s="8">
        <f t="shared" si="1"/>
        <v>1000000</v>
      </c>
      <c r="C149" s="8">
        <f t="shared" si="2"/>
        <v>6283185.307179586</v>
      </c>
      <c r="D149" s="8" t="str">
        <f t="shared" si="3"/>
        <v>6283185.30717959i</v>
      </c>
      <c r="E149" s="9" t="str">
        <f t="shared" si="0"/>
        <v>-0.000827794508711801-0.00552012013366062i</v>
      </c>
      <c r="F149" s="8">
        <f t="shared" si="4"/>
        <v>-45.064447833311718</v>
      </c>
      <c r="G149">
        <f t="shared" si="5"/>
        <v>-98.52849672265512</v>
      </c>
      <c r="H149" t="str">
        <f t="shared" si="6"/>
        <v>1.92826274911648-4.40417906807441i</v>
      </c>
      <c r="I149">
        <f t="shared" si="7"/>
        <v>13.638937191580347</v>
      </c>
      <c r="J149">
        <f t="shared" si="8"/>
        <v>-66.354961316318736</v>
      </c>
      <c r="K149" s="14" t="str">
        <f t="shared" si="9"/>
        <v>-0.0259078028609964-0.0069984867764502i</v>
      </c>
      <c r="L149" s="8">
        <f t="shared" si="10"/>
        <v>-31.425510641731353</v>
      </c>
      <c r="M149" s="14">
        <f t="shared" si="11"/>
        <v>-164.88345803897388</v>
      </c>
    </row>
    <row r="150" spans="1:13" x14ac:dyDescent="0.25">
      <c r="B150" s="8"/>
      <c r="C150" s="8"/>
      <c r="D150" s="8"/>
      <c r="F150" s="8"/>
    </row>
    <row r="151" spans="1:13" x14ac:dyDescent="0.25">
      <c r="B151" s="8"/>
      <c r="C151" s="8"/>
      <c r="D151" s="8"/>
      <c r="F151" s="8"/>
    </row>
    <row r="152" spans="1:13" x14ac:dyDescent="0.25">
      <c r="B152" s="8"/>
      <c r="C152" s="8"/>
      <c r="D152" s="8"/>
      <c r="F152" s="8"/>
    </row>
    <row r="153" spans="1:13" x14ac:dyDescent="0.25">
      <c r="B153" s="8"/>
      <c r="C153" s="8"/>
      <c r="D153" s="8"/>
      <c r="F153" s="8"/>
    </row>
    <row r="154" spans="1:13" x14ac:dyDescent="0.25">
      <c r="B154" s="8"/>
      <c r="C154" s="8"/>
      <c r="D154" s="8"/>
      <c r="F154" s="8"/>
    </row>
    <row r="155" spans="1:13" x14ac:dyDescent="0.25">
      <c r="B155" s="8"/>
      <c r="C155" s="8"/>
      <c r="D155" s="8"/>
      <c r="F155" s="8"/>
    </row>
    <row r="156" spans="1:13" x14ac:dyDescent="0.25">
      <c r="B156" s="8"/>
      <c r="C156" s="8"/>
      <c r="D156" s="8"/>
      <c r="F156" s="8"/>
    </row>
    <row r="157" spans="1:13" x14ac:dyDescent="0.25">
      <c r="B157" s="8"/>
      <c r="C157" s="8"/>
      <c r="D157" s="8"/>
      <c r="F157" s="8"/>
    </row>
    <row r="158" spans="1:13" x14ac:dyDescent="0.25">
      <c r="B158" s="8"/>
      <c r="C158" s="8"/>
      <c r="D158" s="8"/>
      <c r="F158" s="8"/>
    </row>
    <row r="159" spans="1:13" x14ac:dyDescent="0.25">
      <c r="B159" s="8"/>
      <c r="C159" s="8"/>
      <c r="D159" s="8"/>
      <c r="F159" s="8"/>
    </row>
    <row r="160" spans="1:13" x14ac:dyDescent="0.25">
      <c r="B160" s="8"/>
      <c r="C160" s="8"/>
      <c r="D160" s="8"/>
      <c r="F160" s="8"/>
    </row>
    <row r="161" spans="1:11" x14ac:dyDescent="0.25">
      <c r="B161" s="8"/>
      <c r="C161" s="8"/>
      <c r="D161" s="8"/>
      <c r="F161" s="8"/>
    </row>
    <row r="162" spans="1:11" x14ac:dyDescent="0.25">
      <c r="B162" s="8"/>
      <c r="C162" s="8"/>
      <c r="D162" s="8"/>
      <c r="F162" s="8"/>
    </row>
    <row r="163" spans="1:11" x14ac:dyDescent="0.25">
      <c r="B163" s="8"/>
      <c r="C163" s="8"/>
      <c r="D163" s="8"/>
      <c r="F163" s="8"/>
    </row>
    <row r="164" spans="1:11" s="19" customFormat="1" ht="15" customHeight="1" x14ac:dyDescent="0.25">
      <c r="A164" s="39" t="s">
        <v>47</v>
      </c>
      <c r="B164" s="40"/>
      <c r="C164" s="40"/>
      <c r="D164" s="40"/>
      <c r="E164" s="40"/>
      <c r="F164" s="40"/>
      <c r="G164" s="40"/>
      <c r="H164" s="40"/>
      <c r="I164" s="40"/>
      <c r="J164" s="40"/>
      <c r="K164" s="18"/>
    </row>
    <row r="165" spans="1:11" s="19" customFormat="1" ht="18.75" customHeight="1" x14ac:dyDescent="0.25">
      <c r="A165" s="40"/>
      <c r="B165" s="40"/>
      <c r="C165" s="40"/>
      <c r="D165" s="40"/>
      <c r="E165" s="40"/>
      <c r="F165" s="40"/>
      <c r="G165" s="40"/>
      <c r="H165" s="40"/>
      <c r="I165" s="40"/>
      <c r="J165" s="40"/>
      <c r="K165" s="18"/>
    </row>
    <row r="166" spans="1:11" s="19" customFormat="1" ht="15" customHeight="1" x14ac:dyDescent="0.3">
      <c r="A166" s="39"/>
      <c r="B166" s="40"/>
      <c r="C166" s="40"/>
      <c r="D166" s="40"/>
      <c r="E166" s="40"/>
      <c r="F166" s="40"/>
      <c r="G166" s="40"/>
      <c r="H166" s="40"/>
      <c r="I166" s="40"/>
      <c r="J166" s="40"/>
      <c r="K166" s="18"/>
    </row>
    <row r="167" spans="1:11" s="19" customFormat="1" ht="15.75" x14ac:dyDescent="0.25">
      <c r="A167" s="5" t="s">
        <v>48</v>
      </c>
      <c r="B167" s="5"/>
      <c r="C167" s="35">
        <f>1.3*D20</f>
        <v>26</v>
      </c>
      <c r="D167" s="7">
        <v>30</v>
      </c>
      <c r="E167" s="19" t="s">
        <v>11</v>
      </c>
    </row>
    <row r="168" spans="1:11" s="19" customFormat="1" ht="15.75" x14ac:dyDescent="0.25">
      <c r="A168" s="5" t="s">
        <v>49</v>
      </c>
      <c r="B168" s="5"/>
      <c r="C168" s="5"/>
      <c r="D168" s="36">
        <f>2*(D167+0.5*D31-D17/D28*150*0.000000001)*2.5*0.001*(1+0)/(33*0.000001*(1+0))</f>
        <v>4815.2507093650329</v>
      </c>
      <c r="E168" s="20" t="s">
        <v>13</v>
      </c>
      <c r="F168" s="21"/>
      <c r="G168" s="5"/>
    </row>
    <row r="169" spans="1:11" s="19" customFormat="1" ht="15.75" x14ac:dyDescent="0.25">
      <c r="A169" s="5"/>
      <c r="B169" s="5"/>
      <c r="C169" s="5"/>
      <c r="D169" s="5"/>
      <c r="E169" s="5"/>
      <c r="F169" s="5"/>
      <c r="G169" s="5"/>
    </row>
    <row r="170" spans="1:11" s="19" customFormat="1" ht="15.75" x14ac:dyDescent="0.25">
      <c r="A170" s="5"/>
      <c r="B170" s="5"/>
      <c r="C170" s="5"/>
      <c r="D170" s="5"/>
      <c r="E170" s="5"/>
      <c r="F170" s="5"/>
      <c r="G170" s="5"/>
    </row>
  </sheetData>
  <sheetProtection algorithmName="SHA-512" hashValue="SPQepmJcwCxKPm2du1TdScxXkxotqOlUNTgeQNHl+I7Px0aVK7nFjytX1eANyTOoJ/yRWKniljHAlJo/ZYMxzA==" saltValue="/7VNS6/3HFlr9w4lFNnTxg==" spinCount="100000" sheet="1" objects="1" scenarios="1"/>
  <protectedRanges>
    <protectedRange algorithmName="SHA-512" hashValue="CadJWtpDbCZ8ZeWs3/dTSjMpsReZd0HAvDrnUCWrBKdORmC58hdepUKjRGDkJ7A1YuW2ntR12TmDvRYnBanLzA==" saltValue="qWoquHlM+EcpQLHX/mVwxA==" spinCount="100000" sqref="D168 C167 D105 D103 D101 D99 D97 D95 D94 D77 D76 D75 D74 D72 D71 F71 D66 D65 D64 D63 D58 D57 D55 D54 D52 D51 D49 D48 D47 D42 D40 D35 D33 D32 D31 D28" name="Range1"/>
  </protectedRanges>
  <mergeCells count="10">
    <mergeCell ref="A164:J165"/>
    <mergeCell ref="A166:J166"/>
    <mergeCell ref="A61:J61"/>
    <mergeCell ref="A2:J3"/>
    <mergeCell ref="A25:J26"/>
    <mergeCell ref="A27:J27"/>
    <mergeCell ref="A4:J4"/>
    <mergeCell ref="A59:J60"/>
    <mergeCell ref="A11:J12"/>
    <mergeCell ref="A13:J13"/>
  </mergeCells>
  <dataValidations count="10">
    <dataValidation type="list" allowBlank="1" showInputMessage="1" showErrorMessage="1" sqref="D18:D19">
      <formula1>"1,2,3,5,8,10,15,20,25,30,35,40,45,50"</formula1>
    </dataValidation>
    <dataValidation type="list" allowBlank="1" showInputMessage="1" showErrorMessage="1" sqref="D29">
      <formula1>"100e-9,120e-9,150e-9,160e-9,200e-9,220e-9,250e-9,300e-9,330e-9,470e-9,560e-9,680e-9,820e-9,1.0e-6,1.2e-6,1.5e-6,1.8e-6,2.0e-6,2.2e-6,2.4e-6,2.7e-6,3.3e-6,4.6e-6,5.6e-6,6.8e-6,8.2e-6,10e-6"</formula1>
    </dataValidation>
    <dataValidation type="list" allowBlank="1" showInputMessage="1" showErrorMessage="1" sqref="D15">
      <formula1>"0.5,1,2,3,5,8,10,15,20,25,30,35,40,45,50"</formula1>
    </dataValidation>
    <dataValidation type="list" allowBlank="1" showInputMessage="1" showErrorMessage="1" sqref="D21">
      <formula1>"1,2.5,5,10"</formula1>
    </dataValidation>
    <dataValidation type="list" allowBlank="1" showInputMessage="1" showErrorMessage="1" sqref="D22:D23">
      <formula1>"25,50,75,100"</formula1>
    </dataValidation>
    <dataValidation type="list" allowBlank="1" showInputMessage="1" showErrorMessage="1" sqref="D24">
      <formula1>"300,500,1000"</formula1>
    </dataValidation>
    <dataValidation type="list" allowBlank="1" showInputMessage="1" showErrorMessage="1" sqref="D39">
      <formula1>"1,2,3,4,5,6,7,8,9,10"</formula1>
    </dataValidation>
    <dataValidation type="list" allowBlank="1" showInputMessage="1" showErrorMessage="1" sqref="D46">
      <formula1>"1,2,3,4,5,6,7,8,9,10,11,12,13,14,15,16,17,18,19,20"</formula1>
    </dataValidation>
    <dataValidation type="list" allowBlank="1" showInputMessage="1" showErrorMessage="1" sqref="D62">
      <formula1>"6.6,6.3,5.4,1.4,6.5"</formula1>
    </dataValidation>
    <dataValidation type="list" allowBlank="1" showInputMessage="1" showErrorMessage="1" sqref="D167">
      <formula1>"5,10,15,20,25,30,35"</formula1>
    </dataValidation>
  </dataValidations>
  <pageMargins left="0.7" right="0.7" top="0.75" bottom="0.75" header="0.3" footer="0.3"/>
  <pageSetup orientation="portrait" horizontalDpi="1200" verticalDpi="1200" r:id="rId1"/>
  <drawing r:id="rId2"/>
  <legacyDrawing r:id="rId3"/>
  <oleObjects>
    <mc:AlternateContent xmlns:mc="http://schemas.openxmlformats.org/markup-compatibility/2006">
      <mc:Choice Requires="x14">
        <oleObject progId="Visio.Drawing.11" shapeId="1025" r:id="rId4">
          <objectPr defaultSize="0" autoPict="0" r:id="rId5">
            <anchor moveWithCells="1">
              <from>
                <xdr:col>0</xdr:col>
                <xdr:colOff>0</xdr:colOff>
                <xdr:row>78</xdr:row>
                <xdr:rowOff>0</xdr:rowOff>
              </from>
              <to>
                <xdr:col>8</xdr:col>
                <xdr:colOff>628650</xdr:colOff>
                <xdr:row>90</xdr:row>
                <xdr:rowOff>57150</xdr:rowOff>
              </to>
            </anchor>
          </objectPr>
        </oleObject>
      </mc:Choice>
      <mc:Fallback>
        <oleObject progId="Visio.Drawing.11" shapeId="1025"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16EE7C8849A5C45A36CFD56FD558130" ma:contentTypeVersion="3" ma:contentTypeDescription="Create a new document." ma:contentTypeScope="" ma:versionID="03a2f360db6626266e9a083497960b66">
  <xsd:schema xmlns:xsd="http://www.w3.org/2001/XMLSchema" xmlns:xs="http://www.w3.org/2001/XMLSchema" xmlns:p="http://schemas.microsoft.com/office/2006/metadata/properties" xmlns:ns2="0998f66b-55e4-4243-9280-f35ae9cfd8b5" targetNamespace="http://schemas.microsoft.com/office/2006/metadata/properties" ma:root="true" ma:fieldsID="59c9a99471d09297786768a00e97b66a" ns2:_="">
    <xsd:import namespace="0998f66b-55e4-4243-9280-f35ae9cfd8b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8f66b-55e4-4243-9280-f35ae9cfd8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998f66b-55e4-4243-9280-f35ae9cfd8b5">FUUCS4QZAH6U-755-9</_dlc_DocId>
    <_dlc_DocIdUrl xmlns="0998f66b-55e4-4243-9280-f35ae9cfd8b5">
      <Url>http://theconnection.onsemi.com/business/cp/applications/npd/_layouts/15/DocIdRedir.aspx?ID=FUUCS4QZAH6U-755-9</Url>
      <Description>FUUCS4QZAH6U-755-9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6B65729-BE9F-448D-9F8B-ACD865388F53}">
  <ds:schemaRefs>
    <ds:schemaRef ds:uri="http://schemas.microsoft.com/sharepoint/v3/contenttype/forms"/>
  </ds:schemaRefs>
</ds:datastoreItem>
</file>

<file path=customXml/itemProps2.xml><?xml version="1.0" encoding="utf-8"?>
<ds:datastoreItem xmlns:ds="http://schemas.openxmlformats.org/officeDocument/2006/customXml" ds:itemID="{FAC9ADAE-AB1C-420B-BD8D-FADFABC78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8f66b-55e4-4243-9280-f35ae9cfd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02DEE-0E73-4FBD-A95C-00853A3EEFE7}">
  <ds:schemaRefs>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0998f66b-55e4-4243-9280-f35ae9cfd8b5"/>
    <ds:schemaRef ds:uri="http://schemas.openxmlformats.org/package/2006/metadata/core-properties"/>
  </ds:schemaRefs>
</ds:datastoreItem>
</file>

<file path=customXml/itemProps4.xml><?xml version="1.0" encoding="utf-8"?>
<ds:datastoreItem xmlns:ds="http://schemas.openxmlformats.org/officeDocument/2006/customXml" ds:itemID="{3C5F48BA-15DF-4957-8E33-4BD1479181B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Front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2016-11-07T05:08:11Z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0x010100516EE7C8849A5C45A36CFD56FD558130</vt:lpwstr>
  </property>
  <property fmtid="{D5CDD505-2E9C-101B-9397-08002B2CF9AE}" pid="3" name="_dlc_DocIdItemGuid">
    <vt:lpwstr>5e94a7b9-d116-460d-b108-ec50d58977b6</vt:lpwstr>
  </property>
</Properties>
</file>