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fy7pn\Documents\Datasheets\ON\automotive\PWM\NCV8877\IMIT\"/>
    </mc:Choice>
  </mc:AlternateContent>
  <bookViews>
    <workbookView xWindow="15" yWindow="30" windowWidth="12930" windowHeight="12930"/>
  </bookViews>
  <sheets>
    <sheet name="1. Introduction" sheetId="1" r:id="rId1"/>
    <sheet name="2. Design Parameters" sheetId="2" r:id="rId2"/>
    <sheet name="3. Feedback Resistors" sheetId="3" state="hidden" r:id="rId3"/>
    <sheet name="3. Boost Inductor" sheetId="4" r:id="rId4"/>
    <sheet name="4. Current Sense Resistor" sheetId="5" r:id="rId5"/>
    <sheet name="5. Output Capacitors" sheetId="6" r:id="rId6"/>
    <sheet name="Input Capacitor" sheetId="7" state="hidden" r:id="rId7"/>
    <sheet name="6. Diode" sheetId="8" r:id="rId8"/>
    <sheet name="7. MOSFET" sheetId="9" r:id="rId9"/>
    <sheet name="8. Loop Compensation" sheetId="10" r:id="rId10"/>
    <sheet name="Design Information" sheetId="11" state="hidden" r:id="rId11"/>
    <sheet name="Calculations" sheetId="12" state="hidden" r:id="rId12"/>
    <sheet name="Sheet1" sheetId="13" r:id="rId13"/>
  </sheets>
  <definedNames>
    <definedName name="Assumed_Efficiency">'3. Boost Inductor'!$B$2</definedName>
    <definedName name="C0">'8. Loop Compensation'!$T$15</definedName>
    <definedName name="Co">'5. Output Capacitors'!$C$14</definedName>
    <definedName name="comp_C1">'8. Loop Compensation'!$T$23</definedName>
    <definedName name="comp_C2">'8. Loop Compensation'!$T$24</definedName>
    <definedName name="comp_R2">'8. Loop Compensation'!$B$8</definedName>
    <definedName name="D_">'8. Loop Compensation'!$T$1</definedName>
    <definedName name="Dconv_max">Calculations!$D$2</definedName>
    <definedName name="Dmax">'8. Loop Compensation'!$T$10</definedName>
    <definedName name="Dmax_min">'2. Design Parameters'!$B$9</definedName>
    <definedName name="Dmax_nom">'2. Design Parameters'!$C$9</definedName>
    <definedName name="Dp">'8. Loop Compensation'!$T$2</definedName>
    <definedName name="Fsw_max">'2. Design Parameters'!$D$7</definedName>
    <definedName name="Fsw_min">'2. Design Parameters'!$B$7</definedName>
    <definedName name="Fsw_nom">'2. Design Parameters'!$C$7</definedName>
    <definedName name="gm">'8. Loop Compensation'!$T$18</definedName>
    <definedName name="IavgL">'3. Boost Inductor'!$B$3</definedName>
    <definedName name="Ioutmax">'2. Design Parameters'!$D$6</definedName>
    <definedName name="IPeakL">'3. Boost Inductor'!$E$3</definedName>
    <definedName name="Iripple">'3. Boost Inductor'!$B$9</definedName>
    <definedName name="IrmsL">'3. Boost Inductor'!$E$2</definedName>
    <definedName name="Lo">'3. Boost Inductor'!$B$12</definedName>
    <definedName name="M_IC">'8. Loop Compensation'!$T$5</definedName>
    <definedName name="mc">'8. Loop Compensation'!$T$7</definedName>
    <definedName name="PartNumber">'2. Design Parameters'!$H$2:$H$7</definedName>
    <definedName name="R0">'8. Loop Compensation'!$T$16</definedName>
    <definedName name="rCf">'5. Output Capacitors'!$C$15</definedName>
    <definedName name="Rfet">'7. MOSFET'!$B$13</definedName>
    <definedName name="Ri" localSheetId="4">'4. Current Sense Resistor'!$B$11</definedName>
    <definedName name="Ri">'4. Current Sense Resistor'!$B$11</definedName>
    <definedName name="rL">'3. Boost Inductor'!$B$13</definedName>
    <definedName name="Rlower">'3. Feedback Resistors'!$D$8</definedName>
    <definedName name="Rotaesd">'8. Loop Compensation'!$T$17</definedName>
    <definedName name="Rout">'8. Loop Compensation'!$T$8</definedName>
    <definedName name="Rsw_eq">'8. Loop Compensation'!$T$11</definedName>
    <definedName name="Rupper">'3. Feedback Resistors'!$D$7</definedName>
    <definedName name="SC_nom">'2. Design Parameters'!$C$8</definedName>
    <definedName name="Se">'8. Loop Compensation'!$T$9</definedName>
    <definedName name="Sn">'8. Loop Compensation'!$T$6</definedName>
    <definedName name="Tsw">Calculations!$C$3</definedName>
    <definedName name="vcl_max">'2. Design Parameters'!$D$11</definedName>
    <definedName name="vcl_min">'2. Design Parameters'!$B$11</definedName>
    <definedName name="vcl_nom">'2. Design Parameters'!$C$11</definedName>
    <definedName name="Vdrv_nom">'2. Design Parameters'!$C$10</definedName>
    <definedName name="Vf">'6. Diode'!$B$1</definedName>
    <definedName name="Vin_max">'2. Design Parameters'!$D$4</definedName>
    <definedName name="Vin_min">'2. Design Parameters'!$B$4</definedName>
    <definedName name="Vin_nominal">'2. Design Parameters'!$C$4</definedName>
    <definedName name="Vout">'2. Design Parameters'!$C$5</definedName>
    <definedName name="wp1e">'8. Loop Compensation'!$T$21</definedName>
    <definedName name="wp2e">'8. Loop Compensation'!$T$22</definedName>
    <definedName name="wz1e">'8. Loop Compensation'!$T$19</definedName>
    <definedName name="wz2e">'8. Loop Compensation'!$T$20</definedName>
  </definedNames>
  <calcPr calcId="152511"/>
  <customWorkbookViews>
    <customWorkbookView name="ffx7zn - Personal View" guid="{25ED444C-8CCE-464F-9E26-1EDA12EA830D}" mergeInterval="0" personalView="1" maximized="1" xWindow="1" yWindow="1" windowWidth="1481" windowHeight="859" activeSheetId="10"/>
  </customWorkbookViews>
</workbook>
</file>

<file path=xl/calcChain.xml><?xml version="1.0" encoding="utf-8"?>
<calcChain xmlns="http://schemas.openxmlformats.org/spreadsheetml/2006/main">
  <c r="B5" i="10" l="1"/>
  <c r="B2" i="10"/>
  <c r="D11" i="2" l="1"/>
  <c r="C11" i="2"/>
  <c r="B11" i="2"/>
  <c r="C8" i="2"/>
  <c r="C5" i="2" l="1"/>
  <c r="B7" i="10" s="1"/>
  <c r="B7" i="5" l="1"/>
  <c r="B3" i="4"/>
  <c r="T24" i="10"/>
  <c r="T23" i="10"/>
  <c r="T16" i="10"/>
  <c r="T15" i="10"/>
  <c r="B3" i="6"/>
  <c r="B4" i="5" l="1"/>
  <c r="B6" i="5"/>
  <c r="T19" i="10"/>
  <c r="T22" i="10"/>
  <c r="T21" i="10"/>
  <c r="T20" i="10"/>
  <c r="AA136" i="10"/>
  <c r="AA72" i="10"/>
  <c r="AA8" i="10"/>
  <c r="T3" i="10"/>
  <c r="W2" i="10" s="1"/>
  <c r="B13" i="9"/>
  <c r="B13" i="4"/>
  <c r="D1" i="9"/>
  <c r="B2" i="6"/>
  <c r="T9" i="10"/>
  <c r="E4" i="10"/>
  <c r="B14" i="10"/>
  <c r="B13" i="10"/>
  <c r="B12" i="10"/>
  <c r="D8" i="3"/>
  <c r="D7" i="3"/>
  <c r="Z3" i="10"/>
  <c r="AA3" i="10" s="1"/>
  <c r="Z4" i="10"/>
  <c r="AA4" i="10" s="1"/>
  <c r="Z5" i="10"/>
  <c r="AA5" i="10" s="1"/>
  <c r="Z6" i="10"/>
  <c r="AA6" i="10" s="1"/>
  <c r="Z7" i="10"/>
  <c r="AA7" i="10" s="1"/>
  <c r="Z8" i="10"/>
  <c r="Z9" i="10"/>
  <c r="AA9" i="10" s="1"/>
  <c r="Z10" i="10"/>
  <c r="AA10" i="10" s="1"/>
  <c r="Z11" i="10"/>
  <c r="AA11" i="10" s="1"/>
  <c r="Z12" i="10"/>
  <c r="AA12" i="10" s="1"/>
  <c r="Z13" i="10"/>
  <c r="AA13" i="10" s="1"/>
  <c r="Z14" i="10"/>
  <c r="AA14" i="10" s="1"/>
  <c r="Z15" i="10"/>
  <c r="AA15" i="10" s="1"/>
  <c r="Z16" i="10"/>
  <c r="AA16" i="10" s="1"/>
  <c r="Z17" i="10"/>
  <c r="AA17" i="10" s="1"/>
  <c r="Z18" i="10"/>
  <c r="AA18" i="10" s="1"/>
  <c r="Z19" i="10"/>
  <c r="AA19" i="10" s="1"/>
  <c r="Z20" i="10"/>
  <c r="AA20" i="10" s="1"/>
  <c r="Z21" i="10"/>
  <c r="AA21" i="10" s="1"/>
  <c r="Z22" i="10"/>
  <c r="AA22" i="10" s="1"/>
  <c r="Z23" i="10"/>
  <c r="AA23" i="10" s="1"/>
  <c r="Z24" i="10"/>
  <c r="AA24" i="10" s="1"/>
  <c r="Z25" i="10"/>
  <c r="AA25" i="10" s="1"/>
  <c r="Z26" i="10"/>
  <c r="AA26" i="10" s="1"/>
  <c r="Z27" i="10"/>
  <c r="AA27" i="10" s="1"/>
  <c r="Z28" i="10"/>
  <c r="AA28" i="10" s="1"/>
  <c r="Z29" i="10"/>
  <c r="AA29" i="10" s="1"/>
  <c r="Z30" i="10"/>
  <c r="AA30" i="10" s="1"/>
  <c r="Z31" i="10"/>
  <c r="AA31" i="10" s="1"/>
  <c r="Z32" i="10"/>
  <c r="AA32" i="10" s="1"/>
  <c r="Z33" i="10"/>
  <c r="AA33" i="10" s="1"/>
  <c r="Z34" i="10"/>
  <c r="AA34" i="10" s="1"/>
  <c r="Z35" i="10"/>
  <c r="AA35" i="10" s="1"/>
  <c r="Z36" i="10"/>
  <c r="AA36" i="10" s="1"/>
  <c r="Z37" i="10"/>
  <c r="AA37" i="10" s="1"/>
  <c r="Z38" i="10"/>
  <c r="AA38" i="10" s="1"/>
  <c r="Z39" i="10"/>
  <c r="AA39" i="10" s="1"/>
  <c r="Z40" i="10"/>
  <c r="AA40" i="10" s="1"/>
  <c r="Z41" i="10"/>
  <c r="AA41" i="10" s="1"/>
  <c r="Z42" i="10"/>
  <c r="AA42" i="10" s="1"/>
  <c r="Z43" i="10"/>
  <c r="AA43" i="10" s="1"/>
  <c r="Z44" i="10"/>
  <c r="AA44" i="10" s="1"/>
  <c r="Z45" i="10"/>
  <c r="AA45" i="10" s="1"/>
  <c r="Z46" i="10"/>
  <c r="AA46" i="10" s="1"/>
  <c r="Z47" i="10"/>
  <c r="AA47" i="10" s="1"/>
  <c r="Z48" i="10"/>
  <c r="AA48" i="10" s="1"/>
  <c r="Z49" i="10"/>
  <c r="AA49" i="10" s="1"/>
  <c r="Z50" i="10"/>
  <c r="AA50" i="10" s="1"/>
  <c r="Z51" i="10"/>
  <c r="AA51" i="10" s="1"/>
  <c r="Z52" i="10"/>
  <c r="AA52" i="10" s="1"/>
  <c r="Z53" i="10"/>
  <c r="AA53" i="10" s="1"/>
  <c r="Z54" i="10"/>
  <c r="AA54" i="10" s="1"/>
  <c r="Z55" i="10"/>
  <c r="AA55" i="10" s="1"/>
  <c r="Z56" i="10"/>
  <c r="AA56" i="10" s="1"/>
  <c r="Z57" i="10"/>
  <c r="AA57" i="10" s="1"/>
  <c r="Z58" i="10"/>
  <c r="AA58" i="10" s="1"/>
  <c r="Z59" i="10"/>
  <c r="AA59" i="10" s="1"/>
  <c r="Z60" i="10"/>
  <c r="AA60" i="10" s="1"/>
  <c r="Z61" i="10"/>
  <c r="AA61" i="10" s="1"/>
  <c r="Z62" i="10"/>
  <c r="AA62" i="10" s="1"/>
  <c r="Z63" i="10"/>
  <c r="AA63" i="10" s="1"/>
  <c r="Z64" i="10"/>
  <c r="AA64" i="10" s="1"/>
  <c r="Z65" i="10"/>
  <c r="AA65" i="10" s="1"/>
  <c r="Z66" i="10"/>
  <c r="AA66" i="10" s="1"/>
  <c r="Z67" i="10"/>
  <c r="AA67" i="10" s="1"/>
  <c r="Z68" i="10"/>
  <c r="AA68" i="10" s="1"/>
  <c r="Z69" i="10"/>
  <c r="AA69" i="10" s="1"/>
  <c r="Z70" i="10"/>
  <c r="AA70" i="10" s="1"/>
  <c r="Z71" i="10"/>
  <c r="AA71" i="10" s="1"/>
  <c r="Z72" i="10"/>
  <c r="Z73" i="10"/>
  <c r="AA73" i="10" s="1"/>
  <c r="Z74" i="10"/>
  <c r="AA74" i="10" s="1"/>
  <c r="Z75" i="10"/>
  <c r="AA75" i="10" s="1"/>
  <c r="Z76" i="10"/>
  <c r="AA76" i="10" s="1"/>
  <c r="Z77" i="10"/>
  <c r="AA77" i="10" s="1"/>
  <c r="Z78" i="10"/>
  <c r="AA78" i="10" s="1"/>
  <c r="Z79" i="10"/>
  <c r="AA79" i="10" s="1"/>
  <c r="Z80" i="10"/>
  <c r="AA80" i="10" s="1"/>
  <c r="Z81" i="10"/>
  <c r="AA81" i="10" s="1"/>
  <c r="Z82" i="10"/>
  <c r="AA82" i="10" s="1"/>
  <c r="Z83" i="10"/>
  <c r="AA83" i="10" s="1"/>
  <c r="Z84" i="10"/>
  <c r="AA84" i="10" s="1"/>
  <c r="Z85" i="10"/>
  <c r="AA85" i="10" s="1"/>
  <c r="Z86" i="10"/>
  <c r="AA86" i="10" s="1"/>
  <c r="Z87" i="10"/>
  <c r="AA87" i="10" s="1"/>
  <c r="Z88" i="10"/>
  <c r="AA88" i="10" s="1"/>
  <c r="Z89" i="10"/>
  <c r="AA89" i="10" s="1"/>
  <c r="Z90" i="10"/>
  <c r="AA90" i="10" s="1"/>
  <c r="Z91" i="10"/>
  <c r="AA91" i="10" s="1"/>
  <c r="Z92" i="10"/>
  <c r="AA92" i="10" s="1"/>
  <c r="Z93" i="10"/>
  <c r="AA93" i="10" s="1"/>
  <c r="Z94" i="10"/>
  <c r="AA94" i="10" s="1"/>
  <c r="Z95" i="10"/>
  <c r="AA95" i="10" s="1"/>
  <c r="Z96" i="10"/>
  <c r="AA96" i="10" s="1"/>
  <c r="Z97" i="10"/>
  <c r="AA97" i="10" s="1"/>
  <c r="Z98" i="10"/>
  <c r="AA98" i="10" s="1"/>
  <c r="Z99" i="10"/>
  <c r="AA99" i="10" s="1"/>
  <c r="Z100" i="10"/>
  <c r="AA100" i="10" s="1"/>
  <c r="Z101" i="10"/>
  <c r="AA101" i="10" s="1"/>
  <c r="Z102" i="10"/>
  <c r="AA102" i="10" s="1"/>
  <c r="Z103" i="10"/>
  <c r="AA103" i="10" s="1"/>
  <c r="Z104" i="10"/>
  <c r="AA104" i="10" s="1"/>
  <c r="Z105" i="10"/>
  <c r="AA105" i="10" s="1"/>
  <c r="Z106" i="10"/>
  <c r="AA106" i="10" s="1"/>
  <c r="Z107" i="10"/>
  <c r="AA107" i="10" s="1"/>
  <c r="Z108" i="10"/>
  <c r="AA108" i="10" s="1"/>
  <c r="Z109" i="10"/>
  <c r="AA109" i="10" s="1"/>
  <c r="Z110" i="10"/>
  <c r="AA110" i="10" s="1"/>
  <c r="Z111" i="10"/>
  <c r="AA111" i="10" s="1"/>
  <c r="Z112" i="10"/>
  <c r="AA112" i="10" s="1"/>
  <c r="Z113" i="10"/>
  <c r="AA113" i="10" s="1"/>
  <c r="Z114" i="10"/>
  <c r="AA114" i="10" s="1"/>
  <c r="Z115" i="10"/>
  <c r="AA115" i="10" s="1"/>
  <c r="Z116" i="10"/>
  <c r="AA116" i="10" s="1"/>
  <c r="Z117" i="10"/>
  <c r="AA117" i="10" s="1"/>
  <c r="Z118" i="10"/>
  <c r="AA118" i="10" s="1"/>
  <c r="Z119" i="10"/>
  <c r="AA119" i="10" s="1"/>
  <c r="Z120" i="10"/>
  <c r="AA120" i="10" s="1"/>
  <c r="Z121" i="10"/>
  <c r="AA121" i="10" s="1"/>
  <c r="Z122" i="10"/>
  <c r="AA122" i="10" s="1"/>
  <c r="Z123" i="10"/>
  <c r="AA123" i="10" s="1"/>
  <c r="Z124" i="10"/>
  <c r="AA124" i="10" s="1"/>
  <c r="Z125" i="10"/>
  <c r="AA125" i="10" s="1"/>
  <c r="Z126" i="10"/>
  <c r="AA126" i="10" s="1"/>
  <c r="Z127" i="10"/>
  <c r="AA127" i="10" s="1"/>
  <c r="Z128" i="10"/>
  <c r="AA128" i="10" s="1"/>
  <c r="Z129" i="10"/>
  <c r="AA129" i="10" s="1"/>
  <c r="Z130" i="10"/>
  <c r="AA130" i="10" s="1"/>
  <c r="Z131" i="10"/>
  <c r="AA131" i="10" s="1"/>
  <c r="Z132" i="10"/>
  <c r="AA132" i="10" s="1"/>
  <c r="Z133" i="10"/>
  <c r="AA133" i="10" s="1"/>
  <c r="Z134" i="10"/>
  <c r="AA134" i="10" s="1"/>
  <c r="Z135" i="10"/>
  <c r="AA135" i="10" s="1"/>
  <c r="Z136" i="10"/>
  <c r="Z137" i="10"/>
  <c r="AA137" i="10" s="1"/>
  <c r="Z138" i="10"/>
  <c r="AA138" i="10" s="1"/>
  <c r="Z139" i="10"/>
  <c r="AA139" i="10" s="1"/>
  <c r="Z140" i="10"/>
  <c r="AA140" i="10" s="1"/>
  <c r="Z141" i="10"/>
  <c r="AA141" i="10" s="1"/>
  <c r="Z142" i="10"/>
  <c r="AA142" i="10" s="1"/>
  <c r="Z143" i="10"/>
  <c r="AA143" i="10" s="1"/>
  <c r="Z144" i="10"/>
  <c r="AA144" i="10" s="1"/>
  <c r="Z145" i="10"/>
  <c r="AA145" i="10" s="1"/>
  <c r="Z146" i="10"/>
  <c r="AA146" i="10" s="1"/>
  <c r="Z147" i="10"/>
  <c r="AA147" i="10" s="1"/>
  <c r="Z148" i="10"/>
  <c r="AA148" i="10" s="1"/>
  <c r="Z149" i="10"/>
  <c r="AA149" i="10" s="1"/>
  <c r="Z150" i="10"/>
  <c r="AA150" i="10" s="1"/>
  <c r="Z151" i="10"/>
  <c r="AA151" i="10" s="1"/>
  <c r="Z152" i="10"/>
  <c r="AA152" i="10" s="1"/>
  <c r="Z153" i="10"/>
  <c r="AA153" i="10" s="1"/>
  <c r="Z154" i="10"/>
  <c r="AA154" i="10" s="1"/>
  <c r="Z155" i="10"/>
  <c r="AA155" i="10" s="1"/>
  <c r="Z156" i="10"/>
  <c r="AA156" i="10" s="1"/>
  <c r="Z157" i="10"/>
  <c r="AA157" i="10" s="1"/>
  <c r="Z158" i="10"/>
  <c r="AA158" i="10" s="1"/>
  <c r="Z159" i="10"/>
  <c r="AA159" i="10" s="1"/>
  <c r="Z160" i="10"/>
  <c r="AA160" i="10" s="1"/>
  <c r="Z161" i="10"/>
  <c r="AA161" i="10" s="1"/>
  <c r="Z162" i="10"/>
  <c r="AA162" i="10" s="1"/>
  <c r="Z163" i="10"/>
  <c r="AA163" i="10" s="1"/>
  <c r="Z164" i="10"/>
  <c r="AA164" i="10" s="1"/>
  <c r="Z165" i="10"/>
  <c r="AA165" i="10" s="1"/>
  <c r="Z166" i="10"/>
  <c r="AA166" i="10" s="1"/>
  <c r="Z167" i="10"/>
  <c r="AA167" i="10" s="1"/>
  <c r="Z168" i="10"/>
  <c r="AA168" i="10" s="1"/>
  <c r="Z169" i="10"/>
  <c r="AA169" i="10" s="1"/>
  <c r="Z170" i="10"/>
  <c r="AA170" i="10" s="1"/>
  <c r="Z171" i="10"/>
  <c r="AA171" i="10" s="1"/>
  <c r="Z172" i="10"/>
  <c r="AA172" i="10" s="1"/>
  <c r="Z173" i="10"/>
  <c r="AA173" i="10" s="1"/>
  <c r="Z174" i="10"/>
  <c r="AA174" i="10" s="1"/>
  <c r="Z175" i="10"/>
  <c r="AA175" i="10" s="1"/>
  <c r="Z176" i="10"/>
  <c r="AA176" i="10" s="1"/>
  <c r="Z177" i="10"/>
  <c r="AA177" i="10" s="1"/>
  <c r="Z178" i="10"/>
  <c r="AA178" i="10" s="1"/>
  <c r="Z179" i="10"/>
  <c r="AA179" i="10" s="1"/>
  <c r="Z180" i="10"/>
  <c r="AA180" i="10" s="1"/>
  <c r="Z181" i="10"/>
  <c r="AA181" i="10" s="1"/>
  <c r="Z182" i="10"/>
  <c r="AA182" i="10" s="1"/>
  <c r="Z183" i="10"/>
  <c r="AA183" i="10" s="1"/>
  <c r="Z184" i="10"/>
  <c r="AA184" i="10" s="1"/>
  <c r="Z185" i="10"/>
  <c r="AA185" i="10" s="1"/>
  <c r="Z186" i="10"/>
  <c r="AA186" i="10" s="1"/>
  <c r="Z187" i="10"/>
  <c r="AA187" i="10" s="1"/>
  <c r="Z188" i="10"/>
  <c r="AA188" i="10" s="1"/>
  <c r="Z189" i="10"/>
  <c r="AA189" i="10" s="1"/>
  <c r="Z190" i="10"/>
  <c r="AA190" i="10" s="1"/>
  <c r="Z191" i="10"/>
  <c r="AA191" i="10" s="1"/>
  <c r="Z192" i="10"/>
  <c r="AA192" i="10" s="1"/>
  <c r="Z193" i="10"/>
  <c r="AA193" i="10" s="1"/>
  <c r="Z194" i="10"/>
  <c r="AA194" i="10" s="1"/>
  <c r="Z195" i="10"/>
  <c r="AA195" i="10" s="1"/>
  <c r="Z196" i="10"/>
  <c r="AA196" i="10" s="1"/>
  <c r="Z197" i="10"/>
  <c r="AA197" i="10" s="1"/>
  <c r="Z198" i="10"/>
  <c r="AA198" i="10" s="1"/>
  <c r="Z199" i="10"/>
  <c r="AA199" i="10" s="1"/>
  <c r="Z200" i="10"/>
  <c r="AA200" i="10" s="1"/>
  <c r="Z201" i="10"/>
  <c r="AA201" i="10" s="1"/>
  <c r="Z202" i="10"/>
  <c r="AA202" i="10" s="1"/>
  <c r="Z2" i="10"/>
  <c r="AA2" i="10" s="1"/>
  <c r="C3" i="12"/>
  <c r="B3" i="8"/>
  <c r="B5" i="8" s="1"/>
  <c r="B4" i="6"/>
  <c r="C15" i="6"/>
  <c r="C14" i="6"/>
  <c r="B11" i="5"/>
  <c r="B12" i="4"/>
  <c r="A8" i="3"/>
  <c r="B10" i="3"/>
  <c r="A9" i="3"/>
  <c r="A7" i="3"/>
  <c r="T11" i="10" l="1"/>
  <c r="W4" i="10"/>
  <c r="AL32" i="10"/>
  <c r="B2" i="12"/>
  <c r="AK2" i="10"/>
  <c r="T4" i="10"/>
  <c r="T6" i="10"/>
  <c r="T7" i="10" s="1"/>
  <c r="T8" i="10"/>
  <c r="AL43" i="10"/>
  <c r="AL78" i="10"/>
  <c r="AL142" i="10"/>
  <c r="AL95" i="10"/>
  <c r="AL89" i="10"/>
  <c r="AL199" i="10"/>
  <c r="AL160" i="10"/>
  <c r="AL25" i="10"/>
  <c r="AL14" i="10"/>
  <c r="AL153" i="10"/>
  <c r="AL98" i="10"/>
  <c r="AL139" i="10"/>
  <c r="AL72" i="10"/>
  <c r="AL109" i="10"/>
  <c r="AL20" i="10"/>
  <c r="AL174" i="10"/>
  <c r="AL110" i="10"/>
  <c r="AL46" i="10"/>
  <c r="AL163" i="10"/>
  <c r="AL31" i="10"/>
  <c r="AL96" i="10"/>
  <c r="AL185" i="10"/>
  <c r="AL121" i="10"/>
  <c r="AL57" i="10"/>
  <c r="AL202" i="10"/>
  <c r="AL162" i="10"/>
  <c r="AL34" i="10"/>
  <c r="AL7" i="10"/>
  <c r="AL173" i="10"/>
  <c r="AL45" i="10"/>
  <c r="AL194" i="10"/>
  <c r="AL130" i="10"/>
  <c r="AL66" i="10"/>
  <c r="AL2" i="10"/>
  <c r="AL75" i="10"/>
  <c r="AL136" i="10"/>
  <c r="AL8" i="10"/>
  <c r="AL141" i="10"/>
  <c r="AL77" i="10"/>
  <c r="AL13" i="10"/>
  <c r="AL71" i="10"/>
  <c r="AL190" i="10"/>
  <c r="AL158" i="10"/>
  <c r="AL126" i="10"/>
  <c r="AL94" i="10"/>
  <c r="AL62" i="10"/>
  <c r="AL30" i="10"/>
  <c r="AL195" i="10"/>
  <c r="AL131" i="10"/>
  <c r="AL63" i="10"/>
  <c r="AL196" i="10"/>
  <c r="AL128" i="10"/>
  <c r="AL64" i="10"/>
  <c r="AL201" i="10"/>
  <c r="AL169" i="10"/>
  <c r="AL137" i="10"/>
  <c r="AL105" i="10"/>
  <c r="AL73" i="10"/>
  <c r="AL41" i="10"/>
  <c r="AL9" i="10"/>
  <c r="AL175" i="10"/>
  <c r="AL156" i="10"/>
  <c r="AL28" i="10"/>
  <c r="AL178" i="10"/>
  <c r="AL146" i="10"/>
  <c r="AL114" i="10"/>
  <c r="AL82" i="10"/>
  <c r="AL50" i="10"/>
  <c r="AL18" i="10"/>
  <c r="AL171" i="10"/>
  <c r="AL103" i="10"/>
  <c r="AL39" i="10"/>
  <c r="AL168" i="10"/>
  <c r="AL104" i="10"/>
  <c r="AL40" i="10"/>
  <c r="AL189" i="10"/>
  <c r="AL157" i="10"/>
  <c r="AL125" i="10"/>
  <c r="AL93" i="10"/>
  <c r="AL61" i="10"/>
  <c r="AL29" i="10"/>
  <c r="AL167" i="10"/>
  <c r="AL124" i="10"/>
  <c r="AL135" i="10"/>
  <c r="AL11" i="10"/>
  <c r="AL92" i="10"/>
  <c r="AL107" i="10"/>
  <c r="AL188" i="10"/>
  <c r="AL60" i="10"/>
  <c r="AM201" i="10"/>
  <c r="AM197" i="10"/>
  <c r="AM193" i="10"/>
  <c r="AM189" i="10"/>
  <c r="AM185" i="10"/>
  <c r="AM181" i="10"/>
  <c r="AM177" i="10"/>
  <c r="AM173" i="10"/>
  <c r="AM169" i="10"/>
  <c r="AM165" i="10"/>
  <c r="AM161" i="10"/>
  <c r="AM157" i="10"/>
  <c r="AM153" i="10"/>
  <c r="AM149" i="10"/>
  <c r="AM145" i="10"/>
  <c r="AM141" i="10"/>
  <c r="AM137" i="10"/>
  <c r="AM133" i="10"/>
  <c r="AM129" i="10"/>
  <c r="AM125" i="10"/>
  <c r="AM121" i="10"/>
  <c r="AM117" i="10"/>
  <c r="AM113" i="10"/>
  <c r="AM109" i="10"/>
  <c r="AM105" i="10"/>
  <c r="AM101" i="10"/>
  <c r="AM97" i="10"/>
  <c r="AM93" i="10"/>
  <c r="AM89" i="10"/>
  <c r="AM85" i="10"/>
  <c r="AM81" i="10"/>
  <c r="AM77" i="10"/>
  <c r="AM73" i="10"/>
  <c r="AM69" i="10"/>
  <c r="AM65" i="10"/>
  <c r="AM61" i="10"/>
  <c r="AM57" i="10"/>
  <c r="AM53" i="10"/>
  <c r="AM49" i="10"/>
  <c r="AM45" i="10"/>
  <c r="AM41" i="10"/>
  <c r="AM37" i="10"/>
  <c r="AM33" i="10"/>
  <c r="AM29" i="10"/>
  <c r="AM25" i="10"/>
  <c r="AM21" i="10"/>
  <c r="AM17" i="10"/>
  <c r="AM13" i="10"/>
  <c r="AM9" i="10"/>
  <c r="AM5" i="10"/>
  <c r="AM190" i="10"/>
  <c r="AM166" i="10"/>
  <c r="AM158" i="10"/>
  <c r="AM150" i="10"/>
  <c r="AM142" i="10"/>
  <c r="AM134" i="10"/>
  <c r="AM126" i="10"/>
  <c r="AM118" i="10"/>
  <c r="AM110" i="10"/>
  <c r="AM102" i="10"/>
  <c r="AM94" i="10"/>
  <c r="AM86" i="10"/>
  <c r="AM78" i="10"/>
  <c r="AM70" i="10"/>
  <c r="AM62" i="10"/>
  <c r="AM54" i="10"/>
  <c r="AM46" i="10"/>
  <c r="AM38" i="10"/>
  <c r="AM30" i="10"/>
  <c r="AM22" i="10"/>
  <c r="AM18" i="10"/>
  <c r="AM10" i="10"/>
  <c r="AM2" i="10"/>
  <c r="AM195" i="10"/>
  <c r="AM191" i="10"/>
  <c r="AM183" i="10"/>
  <c r="AM175" i="10"/>
  <c r="AM167" i="10"/>
  <c r="AM159" i="10"/>
  <c r="AM151" i="10"/>
  <c r="AM143" i="10"/>
  <c r="AM135" i="10"/>
  <c r="AM127" i="10"/>
  <c r="AM119" i="10"/>
  <c r="AM111" i="10"/>
  <c r="AM103" i="10"/>
  <c r="AM95" i="10"/>
  <c r="AM87" i="10"/>
  <c r="AM79" i="10"/>
  <c r="AM71" i="10"/>
  <c r="AM63" i="10"/>
  <c r="AM55" i="10"/>
  <c r="AM47" i="10"/>
  <c r="AM39" i="10"/>
  <c r="AM31" i="10"/>
  <c r="AM23" i="10"/>
  <c r="AM15" i="10"/>
  <c r="AM11" i="10"/>
  <c r="AM3" i="10"/>
  <c r="AM200" i="10"/>
  <c r="AM196" i="10"/>
  <c r="AM192" i="10"/>
  <c r="AM188" i="10"/>
  <c r="AM184" i="10"/>
  <c r="AM180" i="10"/>
  <c r="AM176" i="10"/>
  <c r="AM172" i="10"/>
  <c r="AM168" i="10"/>
  <c r="AM164" i="10"/>
  <c r="AM160" i="10"/>
  <c r="AM156" i="10"/>
  <c r="AM152" i="10"/>
  <c r="AM148" i="10"/>
  <c r="AM144" i="10"/>
  <c r="AM140" i="10"/>
  <c r="AM136" i="10"/>
  <c r="AM132" i="10"/>
  <c r="AM128" i="10"/>
  <c r="AM124" i="10"/>
  <c r="AM120" i="10"/>
  <c r="AM116" i="10"/>
  <c r="AM112" i="10"/>
  <c r="AM108" i="10"/>
  <c r="AM104" i="10"/>
  <c r="AM100" i="10"/>
  <c r="AM96" i="10"/>
  <c r="AM92" i="10"/>
  <c r="AM88" i="10"/>
  <c r="AM84" i="10"/>
  <c r="AM80" i="10"/>
  <c r="AM76" i="10"/>
  <c r="AM72" i="10"/>
  <c r="AM68" i="10"/>
  <c r="AM64" i="10"/>
  <c r="AM60" i="10"/>
  <c r="AM56" i="10"/>
  <c r="AM52" i="10"/>
  <c r="AM48" i="10"/>
  <c r="AM44" i="10"/>
  <c r="AM40" i="10"/>
  <c r="AM36" i="10"/>
  <c r="AM32" i="10"/>
  <c r="AM28" i="10"/>
  <c r="AM24" i="10"/>
  <c r="AM20" i="10"/>
  <c r="AM16" i="10"/>
  <c r="AM12" i="10"/>
  <c r="AM8" i="10"/>
  <c r="AM4" i="10"/>
  <c r="AM202" i="10"/>
  <c r="AM198" i="10"/>
  <c r="AM194" i="10"/>
  <c r="AM186" i="10"/>
  <c r="AM182" i="10"/>
  <c r="AM178" i="10"/>
  <c r="AM174" i="10"/>
  <c r="AM170" i="10"/>
  <c r="AM162" i="10"/>
  <c r="AM154" i="10"/>
  <c r="AM146" i="10"/>
  <c r="AM138" i="10"/>
  <c r="AM130" i="10"/>
  <c r="AM122" i="10"/>
  <c r="AM114" i="10"/>
  <c r="AM106" i="10"/>
  <c r="AM98" i="10"/>
  <c r="AM90" i="10"/>
  <c r="AM82" i="10"/>
  <c r="AM74" i="10"/>
  <c r="AM66" i="10"/>
  <c r="AM58" i="10"/>
  <c r="AM50" i="10"/>
  <c r="AM42" i="10"/>
  <c r="AM34" i="10"/>
  <c r="AM26" i="10"/>
  <c r="AM14" i="10"/>
  <c r="AM6" i="10"/>
  <c r="AM199" i="10"/>
  <c r="AM187" i="10"/>
  <c r="AM179" i="10"/>
  <c r="AM171" i="10"/>
  <c r="AM163" i="10"/>
  <c r="AM155" i="10"/>
  <c r="AM147" i="10"/>
  <c r="AM139" i="10"/>
  <c r="AM131" i="10"/>
  <c r="AM123" i="10"/>
  <c r="AM115" i="10"/>
  <c r="AM107" i="10"/>
  <c r="AM99" i="10"/>
  <c r="AM91" i="10"/>
  <c r="AM83" i="10"/>
  <c r="AM75" i="10"/>
  <c r="AM67" i="10"/>
  <c r="AM59" i="10"/>
  <c r="AM51" i="10"/>
  <c r="AM43" i="10"/>
  <c r="AM35" i="10"/>
  <c r="AM27" i="10"/>
  <c r="AM19" i="10"/>
  <c r="AM7" i="10"/>
  <c r="AL143" i="10"/>
  <c r="AL79" i="10"/>
  <c r="AL19" i="10"/>
  <c r="AL164" i="10"/>
  <c r="AL100" i="10"/>
  <c r="AL36" i="10"/>
  <c r="AL198" i="10"/>
  <c r="AL182" i="10"/>
  <c r="AL166" i="10"/>
  <c r="AL150" i="10"/>
  <c r="AL134" i="10"/>
  <c r="AL118" i="10"/>
  <c r="AL102" i="10"/>
  <c r="AL86" i="10"/>
  <c r="AL70" i="10"/>
  <c r="AL54" i="10"/>
  <c r="AL38" i="10"/>
  <c r="AL22" i="10"/>
  <c r="AL6" i="10"/>
  <c r="AL179" i="10"/>
  <c r="AL147" i="10"/>
  <c r="AL115" i="10"/>
  <c r="AL83" i="10"/>
  <c r="AL47" i="10"/>
  <c r="AL15" i="10"/>
  <c r="AL176" i="10"/>
  <c r="AL144" i="10"/>
  <c r="AL112" i="10"/>
  <c r="AL80" i="10"/>
  <c r="AL48" i="10"/>
  <c r="AL16" i="10"/>
  <c r="AL193" i="10"/>
  <c r="AL177" i="10"/>
  <c r="AL161" i="10"/>
  <c r="AL145" i="10"/>
  <c r="AL129" i="10"/>
  <c r="AL113" i="10"/>
  <c r="AL97" i="10"/>
  <c r="AL81" i="10"/>
  <c r="AL65" i="10"/>
  <c r="AL49" i="10"/>
  <c r="AL33" i="10"/>
  <c r="AL17" i="10"/>
  <c r="AL183" i="10"/>
  <c r="AL151" i="10"/>
  <c r="AL119" i="10"/>
  <c r="AL91" i="10"/>
  <c r="AL59" i="10"/>
  <c r="AL27" i="10"/>
  <c r="AL200" i="10"/>
  <c r="AL172" i="10"/>
  <c r="AL140" i="10"/>
  <c r="AL108" i="10"/>
  <c r="AL76" i="10"/>
  <c r="AL44" i="10"/>
  <c r="AL12" i="10"/>
  <c r="AL111" i="10"/>
  <c r="AL51" i="10"/>
  <c r="AL192" i="10"/>
  <c r="AL132" i="10"/>
  <c r="AL68" i="10"/>
  <c r="AL4" i="10"/>
  <c r="AL186" i="10"/>
  <c r="AL170" i="10"/>
  <c r="AL154" i="10"/>
  <c r="AL138" i="10"/>
  <c r="AL122" i="10"/>
  <c r="AL106" i="10"/>
  <c r="AL90" i="10"/>
  <c r="AL74" i="10"/>
  <c r="AL58" i="10"/>
  <c r="AL42" i="10"/>
  <c r="AL26" i="10"/>
  <c r="AL10" i="10"/>
  <c r="AL187" i="10"/>
  <c r="AL155" i="10"/>
  <c r="AL123" i="10"/>
  <c r="AL87" i="10"/>
  <c r="AL55" i="10"/>
  <c r="AL23" i="10"/>
  <c r="AL184" i="10"/>
  <c r="AL152" i="10"/>
  <c r="AL120" i="10"/>
  <c r="AL88" i="10"/>
  <c r="AL56" i="10"/>
  <c r="AL24" i="10"/>
  <c r="AL197" i="10"/>
  <c r="AL181" i="10"/>
  <c r="AL165" i="10"/>
  <c r="AL149" i="10"/>
  <c r="AL133" i="10"/>
  <c r="AL117" i="10"/>
  <c r="AL101" i="10"/>
  <c r="AL85" i="10"/>
  <c r="AL69" i="10"/>
  <c r="AL53" i="10"/>
  <c r="AL37" i="10"/>
  <c r="AL21" i="10"/>
  <c r="AL5" i="10"/>
  <c r="AL191" i="10"/>
  <c r="AL159" i="10"/>
  <c r="AL127" i="10"/>
  <c r="AL99" i="10"/>
  <c r="AL67" i="10"/>
  <c r="AL35" i="10"/>
  <c r="AL3" i="10"/>
  <c r="AL180" i="10"/>
  <c r="AL148" i="10"/>
  <c r="AL116" i="10"/>
  <c r="AL84" i="10"/>
  <c r="AL52" i="10"/>
  <c r="B8" i="3"/>
  <c r="B3" i="9"/>
  <c r="B2" i="8"/>
  <c r="B9" i="4"/>
  <c r="C2" i="12"/>
  <c r="B6" i="4"/>
  <c r="D2" i="12"/>
  <c r="AB201" i="10" l="1"/>
  <c r="AB197" i="10"/>
  <c r="AB193" i="10"/>
  <c r="AB189" i="10"/>
  <c r="AB185" i="10"/>
  <c r="AB181" i="10"/>
  <c r="AB177" i="10"/>
  <c r="AB173" i="10"/>
  <c r="AB169" i="10"/>
  <c r="AB165" i="10"/>
  <c r="AB161" i="10"/>
  <c r="AB157" i="10"/>
  <c r="AB153" i="10"/>
  <c r="AB149" i="10"/>
  <c r="AB145" i="10"/>
  <c r="AB141" i="10"/>
  <c r="AB137" i="10"/>
  <c r="AB133" i="10"/>
  <c r="AB129" i="10"/>
  <c r="AB125" i="10"/>
  <c r="AB121" i="10"/>
  <c r="AB117" i="10"/>
  <c r="AB113" i="10"/>
  <c r="AB109" i="10"/>
  <c r="AB105" i="10"/>
  <c r="AB101" i="10"/>
  <c r="AB97" i="10"/>
  <c r="AB93" i="10"/>
  <c r="AB89" i="10"/>
  <c r="AB85" i="10"/>
  <c r="AB81" i="10"/>
  <c r="AB77" i="10"/>
  <c r="AB73" i="10"/>
  <c r="AB69" i="10"/>
  <c r="AB65" i="10"/>
  <c r="AB61" i="10"/>
  <c r="AB57" i="10"/>
  <c r="AB53" i="10"/>
  <c r="AB49" i="10"/>
  <c r="AB45" i="10"/>
  <c r="AB41" i="10"/>
  <c r="AB37" i="10"/>
  <c r="AB33" i="10"/>
  <c r="AB29" i="10"/>
  <c r="AB25" i="10"/>
  <c r="AB21" i="10"/>
  <c r="AB17" i="10"/>
  <c r="AB13" i="10"/>
  <c r="AB9" i="10"/>
  <c r="AB5" i="10"/>
  <c r="AB200" i="10"/>
  <c r="AB196" i="10"/>
  <c r="AB192" i="10"/>
  <c r="AB188" i="10"/>
  <c r="AB184" i="10"/>
  <c r="AB180" i="10"/>
  <c r="AB176" i="10"/>
  <c r="AB172" i="10"/>
  <c r="AB168" i="10"/>
  <c r="AB164" i="10"/>
  <c r="AB160" i="10"/>
  <c r="AB156" i="10"/>
  <c r="AB152" i="10"/>
  <c r="AB148" i="10"/>
  <c r="AB144" i="10"/>
  <c r="AB140" i="10"/>
  <c r="AB136" i="10"/>
  <c r="AB132" i="10"/>
  <c r="AB128" i="10"/>
  <c r="AB124" i="10"/>
  <c r="AB120" i="10"/>
  <c r="AB116" i="10"/>
  <c r="AB112" i="10"/>
  <c r="AB108" i="10"/>
  <c r="AB104" i="10"/>
  <c r="AB100" i="10"/>
  <c r="AB96" i="10"/>
  <c r="AB92" i="10"/>
  <c r="AB88" i="10"/>
  <c r="AB84" i="10"/>
  <c r="AB80" i="10"/>
  <c r="AB76" i="10"/>
  <c r="AB72" i="10"/>
  <c r="AB68" i="10"/>
  <c r="AB64" i="10"/>
  <c r="AB199" i="10"/>
  <c r="AB195" i="10"/>
  <c r="AB191" i="10"/>
  <c r="AB187" i="10"/>
  <c r="AB183" i="10"/>
  <c r="AB179" i="10"/>
  <c r="AB175" i="10"/>
  <c r="AB171" i="10"/>
  <c r="AB167" i="10"/>
  <c r="AB163" i="10"/>
  <c r="AB159" i="10"/>
  <c r="AB155" i="10"/>
  <c r="AB151" i="10"/>
  <c r="AB147" i="10"/>
  <c r="AB143" i="10"/>
  <c r="AB139" i="10"/>
  <c r="AB135" i="10"/>
  <c r="AB131" i="10"/>
  <c r="AB127" i="10"/>
  <c r="AB123" i="10"/>
  <c r="AB119" i="10"/>
  <c r="AB115" i="10"/>
  <c r="AB111" i="10"/>
  <c r="AB107" i="10"/>
  <c r="AB103" i="10"/>
  <c r="AB99" i="10"/>
  <c r="AB95" i="10"/>
  <c r="AB91" i="10"/>
  <c r="AB87" i="10"/>
  <c r="AB83" i="10"/>
  <c r="AB79" i="10"/>
  <c r="AB75" i="10"/>
  <c r="AB71" i="10"/>
  <c r="AB67" i="10"/>
  <c r="AB63" i="10"/>
  <c r="AB59" i="10"/>
  <c r="AB55" i="10"/>
  <c r="AB51" i="10"/>
  <c r="AB47" i="10"/>
  <c r="AB43" i="10"/>
  <c r="AB39" i="10"/>
  <c r="AB35" i="10"/>
  <c r="AB31" i="10"/>
  <c r="AB27" i="10"/>
  <c r="AB23" i="10"/>
  <c r="AB19" i="10"/>
  <c r="AB15" i="10"/>
  <c r="AB11" i="10"/>
  <c r="AB7" i="10"/>
  <c r="AB3" i="10"/>
  <c r="AB202" i="10"/>
  <c r="AB198" i="10"/>
  <c r="AB194" i="10"/>
  <c r="AB190" i="10"/>
  <c r="AB186" i="10"/>
  <c r="AB182" i="10"/>
  <c r="AB178" i="10"/>
  <c r="AB174" i="10"/>
  <c r="AB170" i="10"/>
  <c r="AB166" i="10"/>
  <c r="AB162" i="10"/>
  <c r="AB158" i="10"/>
  <c r="AB154" i="10"/>
  <c r="AB150" i="10"/>
  <c r="AB146" i="10"/>
  <c r="AB142" i="10"/>
  <c r="AB138" i="10"/>
  <c r="AB134" i="10"/>
  <c r="AB130" i="10"/>
  <c r="AB126" i="10"/>
  <c r="AB122" i="10"/>
  <c r="AB118" i="10"/>
  <c r="AB114" i="10"/>
  <c r="AB110" i="10"/>
  <c r="AB106" i="10"/>
  <c r="AB102" i="10"/>
  <c r="AB98" i="10"/>
  <c r="AB94" i="10"/>
  <c r="AB90" i="10"/>
  <c r="AB86" i="10"/>
  <c r="AB50" i="10"/>
  <c r="AB18" i="10"/>
  <c r="AB82" i="10"/>
  <c r="AB66" i="10"/>
  <c r="AB56" i="10"/>
  <c r="AB48" i="10"/>
  <c r="AB40" i="10"/>
  <c r="AB32" i="10"/>
  <c r="AB24" i="10"/>
  <c r="AB16" i="10"/>
  <c r="AB8" i="10"/>
  <c r="AB78" i="10"/>
  <c r="AB62" i="10"/>
  <c r="AB54" i="10"/>
  <c r="AB46" i="10"/>
  <c r="AB38" i="10"/>
  <c r="AB30" i="10"/>
  <c r="AB22" i="10"/>
  <c r="AB14" i="10"/>
  <c r="AB6" i="10"/>
  <c r="AB74" i="10"/>
  <c r="AB60" i="10"/>
  <c r="AB52" i="10"/>
  <c r="AB44" i="10"/>
  <c r="AB36" i="10"/>
  <c r="AB28" i="10"/>
  <c r="AB20" i="10"/>
  <c r="AB12" i="10"/>
  <c r="AB4" i="10"/>
  <c r="AB70" i="10"/>
  <c r="AB58" i="10"/>
  <c r="AB42" i="10"/>
  <c r="AB34" i="10"/>
  <c r="AB26" i="10"/>
  <c r="AB10" i="10"/>
  <c r="AB2" i="10"/>
  <c r="T1" i="10"/>
  <c r="T2" i="10" s="1"/>
  <c r="AN55" i="10"/>
  <c r="AO55" i="10" s="1"/>
  <c r="AR55" i="10" s="1"/>
  <c r="AN83" i="10"/>
  <c r="AO83" i="10" s="1"/>
  <c r="AR83" i="10" s="1"/>
  <c r="AN134" i="10"/>
  <c r="AP134" i="10" s="1"/>
  <c r="AN14" i="10"/>
  <c r="AP14" i="10" s="1"/>
  <c r="AN146" i="10"/>
  <c r="AO146" i="10" s="1"/>
  <c r="AR146" i="10" s="1"/>
  <c r="AN8" i="10"/>
  <c r="AO8" i="10" s="1"/>
  <c r="AR8" i="10" s="1"/>
  <c r="AN136" i="10"/>
  <c r="AO136" i="10" s="1"/>
  <c r="AR136" i="10" s="1"/>
  <c r="AN13" i="10"/>
  <c r="AO13" i="10" s="1"/>
  <c r="AR13" i="10" s="1"/>
  <c r="AN61" i="10"/>
  <c r="AP61" i="10" s="1"/>
  <c r="AN173" i="10"/>
  <c r="AP173" i="10" s="1"/>
  <c r="AN120" i="10"/>
  <c r="AO120" i="10" s="1"/>
  <c r="AR120" i="10" s="1"/>
  <c r="AN70" i="10"/>
  <c r="AP70" i="10" s="1"/>
  <c r="AN19" i="10"/>
  <c r="AP19" i="10" s="1"/>
  <c r="AN50" i="10"/>
  <c r="AP50" i="10" s="1"/>
  <c r="AN174" i="10"/>
  <c r="AP174" i="10" s="1"/>
  <c r="AN72" i="10"/>
  <c r="AP72" i="10" s="1"/>
  <c r="AN168" i="10"/>
  <c r="AP168" i="10" s="1"/>
  <c r="AN29" i="10"/>
  <c r="AO29" i="10" s="1"/>
  <c r="AR29" i="10" s="1"/>
  <c r="AN157" i="10"/>
  <c r="AO157" i="10" s="1"/>
  <c r="AR157" i="10" s="1"/>
  <c r="AN67" i="10"/>
  <c r="AO67" i="10" s="1"/>
  <c r="AR67" i="10" s="1"/>
  <c r="AN117" i="10"/>
  <c r="AO117" i="10" s="1"/>
  <c r="AR117" i="10" s="1"/>
  <c r="AN42" i="10"/>
  <c r="AP42" i="10" s="1"/>
  <c r="AN106" i="10"/>
  <c r="AP106" i="10" s="1"/>
  <c r="AN132" i="10"/>
  <c r="AO132" i="10" s="1"/>
  <c r="AR132" i="10" s="1"/>
  <c r="AN47" i="10"/>
  <c r="AP47" i="10" s="1"/>
  <c r="AN118" i="10"/>
  <c r="AO118" i="10" s="1"/>
  <c r="AR118" i="10" s="1"/>
  <c r="AN164" i="10"/>
  <c r="AO164" i="10" s="1"/>
  <c r="AR164" i="10" s="1"/>
  <c r="AN43" i="10"/>
  <c r="AN126" i="10"/>
  <c r="AO126" i="10" s="1"/>
  <c r="AR126" i="10" s="1"/>
  <c r="AN25" i="10"/>
  <c r="AO25" i="10" s="1"/>
  <c r="AR25" i="10" s="1"/>
  <c r="AN137" i="10"/>
  <c r="AO137" i="10" s="1"/>
  <c r="AR137" i="10" s="1"/>
  <c r="B5" i="4"/>
  <c r="D9" i="4" s="1"/>
  <c r="AN3" i="10"/>
  <c r="AO3" i="10" s="1"/>
  <c r="AR3" i="10" s="1"/>
  <c r="AN127" i="10"/>
  <c r="AP127" i="10" s="1"/>
  <c r="AN76" i="10"/>
  <c r="AO76" i="10" s="1"/>
  <c r="AR76" i="10" s="1"/>
  <c r="AN33" i="10"/>
  <c r="AO33" i="10" s="1"/>
  <c r="AR33" i="10" s="1"/>
  <c r="AN97" i="10"/>
  <c r="AP97" i="10" s="1"/>
  <c r="AN161" i="10"/>
  <c r="AP161" i="10" s="1"/>
  <c r="B6" i="9"/>
  <c r="AN148" i="10"/>
  <c r="AO148" i="10" s="1"/>
  <c r="AR148" i="10" s="1"/>
  <c r="AN53" i="10"/>
  <c r="AN181" i="10"/>
  <c r="AP181" i="10" s="1"/>
  <c r="AN170" i="10"/>
  <c r="AO170" i="10" s="1"/>
  <c r="AR170" i="10" s="1"/>
  <c r="AN112" i="10"/>
  <c r="AO112" i="10" s="1"/>
  <c r="AR112" i="10" s="1"/>
  <c r="AN54" i="10"/>
  <c r="AP54" i="10" s="1"/>
  <c r="AN182" i="10"/>
  <c r="AO182" i="10" s="1"/>
  <c r="AR182" i="10" s="1"/>
  <c r="AN7" i="10"/>
  <c r="AP7" i="10" s="1"/>
  <c r="AN139" i="10"/>
  <c r="AO139" i="10" s="1"/>
  <c r="AR139" i="10" s="1"/>
  <c r="AN9" i="10"/>
  <c r="AP9" i="10" s="1"/>
  <c r="AN57" i="10"/>
  <c r="AP57" i="10" s="1"/>
  <c r="AN35" i="10"/>
  <c r="AO35" i="10" s="1"/>
  <c r="AR35" i="10" s="1"/>
  <c r="AN37" i="10"/>
  <c r="AP37" i="10" s="1"/>
  <c r="AN101" i="10"/>
  <c r="AP101" i="10" s="1"/>
  <c r="AN165" i="10"/>
  <c r="AP165" i="10" s="1"/>
  <c r="AN80" i="10"/>
  <c r="AP80" i="10" s="1"/>
  <c r="AN32" i="10"/>
  <c r="AO32" i="10" s="1"/>
  <c r="AR32" i="10" s="1"/>
  <c r="AN66" i="10"/>
  <c r="AO66" i="10" s="1"/>
  <c r="AR66" i="10" s="1"/>
  <c r="AN202" i="10"/>
  <c r="AP202" i="10" s="1"/>
  <c r="AN64" i="10"/>
  <c r="AO64" i="10" s="1"/>
  <c r="AR64" i="10" s="1"/>
  <c r="AN96" i="10"/>
  <c r="AO96" i="10" s="1"/>
  <c r="AR96" i="10" s="1"/>
  <c r="AN71" i="10"/>
  <c r="AO71" i="10" s="1"/>
  <c r="AR71" i="10" s="1"/>
  <c r="AN131" i="10"/>
  <c r="AO131" i="10" s="1"/>
  <c r="AR131" i="10" s="1"/>
  <c r="AN18" i="10"/>
  <c r="AP18" i="10" s="1"/>
  <c r="AN110" i="10"/>
  <c r="AP110" i="10" s="1"/>
  <c r="AN175" i="10"/>
  <c r="AP175" i="10" s="1"/>
  <c r="AN94" i="10"/>
  <c r="AO94" i="10" s="1"/>
  <c r="AR94" i="10" s="1"/>
  <c r="AN89" i="10"/>
  <c r="AP89" i="10" s="1"/>
  <c r="AN105" i="10"/>
  <c r="AO105" i="10" s="1"/>
  <c r="AR105" i="10" s="1"/>
  <c r="AN21" i="10"/>
  <c r="AP21" i="10" s="1"/>
  <c r="AN85" i="10"/>
  <c r="AP85" i="10" s="1"/>
  <c r="AN149" i="10"/>
  <c r="AP149" i="10" s="1"/>
  <c r="AN48" i="10"/>
  <c r="AO48" i="10" s="1"/>
  <c r="AR48" i="10" s="1"/>
  <c r="AN176" i="10"/>
  <c r="AP176" i="10" s="1"/>
  <c r="AN22" i="10"/>
  <c r="AP22" i="10" s="1"/>
  <c r="AN86" i="10"/>
  <c r="AO86" i="10" s="1"/>
  <c r="AR86" i="10" s="1"/>
  <c r="AN150" i="10"/>
  <c r="AP150" i="10" s="1"/>
  <c r="AN156" i="10"/>
  <c r="AO156" i="10" s="1"/>
  <c r="AR156" i="10" s="1"/>
  <c r="AN63" i="10"/>
  <c r="AO63" i="10" s="1"/>
  <c r="AR63" i="10" s="1"/>
  <c r="AN46" i="10"/>
  <c r="AP46" i="10" s="1"/>
  <c r="AN78" i="10"/>
  <c r="AP78" i="10" s="1"/>
  <c r="AN190" i="10"/>
  <c r="AO190" i="10" s="1"/>
  <c r="AR190" i="10" s="1"/>
  <c r="AN52" i="10"/>
  <c r="AN180" i="10"/>
  <c r="AP180" i="10" s="1"/>
  <c r="AN99" i="10"/>
  <c r="AP99" i="10" s="1"/>
  <c r="AN5" i="10"/>
  <c r="AP5" i="10" s="1"/>
  <c r="AN69" i="10"/>
  <c r="AO69" i="10" s="1"/>
  <c r="AR69" i="10" s="1"/>
  <c r="AN133" i="10"/>
  <c r="AO133" i="10" s="1"/>
  <c r="AR133" i="10" s="1"/>
  <c r="AN197" i="10"/>
  <c r="AP197" i="10" s="1"/>
  <c r="AN192" i="10"/>
  <c r="AO192" i="10" s="1"/>
  <c r="AR192" i="10" s="1"/>
  <c r="AN16" i="10"/>
  <c r="AO16" i="10" s="1"/>
  <c r="AR16" i="10" s="1"/>
  <c r="AN144" i="10"/>
  <c r="AO144" i="10" s="1"/>
  <c r="AR144" i="10" s="1"/>
  <c r="AN82" i="10"/>
  <c r="AP82" i="10" s="1"/>
  <c r="AN194" i="10"/>
  <c r="AP194" i="10" s="1"/>
  <c r="AN40" i="10"/>
  <c r="AP40" i="10" s="1"/>
  <c r="AN77" i="10"/>
  <c r="AP77" i="10" s="1"/>
  <c r="AN93" i="10"/>
  <c r="AP93" i="10" s="1"/>
  <c r="AN186" i="10"/>
  <c r="AO186" i="10" s="1"/>
  <c r="AR186" i="10" s="1"/>
  <c r="AN6" i="10"/>
  <c r="AO6" i="10" s="1"/>
  <c r="AR6" i="10" s="1"/>
  <c r="AN45" i="10"/>
  <c r="AO45" i="10" s="1"/>
  <c r="AR45" i="10" s="1"/>
  <c r="AN109" i="10"/>
  <c r="AO109" i="10" s="1"/>
  <c r="AR109" i="10" s="1"/>
  <c r="AN141" i="10"/>
  <c r="AP141" i="10" s="1"/>
  <c r="AN189" i="10"/>
  <c r="AP189" i="10" s="1"/>
  <c r="AN2" i="10"/>
  <c r="AP2" i="10" s="1"/>
  <c r="AN153" i="10"/>
  <c r="AP153" i="10" s="1"/>
  <c r="AN185" i="10"/>
  <c r="AO185" i="10" s="1"/>
  <c r="AR185" i="10" s="1"/>
  <c r="AN199" i="10"/>
  <c r="AP199" i="10" s="1"/>
  <c r="AN162" i="10"/>
  <c r="AP162" i="10" s="1"/>
  <c r="AN160" i="10"/>
  <c r="AP160" i="10" s="1"/>
  <c r="AN95" i="10"/>
  <c r="AP95" i="10" s="1"/>
  <c r="AN142" i="10"/>
  <c r="AO142" i="10" s="1"/>
  <c r="AR142" i="10" s="1"/>
  <c r="AN163" i="10"/>
  <c r="AO163" i="10" s="1"/>
  <c r="AR163" i="10" s="1"/>
  <c r="AN34" i="10"/>
  <c r="AO34" i="10" s="1"/>
  <c r="AR34" i="10" s="1"/>
  <c r="AN98" i="10"/>
  <c r="AP98" i="10" s="1"/>
  <c r="AN130" i="10"/>
  <c r="AO130" i="10" s="1"/>
  <c r="AR130" i="10" s="1"/>
  <c r="AN128" i="10"/>
  <c r="AO128" i="10" s="1"/>
  <c r="AR128" i="10" s="1"/>
  <c r="AN39" i="10"/>
  <c r="AP39" i="10" s="1"/>
  <c r="AN195" i="10"/>
  <c r="AP195" i="10" s="1"/>
  <c r="AN75" i="10"/>
  <c r="AP75" i="10" s="1"/>
  <c r="AN20" i="10"/>
  <c r="AP20" i="10" s="1"/>
  <c r="AN121" i="10"/>
  <c r="AP121" i="10" s="1"/>
  <c r="AN178" i="10"/>
  <c r="AP178" i="10" s="1"/>
  <c r="AN28" i="10"/>
  <c r="AO28" i="10" s="1"/>
  <c r="AR28" i="10" s="1"/>
  <c r="AN124" i="10"/>
  <c r="AP124" i="10" s="1"/>
  <c r="AN31" i="10"/>
  <c r="AO31" i="10" s="1"/>
  <c r="AR31" i="10" s="1"/>
  <c r="AN167" i="10"/>
  <c r="AP167" i="10" s="1"/>
  <c r="AN92" i="10"/>
  <c r="AO92" i="10" s="1"/>
  <c r="AR92" i="10" s="1"/>
  <c r="AN187" i="10"/>
  <c r="AP187" i="10" s="1"/>
  <c r="AN122" i="10"/>
  <c r="AO122" i="10" s="1"/>
  <c r="AR122" i="10" s="1"/>
  <c r="AN172" i="10"/>
  <c r="AO172" i="10" s="1"/>
  <c r="AR172" i="10" s="1"/>
  <c r="AN17" i="10"/>
  <c r="AO17" i="10" s="1"/>
  <c r="AR17" i="10" s="1"/>
  <c r="AN145" i="10"/>
  <c r="AP145" i="10" s="1"/>
  <c r="AN114" i="10"/>
  <c r="AO114" i="10" s="1"/>
  <c r="AR114" i="10" s="1"/>
  <c r="AN104" i="10"/>
  <c r="AP104" i="10" s="1"/>
  <c r="AN159" i="10"/>
  <c r="AP159" i="10" s="1"/>
  <c r="AN123" i="10"/>
  <c r="AO123" i="10" s="1"/>
  <c r="AR123" i="10" s="1"/>
  <c r="AN26" i="10"/>
  <c r="AO26" i="10" s="1"/>
  <c r="AR26" i="10" s="1"/>
  <c r="AN90" i="10"/>
  <c r="AO90" i="10" s="1"/>
  <c r="AR90" i="10" s="1"/>
  <c r="AN154" i="10"/>
  <c r="AO154" i="10" s="1"/>
  <c r="AR154" i="10" s="1"/>
  <c r="AN108" i="10"/>
  <c r="AP108" i="10" s="1"/>
  <c r="AN27" i="10"/>
  <c r="AP27" i="10" s="1"/>
  <c r="AN49" i="10"/>
  <c r="AP49" i="10" s="1"/>
  <c r="AN113" i="10"/>
  <c r="AO113" i="10" s="1"/>
  <c r="AR113" i="10" s="1"/>
  <c r="AN177" i="10"/>
  <c r="AP177" i="10" s="1"/>
  <c r="AN103" i="10"/>
  <c r="AO103" i="10" s="1"/>
  <c r="AR103" i="10" s="1"/>
  <c r="AN11" i="10"/>
  <c r="AP11" i="10" s="1"/>
  <c r="AN58" i="10"/>
  <c r="AO58" i="10" s="1"/>
  <c r="AR58" i="10" s="1"/>
  <c r="AN44" i="10"/>
  <c r="AN91" i="10"/>
  <c r="AP91" i="10" s="1"/>
  <c r="AN81" i="10"/>
  <c r="AO81" i="10" s="1"/>
  <c r="AR81" i="10" s="1"/>
  <c r="AN198" i="10"/>
  <c r="AP198" i="10" s="1"/>
  <c r="AN125" i="10"/>
  <c r="AP125" i="10" s="1"/>
  <c r="AN60" i="10"/>
  <c r="AO60" i="10" s="1"/>
  <c r="AR60" i="10" s="1"/>
  <c r="AN191" i="10"/>
  <c r="AO191" i="10" s="1"/>
  <c r="AR191" i="10" s="1"/>
  <c r="AN155" i="10"/>
  <c r="AP155" i="10" s="1"/>
  <c r="AN12" i="10"/>
  <c r="AP12" i="10" s="1"/>
  <c r="AN140" i="10"/>
  <c r="AO140" i="10" s="1"/>
  <c r="AR140" i="10" s="1"/>
  <c r="AN59" i="10"/>
  <c r="AO59" i="10" s="1"/>
  <c r="AR59" i="10" s="1"/>
  <c r="AN65" i="10"/>
  <c r="AO65" i="10" s="1"/>
  <c r="AR65" i="10" s="1"/>
  <c r="AN129" i="10"/>
  <c r="AO129" i="10" s="1"/>
  <c r="AR129" i="10" s="1"/>
  <c r="AN193" i="10"/>
  <c r="AO193" i="10" s="1"/>
  <c r="AR193" i="10" s="1"/>
  <c r="AN171" i="10"/>
  <c r="AO171" i="10" s="1"/>
  <c r="AR171" i="10" s="1"/>
  <c r="AN196" i="10"/>
  <c r="AO196" i="10" s="1"/>
  <c r="AR196" i="10" s="1"/>
  <c r="AN30" i="10"/>
  <c r="AO30" i="10" s="1"/>
  <c r="AR30" i="10" s="1"/>
  <c r="AN62" i="10"/>
  <c r="AP62" i="10" s="1"/>
  <c r="AN158" i="10"/>
  <c r="AP158" i="10" s="1"/>
  <c r="AN41" i="10"/>
  <c r="AO41" i="10" s="1"/>
  <c r="AR41" i="10" s="1"/>
  <c r="AN73" i="10"/>
  <c r="AP73" i="10" s="1"/>
  <c r="AN169" i="10"/>
  <c r="AO169" i="10" s="1"/>
  <c r="AR169" i="10" s="1"/>
  <c r="AN201" i="10"/>
  <c r="AP201" i="10" s="1"/>
  <c r="AN23" i="10"/>
  <c r="AO23" i="10" s="1"/>
  <c r="AR23" i="10" s="1"/>
  <c r="AN183" i="10"/>
  <c r="AO183" i="10" s="1"/>
  <c r="AR183" i="10" s="1"/>
  <c r="AN116" i="10"/>
  <c r="AO116" i="10" s="1"/>
  <c r="AR116" i="10" s="1"/>
  <c r="AN56" i="10"/>
  <c r="AP56" i="10" s="1"/>
  <c r="AN184" i="10"/>
  <c r="AO184" i="10" s="1"/>
  <c r="AR184" i="10" s="1"/>
  <c r="AN68" i="10"/>
  <c r="AO68" i="10" s="1"/>
  <c r="AR68" i="10" s="1"/>
  <c r="AN111" i="10"/>
  <c r="AP111" i="10" s="1"/>
  <c r="AN151" i="10"/>
  <c r="AP151" i="10" s="1"/>
  <c r="AN15" i="10"/>
  <c r="AP15" i="10" s="1"/>
  <c r="AN147" i="10"/>
  <c r="AO147" i="10" s="1"/>
  <c r="AR147" i="10" s="1"/>
  <c r="AN38" i="10"/>
  <c r="AP38" i="10" s="1"/>
  <c r="AN102" i="10"/>
  <c r="AO102" i="10" s="1"/>
  <c r="AR102" i="10" s="1"/>
  <c r="AN166" i="10"/>
  <c r="AP166" i="10" s="1"/>
  <c r="AN100" i="10"/>
  <c r="AO100" i="10" s="1"/>
  <c r="AR100" i="10" s="1"/>
  <c r="AN143" i="10"/>
  <c r="AO143" i="10" s="1"/>
  <c r="AR143" i="10" s="1"/>
  <c r="AN107" i="10"/>
  <c r="AO107" i="10" s="1"/>
  <c r="AR107" i="10" s="1"/>
  <c r="AN88" i="10"/>
  <c r="AP88" i="10" s="1"/>
  <c r="AN179" i="10"/>
  <c r="AO179" i="10" s="1"/>
  <c r="AR179" i="10" s="1"/>
  <c r="AN84" i="10"/>
  <c r="AP84" i="10" s="1"/>
  <c r="AN24" i="10"/>
  <c r="AP24" i="10" s="1"/>
  <c r="AN152" i="10"/>
  <c r="AO152" i="10" s="1"/>
  <c r="AR152" i="10" s="1"/>
  <c r="AN87" i="10"/>
  <c r="AO87" i="10" s="1"/>
  <c r="AR87" i="10" s="1"/>
  <c r="AN10" i="10"/>
  <c r="AP10" i="10" s="1"/>
  <c r="AN74" i="10"/>
  <c r="AP74" i="10" s="1"/>
  <c r="AN138" i="10"/>
  <c r="AP138" i="10" s="1"/>
  <c r="AN4" i="10"/>
  <c r="AO4" i="10" s="1"/>
  <c r="AR4" i="10" s="1"/>
  <c r="AN51" i="10"/>
  <c r="AP51" i="10" s="1"/>
  <c r="AN200" i="10"/>
  <c r="AP200" i="10" s="1"/>
  <c r="AN119" i="10"/>
  <c r="AO119" i="10" s="1"/>
  <c r="AR119" i="10" s="1"/>
  <c r="AN115" i="10"/>
  <c r="AP115" i="10" s="1"/>
  <c r="AN36" i="10"/>
  <c r="AP36" i="10" s="1"/>
  <c r="AN79" i="10"/>
  <c r="AO79" i="10" s="1"/>
  <c r="AR79" i="10" s="1"/>
  <c r="AN188" i="10"/>
  <c r="AP188" i="10" s="1"/>
  <c r="AN135" i="10"/>
  <c r="AO135" i="10" s="1"/>
  <c r="AR135" i="10" s="1"/>
  <c r="B5" i="6"/>
  <c r="B6" i="6"/>
  <c r="E3" i="4"/>
  <c r="B4" i="8" s="1"/>
  <c r="E2" i="4"/>
  <c r="B7" i="9" s="1"/>
  <c r="T5" i="10" l="1"/>
  <c r="AC2" i="10" s="1"/>
  <c r="A42" i="10"/>
  <c r="B8" i="9"/>
  <c r="AP196" i="10"/>
  <c r="AO124" i="10"/>
  <c r="AR124" i="10" s="1"/>
  <c r="AP3" i="10"/>
  <c r="AP86" i="10"/>
  <c r="AP68" i="10"/>
  <c r="AP132" i="10"/>
  <c r="W5" i="10"/>
  <c r="W3" i="10"/>
  <c r="AP131" i="10"/>
  <c r="AO84" i="10"/>
  <c r="AR84" i="10" s="1"/>
  <c r="AP148" i="10"/>
  <c r="AP118" i="10"/>
  <c r="AO167" i="10"/>
  <c r="AR167" i="10" s="1"/>
  <c r="AO199" i="10"/>
  <c r="AR199" i="10" s="1"/>
  <c r="AO18" i="10"/>
  <c r="AR18" i="10" s="1"/>
  <c r="AO180" i="10"/>
  <c r="AR180" i="10" s="1"/>
  <c r="AO12" i="10"/>
  <c r="AR12" i="10" s="1"/>
  <c r="AP182" i="10"/>
  <c r="AO150" i="10"/>
  <c r="AR150" i="10" s="1"/>
  <c r="AO40" i="10"/>
  <c r="AR40" i="10" s="1"/>
  <c r="AP164" i="10"/>
  <c r="AP116" i="10"/>
  <c r="AP100" i="10"/>
  <c r="AP103" i="10"/>
  <c r="B2" i="5"/>
  <c r="E5" i="5"/>
  <c r="AP79" i="10"/>
  <c r="AO15" i="10"/>
  <c r="AR15" i="10" s="1"/>
  <c r="AP59" i="10"/>
  <c r="AP123" i="10"/>
  <c r="AO151" i="10"/>
  <c r="AR151" i="10" s="1"/>
  <c r="AO189" i="10"/>
  <c r="AR189" i="10" s="1"/>
  <c r="AP58" i="10"/>
  <c r="AP192" i="10"/>
  <c r="AO89" i="10"/>
  <c r="AR89" i="10" s="1"/>
  <c r="AP135" i="10"/>
  <c r="AP147" i="10"/>
  <c r="AO75" i="10"/>
  <c r="AR75" i="10" s="1"/>
  <c r="AP45" i="10"/>
  <c r="AO2" i="10"/>
  <c r="AR2" i="10" s="1"/>
  <c r="AO134" i="10"/>
  <c r="AR134" i="10" s="1"/>
  <c r="AO82" i="10"/>
  <c r="AR82" i="10" s="1"/>
  <c r="AO155" i="10"/>
  <c r="AR155" i="10" s="1"/>
  <c r="AP64" i="10"/>
  <c r="AP126" i="10"/>
  <c r="AO54" i="10"/>
  <c r="AR54" i="10" s="1"/>
  <c r="AP154" i="10"/>
  <c r="AP139" i="10"/>
  <c r="AP90" i="10"/>
  <c r="AP157" i="10"/>
  <c r="AP185" i="10"/>
  <c r="AO14" i="10"/>
  <c r="AR14" i="10" s="1"/>
  <c r="AO57" i="10"/>
  <c r="AR57" i="10" s="1"/>
  <c r="AO21" i="10"/>
  <c r="AR21" i="10" s="1"/>
  <c r="AP65" i="10"/>
  <c r="AO73" i="10"/>
  <c r="AR73" i="10" s="1"/>
  <c r="AO101" i="10"/>
  <c r="AR101" i="10" s="1"/>
  <c r="AP55" i="10"/>
  <c r="AP16" i="10"/>
  <c r="AO47" i="10"/>
  <c r="AR47" i="10" s="1"/>
  <c r="AP76" i="10"/>
  <c r="AP13" i="10"/>
  <c r="AO85" i="10"/>
  <c r="AR85" i="10" s="1"/>
  <c r="AO198" i="10"/>
  <c r="AR198" i="10" s="1"/>
  <c r="AP81" i="10"/>
  <c r="AP69" i="10"/>
  <c r="AP122" i="10"/>
  <c r="AO38" i="10"/>
  <c r="AR38" i="10" s="1"/>
  <c r="AO115" i="10"/>
  <c r="AR115" i="10" s="1"/>
  <c r="AO46" i="10"/>
  <c r="AR46" i="10" s="1"/>
  <c r="AP171" i="10"/>
  <c r="AO127" i="10"/>
  <c r="AR127" i="10" s="1"/>
  <c r="AP28" i="10"/>
  <c r="AO188" i="10"/>
  <c r="AR188" i="10" s="1"/>
  <c r="AP32" i="10"/>
  <c r="AO178" i="10"/>
  <c r="AR178" i="10" s="1"/>
  <c r="AO161" i="10"/>
  <c r="AR161" i="10" s="1"/>
  <c r="AO158" i="10"/>
  <c r="AR158" i="10" s="1"/>
  <c r="AP34" i="10"/>
  <c r="AO22" i="10"/>
  <c r="AR22" i="10" s="1"/>
  <c r="AP112" i="10"/>
  <c r="AP6" i="10"/>
  <c r="AO98" i="10"/>
  <c r="AR98" i="10" s="1"/>
  <c r="AO181" i="10"/>
  <c r="AR181" i="10" s="1"/>
  <c r="AP170" i="10"/>
  <c r="AP41" i="10"/>
  <c r="AO201" i="10"/>
  <c r="AR201" i="10" s="1"/>
  <c r="AP113" i="10"/>
  <c r="AP143" i="10"/>
  <c r="AO202" i="10"/>
  <c r="AR202" i="10" s="1"/>
  <c r="AO74" i="10"/>
  <c r="AR74" i="10" s="1"/>
  <c r="AO61" i="10"/>
  <c r="AR61" i="10" s="1"/>
  <c r="AP26" i="10"/>
  <c r="AO153" i="10"/>
  <c r="AR153" i="10" s="1"/>
  <c r="AP109" i="10"/>
  <c r="AO145" i="10"/>
  <c r="AR145" i="10" s="1"/>
  <c r="AO49" i="10"/>
  <c r="AR49" i="10" s="1"/>
  <c r="AP183" i="10"/>
  <c r="AP60" i="10"/>
  <c r="AP23" i="10"/>
  <c r="AO91" i="10"/>
  <c r="AR91" i="10" s="1"/>
  <c r="AO176" i="10"/>
  <c r="AR176" i="10" s="1"/>
  <c r="AP152" i="10"/>
  <c r="AP117" i="10"/>
  <c r="AP142" i="10"/>
  <c r="AO125" i="10"/>
  <c r="AR125" i="10" s="1"/>
  <c r="AP130" i="10"/>
  <c r="AO97" i="10"/>
  <c r="AR97" i="10" s="1"/>
  <c r="AP102" i="10"/>
  <c r="AP137" i="10"/>
  <c r="AP29" i="10"/>
  <c r="AP146" i="10"/>
  <c r="AO106" i="10"/>
  <c r="AR106" i="10" s="1"/>
  <c r="AP35" i="10"/>
  <c r="AO173" i="10"/>
  <c r="AR173" i="10" s="1"/>
  <c r="AO42" i="10"/>
  <c r="AR42" i="10" s="1"/>
  <c r="AO177" i="10"/>
  <c r="AR177" i="10" s="1"/>
  <c r="AP63" i="10"/>
  <c r="AO187" i="10"/>
  <c r="AR187" i="10" s="1"/>
  <c r="AP191" i="10"/>
  <c r="AP31" i="10"/>
  <c r="AO80" i="10"/>
  <c r="AR80" i="10" s="1"/>
  <c r="AO27" i="10"/>
  <c r="AR27" i="10" s="1"/>
  <c r="AP186" i="10"/>
  <c r="AP8" i="10"/>
  <c r="AP179" i="10"/>
  <c r="AO111" i="10"/>
  <c r="AR111" i="10" s="1"/>
  <c r="AO159" i="10"/>
  <c r="AR159" i="10" s="1"/>
  <c r="AO104" i="10"/>
  <c r="AR104" i="10" s="1"/>
  <c r="AP140" i="10"/>
  <c r="AO78" i="10"/>
  <c r="AR78" i="10" s="1"/>
  <c r="AO50" i="10"/>
  <c r="AR50" i="10" s="1"/>
  <c r="AO168" i="10"/>
  <c r="AR168" i="10" s="1"/>
  <c r="AO10" i="10"/>
  <c r="AR10" i="10" s="1"/>
  <c r="AP105" i="10"/>
  <c r="AP94" i="10"/>
  <c r="AO39" i="10"/>
  <c r="AR39" i="10" s="1"/>
  <c r="AO194" i="10"/>
  <c r="AR194" i="10" s="1"/>
  <c r="AP71" i="10"/>
  <c r="AO165" i="10"/>
  <c r="AR165" i="10" s="1"/>
  <c r="AO93" i="10"/>
  <c r="AR93" i="10" s="1"/>
  <c r="AO70" i="10"/>
  <c r="AR70" i="10" s="1"/>
  <c r="AP169" i="10"/>
  <c r="AO121" i="10"/>
  <c r="AR121" i="10" s="1"/>
  <c r="AO5" i="10"/>
  <c r="AR5" i="10" s="1"/>
  <c r="AO110" i="10"/>
  <c r="AR110" i="10" s="1"/>
  <c r="AO77" i="10"/>
  <c r="AR77" i="10" s="1"/>
  <c r="AO37" i="10"/>
  <c r="AR37" i="10" s="1"/>
  <c r="AO166" i="10"/>
  <c r="AR166" i="10" s="1"/>
  <c r="AO51" i="10"/>
  <c r="AR51" i="10" s="1"/>
  <c r="AP119" i="10"/>
  <c r="AP67" i="10"/>
  <c r="AO88" i="10"/>
  <c r="AR88" i="10" s="1"/>
  <c r="AO19" i="10"/>
  <c r="AR19" i="10" s="1"/>
  <c r="AP163" i="10"/>
  <c r="AP83" i="10"/>
  <c r="AO195" i="10"/>
  <c r="AR195" i="10" s="1"/>
  <c r="AO7" i="10"/>
  <c r="AR7" i="10" s="1"/>
  <c r="AO11" i="10"/>
  <c r="AR11" i="10" s="1"/>
  <c r="AO149" i="10"/>
  <c r="AR149" i="10" s="1"/>
  <c r="AO175" i="10"/>
  <c r="AR175" i="10" s="1"/>
  <c r="AO24" i="10"/>
  <c r="AR24" i="10" s="1"/>
  <c r="AO138" i="10"/>
  <c r="AR138" i="10" s="1"/>
  <c r="AP66" i="10"/>
  <c r="AP129" i="10"/>
  <c r="AP30" i="10"/>
  <c r="AO174" i="10"/>
  <c r="AR174" i="10" s="1"/>
  <c r="AO141" i="10"/>
  <c r="AR141" i="10" s="1"/>
  <c r="AP33" i="10"/>
  <c r="AP114" i="10"/>
  <c r="AO108" i="10"/>
  <c r="AR108" i="10" s="1"/>
  <c r="AP107" i="10"/>
  <c r="AP144" i="10"/>
  <c r="AP136" i="10"/>
  <c r="AP133" i="10"/>
  <c r="AP17" i="10"/>
  <c r="AP48" i="10"/>
  <c r="AP193" i="10"/>
  <c r="AP25" i="10"/>
  <c r="AP190" i="10"/>
  <c r="AO36" i="10"/>
  <c r="AR36" i="10" s="1"/>
  <c r="AO95" i="10"/>
  <c r="AR95" i="10" s="1"/>
  <c r="AP156" i="10"/>
  <c r="AP184" i="10"/>
  <c r="AO197" i="10"/>
  <c r="AR197" i="10" s="1"/>
  <c r="AO9" i="10"/>
  <c r="AR9" i="10" s="1"/>
  <c r="AO62" i="10"/>
  <c r="AR62" i="10" s="1"/>
  <c r="AO162" i="10"/>
  <c r="AR162" i="10" s="1"/>
  <c r="AO99" i="10"/>
  <c r="AR99" i="10" s="1"/>
  <c r="AP120" i="10"/>
  <c r="AO56" i="10"/>
  <c r="AR56" i="10" s="1"/>
  <c r="AP87" i="10"/>
  <c r="AO200" i="10"/>
  <c r="AR200" i="10" s="1"/>
  <c r="AP172" i="10"/>
  <c r="AP4" i="10"/>
  <c r="AP128" i="10"/>
  <c r="AO72" i="10"/>
  <c r="AR72" i="10" s="1"/>
  <c r="AP92" i="10"/>
  <c r="AO160" i="10"/>
  <c r="AR160" i="10" s="1"/>
  <c r="AO20" i="10"/>
  <c r="AR20" i="10" s="1"/>
  <c r="AP96" i="10"/>
  <c r="AO44" i="10"/>
  <c r="AR44" i="10" s="1"/>
  <c r="AP44" i="10"/>
  <c r="AP43" i="10"/>
  <c r="AO43" i="10"/>
  <c r="AR43" i="10" s="1"/>
  <c r="AP53" i="10"/>
  <c r="AO53" i="10"/>
  <c r="AR53" i="10" s="1"/>
  <c r="AO52" i="10"/>
  <c r="AR52" i="10" s="1"/>
  <c r="AP52" i="10"/>
  <c r="W6" i="10" l="1"/>
  <c r="AD63" i="10" s="1"/>
  <c r="AE199" i="10"/>
  <c r="AQ199" i="10" s="1"/>
  <c r="AE195" i="10"/>
  <c r="AE191" i="10"/>
  <c r="AE187" i="10"/>
  <c r="AE183" i="10"/>
  <c r="AE179" i="10"/>
  <c r="AE175" i="10"/>
  <c r="AE171" i="10"/>
  <c r="AE167" i="10"/>
  <c r="AE163" i="10"/>
  <c r="AE159" i="10"/>
  <c r="AE155" i="10"/>
  <c r="AE151" i="10"/>
  <c r="AE147" i="10"/>
  <c r="AE143" i="10"/>
  <c r="AE139" i="10"/>
  <c r="AE135" i="10"/>
  <c r="AE131" i="10"/>
  <c r="AE127" i="10"/>
  <c r="AE123" i="10"/>
  <c r="AE119" i="10"/>
  <c r="AE115" i="10"/>
  <c r="AE111" i="10"/>
  <c r="AE107" i="10"/>
  <c r="AE103" i="10"/>
  <c r="AE99" i="10"/>
  <c r="AQ99" i="10" s="1"/>
  <c r="AE95" i="10"/>
  <c r="AE91" i="10"/>
  <c r="AE87" i="10"/>
  <c r="AE83" i="10"/>
  <c r="AE79" i="10"/>
  <c r="AE75" i="10"/>
  <c r="AE71" i="10"/>
  <c r="AQ71" i="10" s="1"/>
  <c r="AE67" i="10"/>
  <c r="AQ67" i="10" s="1"/>
  <c r="AE63" i="10"/>
  <c r="AE59" i="10"/>
  <c r="AE55" i="10"/>
  <c r="AE51" i="10"/>
  <c r="AE47" i="10"/>
  <c r="AE43" i="10"/>
  <c r="AE39" i="10"/>
  <c r="AE35" i="10"/>
  <c r="AE31" i="10"/>
  <c r="AE27" i="10"/>
  <c r="AE23" i="10"/>
  <c r="AE19" i="10"/>
  <c r="AE15" i="10"/>
  <c r="AE11" i="10"/>
  <c r="AE3" i="10"/>
  <c r="AE196" i="10"/>
  <c r="AE188" i="10"/>
  <c r="AE180" i="10"/>
  <c r="AE172" i="10"/>
  <c r="AE164" i="10"/>
  <c r="AQ164" i="10" s="1"/>
  <c r="AE156" i="10"/>
  <c r="AE148" i="10"/>
  <c r="AE140" i="10"/>
  <c r="AE132" i="10"/>
  <c r="AQ132" i="10" s="1"/>
  <c r="AE124" i="10"/>
  <c r="AE116" i="10"/>
  <c r="AE108" i="10"/>
  <c r="AQ108" i="10" s="1"/>
  <c r="AE100" i="10"/>
  <c r="AE92" i="10"/>
  <c r="AE84" i="10"/>
  <c r="AE76" i="10"/>
  <c r="AE68" i="10"/>
  <c r="AE60" i="10"/>
  <c r="AE52" i="10"/>
  <c r="AE44" i="10"/>
  <c r="AE36" i="10"/>
  <c r="AE28" i="10"/>
  <c r="AE20" i="10"/>
  <c r="AE12" i="10"/>
  <c r="AE4" i="10"/>
  <c r="AE197" i="10"/>
  <c r="AE185" i="10"/>
  <c r="AE177" i="10"/>
  <c r="AE169" i="10"/>
  <c r="AQ169" i="10" s="1"/>
  <c r="AE161" i="10"/>
  <c r="AE153" i="10"/>
  <c r="AE145" i="10"/>
  <c r="AQ145" i="10" s="1"/>
  <c r="AE137" i="10"/>
  <c r="AE129" i="10"/>
  <c r="AE121" i="10"/>
  <c r="AE113" i="10"/>
  <c r="AE105" i="10"/>
  <c r="AE97" i="10"/>
  <c r="AE89" i="10"/>
  <c r="AE81" i="10"/>
  <c r="AE73" i="10"/>
  <c r="AQ73" i="10" s="1"/>
  <c r="AE65" i="10"/>
  <c r="AE57" i="10"/>
  <c r="AE49" i="10"/>
  <c r="AE41" i="10"/>
  <c r="AE33" i="10"/>
  <c r="AE25" i="10"/>
  <c r="AE17" i="10"/>
  <c r="AE9" i="10"/>
  <c r="AE198" i="10"/>
  <c r="AE194" i="10"/>
  <c r="AE190" i="10"/>
  <c r="AQ190" i="10" s="1"/>
  <c r="AE186" i="10"/>
  <c r="AE182" i="10"/>
  <c r="AE178" i="10"/>
  <c r="AE174" i="10"/>
  <c r="AE170" i="10"/>
  <c r="AE166" i="10"/>
  <c r="AE162" i="10"/>
  <c r="AE158" i="10"/>
  <c r="AQ158" i="10" s="1"/>
  <c r="AE154" i="10"/>
  <c r="AE150" i="10"/>
  <c r="AE146" i="10"/>
  <c r="AE142" i="10"/>
  <c r="AQ142" i="10" s="1"/>
  <c r="AE138" i="10"/>
  <c r="AE134" i="10"/>
  <c r="AE130" i="10"/>
  <c r="AE126" i="10"/>
  <c r="AE122" i="10"/>
  <c r="AE118" i="10"/>
  <c r="AE114" i="10"/>
  <c r="AE110" i="10"/>
  <c r="AQ110" i="10" s="1"/>
  <c r="AE106" i="10"/>
  <c r="AE102" i="10"/>
  <c r="AE98" i="10"/>
  <c r="AE94" i="10"/>
  <c r="AE90" i="10"/>
  <c r="AE86" i="10"/>
  <c r="AE82" i="10"/>
  <c r="AE78" i="10"/>
  <c r="AE74" i="10"/>
  <c r="AQ74" i="10" s="1"/>
  <c r="AE70" i="10"/>
  <c r="AE66" i="10"/>
  <c r="AE62" i="10"/>
  <c r="AE58" i="10"/>
  <c r="AE54" i="10"/>
  <c r="AE50" i="10"/>
  <c r="AE46" i="10"/>
  <c r="AE42" i="10"/>
  <c r="AE38" i="10"/>
  <c r="AE34" i="10"/>
  <c r="AE30" i="10"/>
  <c r="AE26" i="10"/>
  <c r="AE22" i="10"/>
  <c r="AE18" i="10"/>
  <c r="AE14" i="10"/>
  <c r="AE10" i="10"/>
  <c r="AE6" i="10"/>
  <c r="AE7" i="10"/>
  <c r="AE200" i="10"/>
  <c r="AE192" i="10"/>
  <c r="AE184" i="10"/>
  <c r="AE176" i="10"/>
  <c r="AE168" i="10"/>
  <c r="AE160" i="10"/>
  <c r="AE152" i="10"/>
  <c r="AE144" i="10"/>
  <c r="AE136" i="10"/>
  <c r="AE128" i="10"/>
  <c r="AQ128" i="10" s="1"/>
  <c r="AE120" i="10"/>
  <c r="AE112" i="10"/>
  <c r="AE104" i="10"/>
  <c r="AE96" i="10"/>
  <c r="AE88" i="10"/>
  <c r="AE80" i="10"/>
  <c r="AE72" i="10"/>
  <c r="AE64" i="10"/>
  <c r="AE56" i="10"/>
  <c r="AE48" i="10"/>
  <c r="AE40" i="10"/>
  <c r="AE32" i="10"/>
  <c r="AE24" i="10"/>
  <c r="AE16" i="10"/>
  <c r="AE8" i="10"/>
  <c r="AE201" i="10"/>
  <c r="AE193" i="10"/>
  <c r="AE189" i="10"/>
  <c r="AE181" i="10"/>
  <c r="AQ181" i="10" s="1"/>
  <c r="AE173" i="10"/>
  <c r="AE165" i="10"/>
  <c r="AE157" i="10"/>
  <c r="AE149" i="10"/>
  <c r="AE141" i="10"/>
  <c r="AE133" i="10"/>
  <c r="AE125" i="10"/>
  <c r="AE117" i="10"/>
  <c r="AE109" i="10"/>
  <c r="AE101" i="10"/>
  <c r="AE93" i="10"/>
  <c r="AE85" i="10"/>
  <c r="AQ85" i="10" s="1"/>
  <c r="AE77" i="10"/>
  <c r="AE69" i="10"/>
  <c r="AE61" i="10"/>
  <c r="AE53" i="10"/>
  <c r="AE45" i="10"/>
  <c r="AE37" i="10"/>
  <c r="AE29" i="10"/>
  <c r="AE21" i="10"/>
  <c r="AE13" i="10"/>
  <c r="AE5" i="10"/>
  <c r="AE2" i="10"/>
  <c r="AE202" i="10"/>
  <c r="AQ202" i="10" s="1"/>
  <c r="AQ176" i="10"/>
  <c r="AQ61" i="10"/>
  <c r="AQ188" i="10"/>
  <c r="AQ121" i="10"/>
  <c r="AQ93" i="10"/>
  <c r="AQ155" i="10"/>
  <c r="AQ100" i="10"/>
  <c r="AQ79" i="10"/>
  <c r="AQ175" i="10"/>
  <c r="AQ59" i="10"/>
  <c r="AQ191" i="10"/>
  <c r="AQ123" i="10"/>
  <c r="AQ65" i="10"/>
  <c r="AQ159" i="10"/>
  <c r="AQ64" i="10"/>
  <c r="AQ185" i="10"/>
  <c r="AQ172" i="10"/>
  <c r="AQ193" i="10"/>
  <c r="AQ143" i="10"/>
  <c r="AQ120" i="10"/>
  <c r="AQ109" i="10"/>
  <c r="AQ129" i="10"/>
  <c r="AQ96" i="10"/>
  <c r="AQ83" i="10"/>
  <c r="AQ57" i="10"/>
  <c r="AQ84" i="10"/>
  <c r="AQ102" i="10"/>
  <c r="AQ198" i="10"/>
  <c r="AQ127" i="10"/>
  <c r="AQ51" i="10"/>
  <c r="AQ20" i="10"/>
  <c r="AQ86" i="10"/>
  <c r="AQ101" i="10"/>
  <c r="AQ197" i="10"/>
  <c r="AQ192" i="10"/>
  <c r="AQ4" i="10"/>
  <c r="AQ5" i="10"/>
  <c r="AQ15" i="10"/>
  <c r="AQ54" i="10"/>
  <c r="AQ43" i="10"/>
  <c r="AQ75" i="10"/>
  <c r="AQ182" i="10"/>
  <c r="AQ162" i="10"/>
  <c r="AQ107" i="10"/>
  <c r="AQ111" i="10"/>
  <c r="AQ134" i="10"/>
  <c r="AQ146" i="10"/>
  <c r="AQ114" i="10"/>
  <c r="AQ148" i="10"/>
  <c r="AQ112" i="10"/>
  <c r="AQ156" i="10"/>
  <c r="AQ92" i="10"/>
  <c r="AQ189" i="10"/>
  <c r="AQ116" i="10"/>
  <c r="AQ178" i="10"/>
  <c r="AQ152" i="10"/>
  <c r="AQ186" i="10"/>
  <c r="AF63" i="10" l="1"/>
  <c r="AH63" i="10" s="1"/>
  <c r="AI63" i="10" s="1"/>
  <c r="AD152" i="10"/>
  <c r="AF152" i="10" s="1"/>
  <c r="AG152" i="10" s="1"/>
  <c r="AD95" i="10"/>
  <c r="AF95" i="10" s="1"/>
  <c r="AG95" i="10" s="1"/>
  <c r="AJ95" i="10" s="1"/>
  <c r="AS95" i="10" s="1"/>
  <c r="AD122" i="10"/>
  <c r="AF122" i="10" s="1"/>
  <c r="AH122" i="10" s="1"/>
  <c r="AI122" i="10" s="1"/>
  <c r="AD70" i="10"/>
  <c r="AF70" i="10" s="1"/>
  <c r="AH70" i="10" s="1"/>
  <c r="AI70" i="10" s="1"/>
  <c r="AD90" i="10"/>
  <c r="AF90" i="10" s="1"/>
  <c r="AG90" i="10" s="1"/>
  <c r="AJ90" i="10" s="1"/>
  <c r="AS90" i="10" s="1"/>
  <c r="AD119" i="10"/>
  <c r="AF119" i="10" s="1"/>
  <c r="AG119" i="10" s="1"/>
  <c r="AD30" i="10"/>
  <c r="AF30" i="10" s="1"/>
  <c r="AG30" i="10" s="1"/>
  <c r="AD116" i="10"/>
  <c r="AF116" i="10" s="1"/>
  <c r="AG116" i="10" s="1"/>
  <c r="AD19" i="10"/>
  <c r="AF19" i="10" s="1"/>
  <c r="AH19" i="10" s="1"/>
  <c r="AI19" i="10" s="1"/>
  <c r="AD102" i="10"/>
  <c r="AF102" i="10" s="1"/>
  <c r="AG102" i="10" s="1"/>
  <c r="AJ102" i="10" s="1"/>
  <c r="AS102" i="10" s="1"/>
  <c r="AD167" i="10"/>
  <c r="AF167" i="10" s="1"/>
  <c r="AG167" i="10" s="1"/>
  <c r="AD71" i="10"/>
  <c r="AF71" i="10" s="1"/>
  <c r="AG71" i="10" s="1"/>
  <c r="AJ71" i="10" s="1"/>
  <c r="AS71" i="10" s="1"/>
  <c r="AD121" i="10"/>
  <c r="AF121" i="10" s="1"/>
  <c r="AH121" i="10" s="1"/>
  <c r="AI121" i="10" s="1"/>
  <c r="AT121" i="10" s="1"/>
  <c r="AD157" i="10"/>
  <c r="AF157" i="10" s="1"/>
  <c r="AG157" i="10" s="1"/>
  <c r="AD3" i="10"/>
  <c r="AF3" i="10" s="1"/>
  <c r="AH3" i="10" s="1"/>
  <c r="AI3" i="10" s="1"/>
  <c r="AD108" i="10"/>
  <c r="AF108" i="10" s="1"/>
  <c r="AG108" i="10" s="1"/>
  <c r="AD46" i="10"/>
  <c r="AF46" i="10" s="1"/>
  <c r="AH46" i="10" s="1"/>
  <c r="AI46" i="10" s="1"/>
  <c r="AD76" i="10"/>
  <c r="AF76" i="10" s="1"/>
  <c r="AH76" i="10" s="1"/>
  <c r="AI76" i="10" s="1"/>
  <c r="AD141" i="10"/>
  <c r="AF141" i="10" s="1"/>
  <c r="AH141" i="10" s="1"/>
  <c r="AI141" i="10" s="1"/>
  <c r="AD21" i="10"/>
  <c r="AF21" i="10" s="1"/>
  <c r="AG21" i="10" s="1"/>
  <c r="AD196" i="10"/>
  <c r="AF196" i="10" s="1"/>
  <c r="AH196" i="10" s="1"/>
  <c r="AI196" i="10" s="1"/>
  <c r="AD142" i="10"/>
  <c r="AF142" i="10" s="1"/>
  <c r="AH142" i="10" s="1"/>
  <c r="AI142" i="10" s="1"/>
  <c r="AT142" i="10" s="1"/>
  <c r="AD168" i="10"/>
  <c r="AF168" i="10" s="1"/>
  <c r="AH168" i="10" s="1"/>
  <c r="AI168" i="10" s="1"/>
  <c r="AD148" i="10"/>
  <c r="AF148" i="10" s="1"/>
  <c r="AG148" i="10" s="1"/>
  <c r="AD73" i="10"/>
  <c r="AF73" i="10" s="1"/>
  <c r="AH73" i="10" s="1"/>
  <c r="AI73" i="10" s="1"/>
  <c r="AT73" i="10" s="1"/>
  <c r="AD198" i="10"/>
  <c r="AF198" i="10" s="1"/>
  <c r="AH198" i="10" s="1"/>
  <c r="AI198" i="10" s="1"/>
  <c r="AT198" i="10" s="1"/>
  <c r="AD11" i="10"/>
  <c r="AF11" i="10" s="1"/>
  <c r="AH11" i="10" s="1"/>
  <c r="AI11" i="10" s="1"/>
  <c r="AD111" i="10"/>
  <c r="AF111" i="10" s="1"/>
  <c r="AH111" i="10" s="1"/>
  <c r="AI111" i="10" s="1"/>
  <c r="AT111" i="10" s="1"/>
  <c r="AD14" i="10"/>
  <c r="AF14" i="10" s="1"/>
  <c r="AH14" i="10" s="1"/>
  <c r="AI14" i="10" s="1"/>
  <c r="AD174" i="10"/>
  <c r="AF174" i="10" s="1"/>
  <c r="AH174" i="10" s="1"/>
  <c r="AI174" i="10" s="1"/>
  <c r="AD96" i="10"/>
  <c r="AF96" i="10" s="1"/>
  <c r="AG96" i="10" s="1"/>
  <c r="AJ96" i="10" s="1"/>
  <c r="AS96" i="10" s="1"/>
  <c r="AD50" i="10"/>
  <c r="AF50" i="10" s="1"/>
  <c r="AG50" i="10" s="1"/>
  <c r="AD172" i="10"/>
  <c r="AF172" i="10" s="1"/>
  <c r="AG172" i="10" s="1"/>
  <c r="AJ172" i="10" s="1"/>
  <c r="AS172" i="10" s="1"/>
  <c r="AD44" i="10"/>
  <c r="AF44" i="10" s="1"/>
  <c r="AG44" i="10" s="1"/>
  <c r="AD191" i="10"/>
  <c r="AF191" i="10" s="1"/>
  <c r="AG191" i="10" s="1"/>
  <c r="AJ191" i="10" s="1"/>
  <c r="AS191" i="10" s="1"/>
  <c r="AD75" i="10"/>
  <c r="AF75" i="10" s="1"/>
  <c r="AG75" i="10" s="1"/>
  <c r="AJ75" i="10" s="1"/>
  <c r="AS75" i="10" s="1"/>
  <c r="AD20" i="10"/>
  <c r="AF20" i="10" s="1"/>
  <c r="AH20" i="10" s="1"/>
  <c r="AI20" i="10" s="1"/>
  <c r="AT20" i="10" s="1"/>
  <c r="AD58" i="10"/>
  <c r="AF58" i="10" s="1"/>
  <c r="AG58" i="10" s="1"/>
  <c r="AD129" i="10"/>
  <c r="AF129" i="10" s="1"/>
  <c r="AH129" i="10" s="1"/>
  <c r="AI129" i="10" s="1"/>
  <c r="AT129" i="10" s="1"/>
  <c r="AD194" i="10"/>
  <c r="AF194" i="10" s="1"/>
  <c r="AG194" i="10" s="1"/>
  <c r="AD31" i="10"/>
  <c r="AF31" i="10" s="1"/>
  <c r="AG31" i="10" s="1"/>
  <c r="AD98" i="10"/>
  <c r="AF98" i="10" s="1"/>
  <c r="AH98" i="10" s="1"/>
  <c r="AI98" i="10" s="1"/>
  <c r="AD201" i="10"/>
  <c r="AF201" i="10" s="1"/>
  <c r="AH201" i="10" s="1"/>
  <c r="AI201" i="10" s="1"/>
  <c r="AD130" i="10"/>
  <c r="AF130" i="10" s="1"/>
  <c r="AG130" i="10" s="1"/>
  <c r="AD34" i="10"/>
  <c r="AF34" i="10" s="1"/>
  <c r="AG34" i="10" s="1"/>
  <c r="AD197" i="10"/>
  <c r="AF197" i="10" s="1"/>
  <c r="AG197" i="10" s="1"/>
  <c r="AD47" i="10"/>
  <c r="AF47" i="10" s="1"/>
  <c r="AH47" i="10" s="1"/>
  <c r="AI47" i="10" s="1"/>
  <c r="AD26" i="10"/>
  <c r="AF26" i="10" s="1"/>
  <c r="AH26" i="10" s="1"/>
  <c r="AI26" i="10" s="1"/>
  <c r="AD149" i="10"/>
  <c r="AF149" i="10" s="1"/>
  <c r="AH149" i="10" s="1"/>
  <c r="AI149" i="10" s="1"/>
  <c r="AD112" i="10"/>
  <c r="AF112" i="10" s="1"/>
  <c r="AG112" i="10" s="1"/>
  <c r="AD170" i="10"/>
  <c r="AF170" i="10" s="1"/>
  <c r="AH170" i="10" s="1"/>
  <c r="AI170" i="10" s="1"/>
  <c r="AD169" i="10"/>
  <c r="AF169" i="10" s="1"/>
  <c r="AH169" i="10" s="1"/>
  <c r="AI169" i="10" s="1"/>
  <c r="AT169" i="10" s="1"/>
  <c r="AD104" i="10"/>
  <c r="AF104" i="10" s="1"/>
  <c r="AG104" i="10" s="1"/>
  <c r="AD187" i="10"/>
  <c r="AF187" i="10" s="1"/>
  <c r="AG187" i="10" s="1"/>
  <c r="AD29" i="10"/>
  <c r="AF29" i="10" s="1"/>
  <c r="AG29" i="10" s="1"/>
  <c r="AD56" i="10"/>
  <c r="AF56" i="10" s="1"/>
  <c r="AG56" i="10" s="1"/>
  <c r="AD202" i="10"/>
  <c r="AF202" i="10" s="1"/>
  <c r="AH202" i="10" s="1"/>
  <c r="AI202" i="10" s="1"/>
  <c r="AT202" i="10" s="1"/>
  <c r="AD200" i="10"/>
  <c r="AF200" i="10" s="1"/>
  <c r="AG200" i="10" s="1"/>
  <c r="AJ200" i="10" s="1"/>
  <c r="AS200" i="10" s="1"/>
  <c r="AD16" i="10"/>
  <c r="AF16" i="10" s="1"/>
  <c r="AG16" i="10" s="1"/>
  <c r="AD69" i="10"/>
  <c r="AF69" i="10" s="1"/>
  <c r="AH69" i="10" s="1"/>
  <c r="AI69" i="10" s="1"/>
  <c r="AD131" i="10"/>
  <c r="AF131" i="10" s="1"/>
  <c r="AH131" i="10" s="1"/>
  <c r="AI131" i="10" s="1"/>
  <c r="AD107" i="10"/>
  <c r="AF107" i="10" s="1"/>
  <c r="AH107" i="10" s="1"/>
  <c r="AI107" i="10" s="1"/>
  <c r="AT107" i="10" s="1"/>
  <c r="AD114" i="10"/>
  <c r="AF114" i="10" s="1"/>
  <c r="AH114" i="10" s="1"/>
  <c r="AI114" i="10" s="1"/>
  <c r="AT114" i="10" s="1"/>
  <c r="AD151" i="10"/>
  <c r="AF151" i="10" s="1"/>
  <c r="AH151" i="10" s="1"/>
  <c r="AI151" i="10" s="1"/>
  <c r="AD17" i="10"/>
  <c r="AF17" i="10" s="1"/>
  <c r="AH17" i="10" s="1"/>
  <c r="AI17" i="10" s="1"/>
  <c r="AD2" i="10"/>
  <c r="AF2" i="10" s="1"/>
  <c r="AG2" i="10" s="1"/>
  <c r="AJ2" i="10" s="1"/>
  <c r="AS2" i="10" s="1"/>
  <c r="AD68" i="10"/>
  <c r="AF68" i="10" s="1"/>
  <c r="AH68" i="10" s="1"/>
  <c r="AI68" i="10" s="1"/>
  <c r="AD52" i="10"/>
  <c r="AF52" i="10" s="1"/>
  <c r="AH52" i="10" s="1"/>
  <c r="AI52" i="10" s="1"/>
  <c r="AD126" i="10"/>
  <c r="AF126" i="10" s="1"/>
  <c r="AG126" i="10" s="1"/>
  <c r="AD4" i="10"/>
  <c r="AF4" i="10" s="1"/>
  <c r="AG4" i="10" s="1"/>
  <c r="AJ4" i="10" s="1"/>
  <c r="AS4" i="10" s="1"/>
  <c r="AD171" i="10"/>
  <c r="AF171" i="10" s="1"/>
  <c r="AG171" i="10" s="1"/>
  <c r="AD42" i="10"/>
  <c r="AF42" i="10" s="1"/>
  <c r="AH42" i="10" s="1"/>
  <c r="AI42" i="10" s="1"/>
  <c r="AD146" i="10"/>
  <c r="AF146" i="10" s="1"/>
  <c r="AG146" i="10" s="1"/>
  <c r="AD185" i="10"/>
  <c r="AF185" i="10" s="1"/>
  <c r="AH185" i="10" s="1"/>
  <c r="AI185" i="10" s="1"/>
  <c r="AT185" i="10" s="1"/>
  <c r="AD175" i="10"/>
  <c r="AF175" i="10" s="1"/>
  <c r="AH175" i="10" s="1"/>
  <c r="AI175" i="10" s="1"/>
  <c r="AT175" i="10" s="1"/>
  <c r="AD127" i="10"/>
  <c r="AF127" i="10" s="1"/>
  <c r="AG127" i="10" s="1"/>
  <c r="AD133" i="10"/>
  <c r="AF133" i="10" s="1"/>
  <c r="AH133" i="10" s="1"/>
  <c r="AI133" i="10" s="1"/>
  <c r="AD94" i="10"/>
  <c r="AF94" i="10" s="1"/>
  <c r="AH94" i="10" s="1"/>
  <c r="AI94" i="10" s="1"/>
  <c r="AD124" i="10"/>
  <c r="AF124" i="10" s="1"/>
  <c r="AG124" i="10" s="1"/>
  <c r="AJ124" i="10" s="1"/>
  <c r="AS124" i="10" s="1"/>
  <c r="AD103" i="10"/>
  <c r="AF103" i="10" s="1"/>
  <c r="AG103" i="10" s="1"/>
  <c r="AD100" i="10"/>
  <c r="AF100" i="10" s="1"/>
  <c r="AH100" i="10" s="1"/>
  <c r="AI100" i="10" s="1"/>
  <c r="AT100" i="10" s="1"/>
  <c r="AD144" i="10"/>
  <c r="AF144" i="10" s="1"/>
  <c r="AG144" i="10" s="1"/>
  <c r="AD77" i="10"/>
  <c r="AF77" i="10" s="1"/>
  <c r="AG77" i="10" s="1"/>
  <c r="AD182" i="10"/>
  <c r="AF182" i="10" s="1"/>
  <c r="AH182" i="10" s="1"/>
  <c r="AI182" i="10" s="1"/>
  <c r="AT182" i="10" s="1"/>
  <c r="AD33" i="10"/>
  <c r="AF33" i="10" s="1"/>
  <c r="AG33" i="10" s="1"/>
  <c r="AD13" i="10"/>
  <c r="AF13" i="10" s="1"/>
  <c r="AG13" i="10" s="1"/>
  <c r="AD18" i="10"/>
  <c r="AF18" i="10" s="1"/>
  <c r="AG18" i="10" s="1"/>
  <c r="AD57" i="10"/>
  <c r="AF57" i="10" s="1"/>
  <c r="AG57" i="10" s="1"/>
  <c r="AJ57" i="10" s="1"/>
  <c r="AS57" i="10" s="1"/>
  <c r="AD195" i="10"/>
  <c r="AF195" i="10" s="1"/>
  <c r="AH195" i="10" s="1"/>
  <c r="AI195" i="10" s="1"/>
  <c r="AD125" i="10"/>
  <c r="AF125" i="10" s="1"/>
  <c r="AH125" i="10" s="1"/>
  <c r="AI125" i="10" s="1"/>
  <c r="AD128" i="10"/>
  <c r="AF128" i="10" s="1"/>
  <c r="AG128" i="10" s="1"/>
  <c r="AD180" i="10"/>
  <c r="AF180" i="10" s="1"/>
  <c r="AH180" i="10" s="1"/>
  <c r="AI180" i="10" s="1"/>
  <c r="AD45" i="10"/>
  <c r="AF45" i="10" s="1"/>
  <c r="AH45" i="10" s="1"/>
  <c r="AI45" i="10" s="1"/>
  <c r="AD74" i="10"/>
  <c r="AF74" i="10" s="1"/>
  <c r="AG74" i="10" s="1"/>
  <c r="AD181" i="10"/>
  <c r="AF181" i="10" s="1"/>
  <c r="AH181" i="10" s="1"/>
  <c r="AI181" i="10" s="1"/>
  <c r="AT181" i="10" s="1"/>
  <c r="AD83" i="10"/>
  <c r="AF83" i="10" s="1"/>
  <c r="AH83" i="10" s="1"/>
  <c r="AI83" i="10" s="1"/>
  <c r="AT83" i="10" s="1"/>
  <c r="AD190" i="10"/>
  <c r="AF190" i="10" s="1"/>
  <c r="AG190" i="10" s="1"/>
  <c r="AJ190" i="10" s="1"/>
  <c r="AS190" i="10" s="1"/>
  <c r="AD193" i="10"/>
  <c r="AF193" i="10" s="1"/>
  <c r="AG193" i="10" s="1"/>
  <c r="AJ193" i="10" s="1"/>
  <c r="AS193" i="10" s="1"/>
  <c r="AD136" i="10"/>
  <c r="AF136" i="10" s="1"/>
  <c r="AG136" i="10" s="1"/>
  <c r="AD139" i="10"/>
  <c r="AF139" i="10" s="1"/>
  <c r="AG139" i="10" s="1"/>
  <c r="AD166" i="10"/>
  <c r="AF166" i="10" s="1"/>
  <c r="AG166" i="10" s="1"/>
  <c r="AD177" i="10"/>
  <c r="AF177" i="10" s="1"/>
  <c r="AH177" i="10" s="1"/>
  <c r="AI177" i="10" s="1"/>
  <c r="AD93" i="10"/>
  <c r="AF93" i="10" s="1"/>
  <c r="AH93" i="10" s="1"/>
  <c r="AI93" i="10" s="1"/>
  <c r="AT93" i="10" s="1"/>
  <c r="AD43" i="10"/>
  <c r="AF43" i="10" s="1"/>
  <c r="AH43" i="10" s="1"/>
  <c r="AI43" i="10" s="1"/>
  <c r="AT43" i="10" s="1"/>
  <c r="AD40" i="10"/>
  <c r="AF40" i="10" s="1"/>
  <c r="AH40" i="10" s="1"/>
  <c r="AI40" i="10" s="1"/>
  <c r="AD12" i="10"/>
  <c r="AF12" i="10" s="1"/>
  <c r="AG12" i="10" s="1"/>
  <c r="AD159" i="10"/>
  <c r="AF159" i="10" s="1"/>
  <c r="AH159" i="10" s="1"/>
  <c r="AI159" i="10" s="1"/>
  <c r="AT159" i="10" s="1"/>
  <c r="AD158" i="10"/>
  <c r="AF158" i="10" s="1"/>
  <c r="AH158" i="10" s="1"/>
  <c r="AI158" i="10" s="1"/>
  <c r="AT158" i="10" s="1"/>
  <c r="AD72" i="10"/>
  <c r="AF72" i="10" s="1"/>
  <c r="AG72" i="10" s="1"/>
  <c r="AD192" i="10"/>
  <c r="AF192" i="10" s="1"/>
  <c r="AG192" i="10" s="1"/>
  <c r="AD178" i="10"/>
  <c r="AF178" i="10" s="1"/>
  <c r="AH178" i="10" s="1"/>
  <c r="AI178" i="10" s="1"/>
  <c r="AT178" i="10" s="1"/>
  <c r="AD27" i="10"/>
  <c r="AF27" i="10" s="1"/>
  <c r="AH27" i="10" s="1"/>
  <c r="AI27" i="10" s="1"/>
  <c r="AD79" i="10"/>
  <c r="AF79" i="10" s="1"/>
  <c r="AG79" i="10" s="1"/>
  <c r="AJ79" i="10" s="1"/>
  <c r="AS79" i="10" s="1"/>
  <c r="AD86" i="10"/>
  <c r="AF86" i="10" s="1"/>
  <c r="AG86" i="10" s="1"/>
  <c r="AJ86" i="10" s="1"/>
  <c r="AS86" i="10" s="1"/>
  <c r="AD109" i="10"/>
  <c r="AF109" i="10" s="1"/>
  <c r="AH109" i="10" s="1"/>
  <c r="AI109" i="10" s="1"/>
  <c r="AT109" i="10" s="1"/>
  <c r="AD41" i="10"/>
  <c r="AF41" i="10" s="1"/>
  <c r="AG41" i="10" s="1"/>
  <c r="AD67" i="10"/>
  <c r="AF67" i="10" s="1"/>
  <c r="AH67" i="10" s="1"/>
  <c r="AI67" i="10" s="1"/>
  <c r="AT67" i="10" s="1"/>
  <c r="AD145" i="10"/>
  <c r="AF145" i="10" s="1"/>
  <c r="AG145" i="10" s="1"/>
  <c r="AJ145" i="10" s="1"/>
  <c r="AS145" i="10" s="1"/>
  <c r="AD24" i="10"/>
  <c r="AF24" i="10" s="1"/>
  <c r="AH24" i="10" s="1"/>
  <c r="AI24" i="10" s="1"/>
  <c r="AD61" i="10"/>
  <c r="AF61" i="10" s="1"/>
  <c r="AH61" i="10" s="1"/>
  <c r="AI61" i="10" s="1"/>
  <c r="AT61" i="10" s="1"/>
  <c r="AD106" i="10"/>
  <c r="AF106" i="10" s="1"/>
  <c r="AG106" i="10" s="1"/>
  <c r="AD92" i="10"/>
  <c r="AF92" i="10" s="1"/>
  <c r="AH92" i="10" s="1"/>
  <c r="AI92" i="10" s="1"/>
  <c r="AT92" i="10" s="1"/>
  <c r="AD5" i="10"/>
  <c r="AF5" i="10" s="1"/>
  <c r="AH5" i="10" s="1"/>
  <c r="AI5" i="10" s="1"/>
  <c r="AT5" i="10" s="1"/>
  <c r="AD156" i="10"/>
  <c r="AF156" i="10" s="1"/>
  <c r="AG156" i="10" s="1"/>
  <c r="AD7" i="10"/>
  <c r="AF7" i="10" s="1"/>
  <c r="AH7" i="10" s="1"/>
  <c r="AI7" i="10" s="1"/>
  <c r="AD62" i="10"/>
  <c r="AF62" i="10" s="1"/>
  <c r="AG62" i="10" s="1"/>
  <c r="AD188" i="10"/>
  <c r="AF188" i="10" s="1"/>
  <c r="AG188" i="10" s="1"/>
  <c r="AJ188" i="10" s="1"/>
  <c r="AS188" i="10" s="1"/>
  <c r="AD161" i="10"/>
  <c r="AF161" i="10" s="1"/>
  <c r="AG161" i="10" s="1"/>
  <c r="AD184" i="10"/>
  <c r="AF184" i="10" s="1"/>
  <c r="AG184" i="10" s="1"/>
  <c r="AJ184" i="10" s="1"/>
  <c r="AS184" i="10" s="1"/>
  <c r="AD135" i="10"/>
  <c r="AF135" i="10" s="1"/>
  <c r="AH135" i="10" s="1"/>
  <c r="AI135" i="10" s="1"/>
  <c r="AD28" i="10"/>
  <c r="AF28" i="10" s="1"/>
  <c r="AH28" i="10" s="1"/>
  <c r="AI28" i="10" s="1"/>
  <c r="AD101" i="10"/>
  <c r="AF101" i="10" s="1"/>
  <c r="AG101" i="10" s="1"/>
  <c r="AD123" i="10"/>
  <c r="AF123" i="10" s="1"/>
  <c r="AG123" i="10" s="1"/>
  <c r="AJ123" i="10" s="1"/>
  <c r="AS123" i="10" s="1"/>
  <c r="AD8" i="10"/>
  <c r="AF8" i="10" s="1"/>
  <c r="AH8" i="10" s="1"/>
  <c r="AI8" i="10" s="1"/>
  <c r="AD105" i="10"/>
  <c r="AF105" i="10" s="1"/>
  <c r="AH105" i="10" s="1"/>
  <c r="AI105" i="10" s="1"/>
  <c r="AD143" i="10"/>
  <c r="AF143" i="10" s="1"/>
  <c r="AH143" i="10" s="1"/>
  <c r="AI143" i="10" s="1"/>
  <c r="AT143" i="10" s="1"/>
  <c r="AD155" i="10"/>
  <c r="AF155" i="10" s="1"/>
  <c r="AG155" i="10" s="1"/>
  <c r="AJ155" i="10" s="1"/>
  <c r="AS155" i="10" s="1"/>
  <c r="AD81" i="10"/>
  <c r="AF81" i="10" s="1"/>
  <c r="AH81" i="10" s="1"/>
  <c r="AI81" i="10" s="1"/>
  <c r="AD54" i="10"/>
  <c r="AF54" i="10" s="1"/>
  <c r="AG54" i="10" s="1"/>
  <c r="AJ54" i="10" s="1"/>
  <c r="AS54" i="10" s="1"/>
  <c r="AD55" i="10"/>
  <c r="AF55" i="10" s="1"/>
  <c r="AG55" i="10" s="1"/>
  <c r="AD147" i="10"/>
  <c r="AF147" i="10" s="1"/>
  <c r="AG147" i="10" s="1"/>
  <c r="AD186" i="10"/>
  <c r="AF186" i="10" s="1"/>
  <c r="AG186" i="10" s="1"/>
  <c r="AD183" i="10"/>
  <c r="AF183" i="10" s="1"/>
  <c r="AG183" i="10" s="1"/>
  <c r="AD53" i="10"/>
  <c r="AF53" i="10" s="1"/>
  <c r="AG53" i="10" s="1"/>
  <c r="AD113" i="10"/>
  <c r="AF113" i="10" s="1"/>
  <c r="AG113" i="10" s="1"/>
  <c r="AD85" i="10"/>
  <c r="AF85" i="10" s="1"/>
  <c r="AG85" i="10" s="1"/>
  <c r="AJ85" i="10" s="1"/>
  <c r="AS85" i="10" s="1"/>
  <c r="AD134" i="10"/>
  <c r="AF134" i="10" s="1"/>
  <c r="AH134" i="10" s="1"/>
  <c r="AI134" i="10" s="1"/>
  <c r="AT134" i="10" s="1"/>
  <c r="AD176" i="10"/>
  <c r="AF176" i="10" s="1"/>
  <c r="AH176" i="10" s="1"/>
  <c r="AI176" i="10" s="1"/>
  <c r="AT176" i="10" s="1"/>
  <c r="AD87" i="10"/>
  <c r="AF87" i="10" s="1"/>
  <c r="AG87" i="10" s="1"/>
  <c r="AJ87" i="10" s="1"/>
  <c r="AS87" i="10" s="1"/>
  <c r="AD164" i="10"/>
  <c r="AF164" i="10" s="1"/>
  <c r="AH164" i="10" s="1"/>
  <c r="AI164" i="10" s="1"/>
  <c r="AT164" i="10" s="1"/>
  <c r="AD78" i="10"/>
  <c r="AF78" i="10" s="1"/>
  <c r="AG78" i="10" s="1"/>
  <c r="AD179" i="10"/>
  <c r="AF179" i="10" s="1"/>
  <c r="AH179" i="10" s="1"/>
  <c r="AI179" i="10" s="1"/>
  <c r="AD163" i="10"/>
  <c r="AF163" i="10" s="1"/>
  <c r="AH163" i="10" s="1"/>
  <c r="AI163" i="10" s="1"/>
  <c r="AD60" i="10"/>
  <c r="AF60" i="10" s="1"/>
  <c r="AG60" i="10" s="1"/>
  <c r="AD189" i="10"/>
  <c r="AF189" i="10" s="1"/>
  <c r="AG189" i="10" s="1"/>
  <c r="AD173" i="10"/>
  <c r="AF173" i="10" s="1"/>
  <c r="AH173" i="10" s="1"/>
  <c r="AI173" i="10" s="1"/>
  <c r="AD80" i="10"/>
  <c r="AF80" i="10" s="1"/>
  <c r="AG80" i="10" s="1"/>
  <c r="AD162" i="10"/>
  <c r="AF162" i="10" s="1"/>
  <c r="AG162" i="10" s="1"/>
  <c r="AD84" i="10"/>
  <c r="AF84" i="10" s="1"/>
  <c r="AG84" i="10" s="1"/>
  <c r="AJ84" i="10" s="1"/>
  <c r="AS84" i="10" s="1"/>
  <c r="AD49" i="10"/>
  <c r="AF49" i="10" s="1"/>
  <c r="AG49" i="10" s="1"/>
  <c r="AD32" i="10"/>
  <c r="AF32" i="10" s="1"/>
  <c r="AG32" i="10" s="1"/>
  <c r="AD37" i="10"/>
  <c r="AF37" i="10" s="1"/>
  <c r="AH37" i="10" s="1"/>
  <c r="AI37" i="10" s="1"/>
  <c r="AD9" i="10"/>
  <c r="AF9" i="10" s="1"/>
  <c r="AH9" i="10" s="1"/>
  <c r="AI9" i="10" s="1"/>
  <c r="AD110" i="10"/>
  <c r="AF110" i="10" s="1"/>
  <c r="AH110" i="10" s="1"/>
  <c r="AI110" i="10" s="1"/>
  <c r="AT110" i="10" s="1"/>
  <c r="AD150" i="10"/>
  <c r="AF150" i="10" s="1"/>
  <c r="AH150" i="10" s="1"/>
  <c r="AI150" i="10" s="1"/>
  <c r="AD199" i="10"/>
  <c r="AF199" i="10" s="1"/>
  <c r="AH199" i="10" s="1"/>
  <c r="AI199" i="10" s="1"/>
  <c r="AT199" i="10" s="1"/>
  <c r="AD91" i="10"/>
  <c r="AF91" i="10" s="1"/>
  <c r="AG91" i="10" s="1"/>
  <c r="AD22" i="10"/>
  <c r="AF22" i="10" s="1"/>
  <c r="AG22" i="10" s="1"/>
  <c r="AD10" i="10"/>
  <c r="AF10" i="10" s="1"/>
  <c r="AG10" i="10" s="1"/>
  <c r="AD138" i="10"/>
  <c r="AF138" i="10" s="1"/>
  <c r="AG138" i="10" s="1"/>
  <c r="AD154" i="10"/>
  <c r="AF154" i="10" s="1"/>
  <c r="AH154" i="10" s="1"/>
  <c r="AI154" i="10" s="1"/>
  <c r="AD115" i="10"/>
  <c r="AF115" i="10" s="1"/>
  <c r="AG115" i="10" s="1"/>
  <c r="AJ115" i="10" s="1"/>
  <c r="AS115" i="10" s="1"/>
  <c r="AD140" i="10"/>
  <c r="AF140" i="10" s="1"/>
  <c r="AG140" i="10" s="1"/>
  <c r="AD82" i="10"/>
  <c r="AF82" i="10" s="1"/>
  <c r="AH82" i="10" s="1"/>
  <c r="AI82" i="10" s="1"/>
  <c r="AD132" i="10"/>
  <c r="AF132" i="10" s="1"/>
  <c r="AG132" i="10" s="1"/>
  <c r="AD160" i="10"/>
  <c r="AF160" i="10" s="1"/>
  <c r="AH160" i="10" s="1"/>
  <c r="AI160" i="10" s="1"/>
  <c r="AD88" i="10"/>
  <c r="AF88" i="10" s="1"/>
  <c r="AH88" i="10" s="1"/>
  <c r="AI88" i="10" s="1"/>
  <c r="AD118" i="10"/>
  <c r="AF118" i="10" s="1"/>
  <c r="AH118" i="10" s="1"/>
  <c r="AI118" i="10" s="1"/>
  <c r="AD51" i="10"/>
  <c r="AF51" i="10" s="1"/>
  <c r="AH51" i="10" s="1"/>
  <c r="AI51" i="10" s="1"/>
  <c r="AT51" i="10" s="1"/>
  <c r="AD38" i="10"/>
  <c r="AF38" i="10" s="1"/>
  <c r="AG38" i="10" s="1"/>
  <c r="AD35" i="10"/>
  <c r="AF35" i="10" s="1"/>
  <c r="AH35" i="10" s="1"/>
  <c r="AI35" i="10" s="1"/>
  <c r="AD117" i="10"/>
  <c r="AF117" i="10" s="1"/>
  <c r="AH117" i="10" s="1"/>
  <c r="AI117" i="10" s="1"/>
  <c r="AD153" i="10"/>
  <c r="AF153" i="10" s="1"/>
  <c r="AH153" i="10" s="1"/>
  <c r="AI153" i="10" s="1"/>
  <c r="AD65" i="10"/>
  <c r="AF65" i="10" s="1"/>
  <c r="AG65" i="10" s="1"/>
  <c r="AJ65" i="10" s="1"/>
  <c r="AS65" i="10" s="1"/>
  <c r="AD64" i="10"/>
  <c r="AF64" i="10" s="1"/>
  <c r="AH64" i="10" s="1"/>
  <c r="AI64" i="10" s="1"/>
  <c r="AT64" i="10" s="1"/>
  <c r="AD66" i="10"/>
  <c r="AF66" i="10" s="1"/>
  <c r="AH66" i="10" s="1"/>
  <c r="AI66" i="10" s="1"/>
  <c r="AD15" i="10"/>
  <c r="AF15" i="10" s="1"/>
  <c r="AH15" i="10" s="1"/>
  <c r="AI15" i="10" s="1"/>
  <c r="AT15" i="10" s="1"/>
  <c r="AD25" i="10"/>
  <c r="AF25" i="10" s="1"/>
  <c r="AH25" i="10" s="1"/>
  <c r="AI25" i="10" s="1"/>
  <c r="AD165" i="10"/>
  <c r="AF165" i="10" s="1"/>
  <c r="AH165" i="10" s="1"/>
  <c r="AI165" i="10" s="1"/>
  <c r="AD59" i="10"/>
  <c r="AF59" i="10" s="1"/>
  <c r="AG59" i="10" s="1"/>
  <c r="AJ59" i="10" s="1"/>
  <c r="AS59" i="10" s="1"/>
  <c r="AD23" i="10"/>
  <c r="AF23" i="10" s="1"/>
  <c r="AG23" i="10" s="1"/>
  <c r="AD99" i="10"/>
  <c r="AF99" i="10" s="1"/>
  <c r="AG99" i="10" s="1"/>
  <c r="AJ99" i="10" s="1"/>
  <c r="AS99" i="10" s="1"/>
  <c r="AD97" i="10"/>
  <c r="AF97" i="10" s="1"/>
  <c r="AG97" i="10" s="1"/>
  <c r="AD36" i="10"/>
  <c r="AF36" i="10" s="1"/>
  <c r="AG36" i="10" s="1"/>
  <c r="AD137" i="10"/>
  <c r="AF137" i="10" s="1"/>
  <c r="AH137" i="10" s="1"/>
  <c r="AI137" i="10" s="1"/>
  <c r="AD6" i="10"/>
  <c r="AF6" i="10" s="1"/>
  <c r="AG6" i="10" s="1"/>
  <c r="AD89" i="10"/>
  <c r="AF89" i="10" s="1"/>
  <c r="AH89" i="10" s="1"/>
  <c r="AI89" i="10" s="1"/>
  <c r="AD48" i="10"/>
  <c r="AF48" i="10" s="1"/>
  <c r="AH48" i="10" s="1"/>
  <c r="AI48" i="10" s="1"/>
  <c r="AD39" i="10"/>
  <c r="AF39" i="10" s="1"/>
  <c r="AG39" i="10" s="1"/>
  <c r="AD120" i="10"/>
  <c r="AF120" i="10" s="1"/>
  <c r="AQ151" i="10"/>
  <c r="AQ196" i="10"/>
  <c r="AQ200" i="10"/>
  <c r="AQ87" i="10"/>
  <c r="AQ90" i="10"/>
  <c r="AQ115" i="10"/>
  <c r="AQ7" i="10"/>
  <c r="AQ55" i="10"/>
  <c r="AQ44" i="10"/>
  <c r="AQ32" i="10"/>
  <c r="AQ50" i="10"/>
  <c r="AQ36" i="10"/>
  <c r="AQ17" i="10"/>
  <c r="AQ29" i="10"/>
  <c r="AQ30" i="10"/>
  <c r="AQ16" i="10"/>
  <c r="AQ126" i="10"/>
  <c r="AQ133" i="10"/>
  <c r="AQ60" i="10"/>
  <c r="AQ161" i="10"/>
  <c r="AQ187" i="10"/>
  <c r="AQ135" i="10"/>
  <c r="AQ153" i="10"/>
  <c r="AQ165" i="10"/>
  <c r="AQ171" i="10"/>
  <c r="AQ138" i="10"/>
  <c r="AQ174" i="10"/>
  <c r="AQ167" i="10"/>
  <c r="AQ139" i="10"/>
  <c r="AQ141" i="10"/>
  <c r="AQ68" i="10"/>
  <c r="AQ94" i="10"/>
  <c r="AQ113" i="10"/>
  <c r="AQ98" i="10"/>
  <c r="AQ23" i="10"/>
  <c r="AQ119" i="10"/>
  <c r="AQ63" i="10"/>
  <c r="AQ89" i="10"/>
  <c r="AQ24" i="10"/>
  <c r="AQ53" i="10"/>
  <c r="AQ46" i="10"/>
  <c r="AQ21" i="10"/>
  <c r="AQ22" i="10"/>
  <c r="AQ27" i="10"/>
  <c r="AQ33" i="10"/>
  <c r="AQ45" i="10"/>
  <c r="AQ34" i="10"/>
  <c r="AQ52" i="10"/>
  <c r="AQ49" i="10"/>
  <c r="AQ91" i="10"/>
  <c r="AQ170" i="10"/>
  <c r="AQ122" i="10"/>
  <c r="AQ173" i="10"/>
  <c r="AQ144" i="10"/>
  <c r="AQ194" i="10"/>
  <c r="AQ147" i="10"/>
  <c r="AQ180" i="10"/>
  <c r="AQ149" i="10"/>
  <c r="AQ95" i="10"/>
  <c r="AQ154" i="10"/>
  <c r="AQ140" i="10"/>
  <c r="AQ130" i="10"/>
  <c r="AQ81" i="10"/>
  <c r="AQ118" i="10"/>
  <c r="AQ179" i="10"/>
  <c r="AQ70" i="10"/>
  <c r="AQ28" i="10"/>
  <c r="AQ8" i="10"/>
  <c r="AQ6" i="10"/>
  <c r="AQ38" i="10"/>
  <c r="AQ39" i="10"/>
  <c r="AQ3" i="10"/>
  <c r="AQ18" i="10"/>
  <c r="AQ13" i="10"/>
  <c r="AQ25" i="10"/>
  <c r="AQ48" i="10"/>
  <c r="AQ19" i="10"/>
  <c r="AQ58" i="10"/>
  <c r="AQ163" i="10"/>
  <c r="AQ104" i="10"/>
  <c r="AQ80" i="10"/>
  <c r="AQ184" i="10"/>
  <c r="AQ117" i="10"/>
  <c r="AQ125" i="10"/>
  <c r="AQ168" i="10"/>
  <c r="AQ69" i="10"/>
  <c r="AQ201" i="10"/>
  <c r="AQ76" i="10"/>
  <c r="AQ136" i="10"/>
  <c r="AQ166" i="10"/>
  <c r="AQ177" i="10"/>
  <c r="AQ78" i="10"/>
  <c r="AQ66" i="10"/>
  <c r="AQ72" i="10"/>
  <c r="AQ131" i="10"/>
  <c r="AQ47" i="10"/>
  <c r="AQ31" i="10"/>
  <c r="AQ41" i="10"/>
  <c r="AQ42" i="10"/>
  <c r="AQ10" i="10"/>
  <c r="AQ26" i="10"/>
  <c r="AQ37" i="10"/>
  <c r="AQ40" i="10"/>
  <c r="AQ35" i="10"/>
  <c r="AQ12" i="10"/>
  <c r="AQ56" i="10"/>
  <c r="AQ14" i="10"/>
  <c r="AQ97" i="10"/>
  <c r="AQ62" i="10"/>
  <c r="AQ124" i="10"/>
  <c r="AQ157" i="10"/>
  <c r="AQ77" i="10"/>
  <c r="AQ137" i="10"/>
  <c r="AQ195" i="10"/>
  <c r="AQ106" i="10"/>
  <c r="AQ183" i="10"/>
  <c r="AQ105" i="10"/>
  <c r="AQ82" i="10"/>
  <c r="AQ160" i="10"/>
  <c r="AQ88" i="10"/>
  <c r="AQ9" i="10"/>
  <c r="AQ103" i="10"/>
  <c r="AQ150" i="10"/>
  <c r="AQ11" i="10"/>
  <c r="AQ2" i="10"/>
  <c r="AG63" i="10" l="1"/>
  <c r="AJ63" i="10" s="1"/>
  <c r="AS63" i="10" s="1"/>
  <c r="AG165" i="10"/>
  <c r="AJ165" i="10" s="1"/>
  <c r="AS165" i="10" s="1"/>
  <c r="AH6" i="10"/>
  <c r="AI6" i="10" s="1"/>
  <c r="AT6" i="10" s="1"/>
  <c r="AG19" i="10"/>
  <c r="AJ19" i="10" s="1"/>
  <c r="AS19" i="10" s="1"/>
  <c r="AG120" i="10"/>
  <c r="AJ120" i="10" s="1"/>
  <c r="AS120" i="10" s="1"/>
  <c r="AH120" i="10"/>
  <c r="AI120" i="10" s="1"/>
  <c r="AT120" i="10" s="1"/>
  <c r="AG20" i="10"/>
  <c r="AJ20" i="10" s="1"/>
  <c r="AS20" i="10" s="1"/>
  <c r="AG26" i="10"/>
  <c r="AJ26" i="10" s="1"/>
  <c r="AS26" i="10" s="1"/>
  <c r="AH97" i="10"/>
  <c r="AI97" i="10" s="1"/>
  <c r="AT97" i="10" s="1"/>
  <c r="AH34" i="10"/>
  <c r="AI34" i="10" s="1"/>
  <c r="AT34" i="10" s="1"/>
  <c r="AG137" i="10"/>
  <c r="AJ137" i="10" s="1"/>
  <c r="AS137" i="10" s="1"/>
  <c r="AH197" i="10"/>
  <c r="AI197" i="10" s="1"/>
  <c r="AT197" i="10" s="1"/>
  <c r="AG98" i="10"/>
  <c r="AJ98" i="10" s="1"/>
  <c r="AS98" i="10" s="1"/>
  <c r="AH59" i="10"/>
  <c r="AI59" i="10" s="1"/>
  <c r="AT59" i="10" s="1"/>
  <c r="AG175" i="10"/>
  <c r="AJ175" i="10" s="1"/>
  <c r="AS175" i="10" s="1"/>
  <c r="AH36" i="10"/>
  <c r="AI36" i="10" s="1"/>
  <c r="AT36" i="10" s="1"/>
  <c r="AG92" i="10"/>
  <c r="AJ92" i="10" s="1"/>
  <c r="AS92" i="10" s="1"/>
  <c r="AG201" i="10"/>
  <c r="AJ201" i="10" s="1"/>
  <c r="AS201" i="10" s="1"/>
  <c r="AH157" i="10"/>
  <c r="AI157" i="10" s="1"/>
  <c r="AT157" i="10" s="1"/>
  <c r="AH130" i="10"/>
  <c r="AI130" i="10" s="1"/>
  <c r="AT130" i="10" s="1"/>
  <c r="AG37" i="10"/>
  <c r="AJ37" i="10" s="1"/>
  <c r="AS37" i="10" s="1"/>
  <c r="AG163" i="10"/>
  <c r="AJ163" i="10" s="1"/>
  <c r="AS163" i="10" s="1"/>
  <c r="AT150" i="10"/>
  <c r="AT69" i="10"/>
  <c r="AH113" i="10"/>
  <c r="AI113" i="10" s="1"/>
  <c r="AT113" i="10" s="1"/>
  <c r="AH138" i="10"/>
  <c r="AI138" i="10" s="1"/>
  <c r="AT138" i="10" s="1"/>
  <c r="AH127" i="10"/>
  <c r="AI127" i="10" s="1"/>
  <c r="AT127" i="10" s="1"/>
  <c r="AG61" i="10"/>
  <c r="AJ61" i="10" s="1"/>
  <c r="AS61" i="10" s="1"/>
  <c r="AH104" i="10"/>
  <c r="AI104" i="10" s="1"/>
  <c r="AH65" i="10"/>
  <c r="AI65" i="10" s="1"/>
  <c r="AT65" i="10" s="1"/>
  <c r="AH166" i="10"/>
  <c r="AI166" i="10" s="1"/>
  <c r="AT166" i="10" s="1"/>
  <c r="AG83" i="10"/>
  <c r="AJ83" i="10" s="1"/>
  <c r="AS83" i="10" s="1"/>
  <c r="AG9" i="10"/>
  <c r="AJ9" i="10" s="1"/>
  <c r="AS9" i="10" s="1"/>
  <c r="AG48" i="10"/>
  <c r="AJ48" i="10" s="1"/>
  <c r="AS48" i="10" s="1"/>
  <c r="AH146" i="10"/>
  <c r="AI146" i="10" s="1"/>
  <c r="AT146" i="10" s="1"/>
  <c r="AG133" i="10"/>
  <c r="AJ133" i="10" s="1"/>
  <c r="AS133" i="10" s="1"/>
  <c r="AG24" i="10"/>
  <c r="AJ24" i="10" s="1"/>
  <c r="AS24" i="10" s="1"/>
  <c r="AG134" i="10"/>
  <c r="AJ134" i="10" s="1"/>
  <c r="AS134" i="10" s="1"/>
  <c r="AH84" i="10"/>
  <c r="AI84" i="10" s="1"/>
  <c r="AT84" i="10" s="1"/>
  <c r="AG110" i="10"/>
  <c r="AJ110" i="10" s="1"/>
  <c r="AS110" i="10" s="1"/>
  <c r="AH38" i="10"/>
  <c r="AI38" i="10" s="1"/>
  <c r="AT38" i="10" s="1"/>
  <c r="AH18" i="10"/>
  <c r="AI18" i="10" s="1"/>
  <c r="AT18" i="10" s="1"/>
  <c r="AG67" i="10"/>
  <c r="AJ67" i="10" s="1"/>
  <c r="AS67" i="10" s="1"/>
  <c r="AG170" i="10"/>
  <c r="AJ170" i="10" s="1"/>
  <c r="AS170" i="10" s="1"/>
  <c r="AG117" i="10"/>
  <c r="AJ117" i="10" s="1"/>
  <c r="AS117" i="10" s="1"/>
  <c r="AH156" i="10"/>
  <c r="AI156" i="10" s="1"/>
  <c r="AT156" i="10" s="1"/>
  <c r="AG114" i="10"/>
  <c r="AJ114" i="10" s="1"/>
  <c r="AS114" i="10" s="1"/>
  <c r="AH12" i="10"/>
  <c r="AI12" i="10" s="1"/>
  <c r="AT12" i="10" s="1"/>
  <c r="AT104" i="10"/>
  <c r="AH29" i="10"/>
  <c r="AI29" i="10" s="1"/>
  <c r="AT29" i="10" s="1"/>
  <c r="AH85" i="10"/>
  <c r="AI85" i="10" s="1"/>
  <c r="AT85" i="10" s="1"/>
  <c r="AH90" i="10"/>
  <c r="AI90" i="10" s="1"/>
  <c r="AT90" i="10" s="1"/>
  <c r="AG81" i="10"/>
  <c r="AJ81" i="10" s="1"/>
  <c r="AS81" i="10" s="1"/>
  <c r="AH106" i="10"/>
  <c r="AI106" i="10" s="1"/>
  <c r="AT106" i="10" s="1"/>
  <c r="AG7" i="10"/>
  <c r="AJ7" i="10" s="1"/>
  <c r="AS7" i="10" s="1"/>
  <c r="AH144" i="10"/>
  <c r="AI144" i="10" s="1"/>
  <c r="AT144" i="10" s="1"/>
  <c r="AG5" i="10"/>
  <c r="AJ5" i="10" s="1"/>
  <c r="AS5" i="10" s="1"/>
  <c r="AG109" i="10"/>
  <c r="AJ109" i="10" s="1"/>
  <c r="AS109" i="10" s="1"/>
  <c r="AH22" i="10"/>
  <c r="AI22" i="10" s="1"/>
  <c r="AT22" i="10" s="1"/>
  <c r="AH108" i="10"/>
  <c r="AI108" i="10" s="1"/>
  <c r="AT108" i="10" s="1"/>
  <c r="AG66" i="10"/>
  <c r="AJ66" i="10" s="1"/>
  <c r="AS66" i="10" s="1"/>
  <c r="AH39" i="10"/>
  <c r="AI39" i="10" s="1"/>
  <c r="AT39" i="10" s="1"/>
  <c r="AH53" i="10"/>
  <c r="AI53" i="10" s="1"/>
  <c r="AT53" i="10" s="1"/>
  <c r="AG89" i="10"/>
  <c r="AJ89" i="10" s="1"/>
  <c r="AS89" i="10" s="1"/>
  <c r="AH115" i="10"/>
  <c r="AI115" i="10" s="1"/>
  <c r="AT115" i="10" s="1"/>
  <c r="AG143" i="10"/>
  <c r="AJ143" i="10" s="1"/>
  <c r="AS143" i="10" s="1"/>
  <c r="AH74" i="10"/>
  <c r="AI74" i="10" s="1"/>
  <c r="AT74" i="10" s="1"/>
  <c r="AG202" i="10"/>
  <c r="AJ202" i="10" s="1"/>
  <c r="AS202" i="10" s="1"/>
  <c r="AG125" i="10"/>
  <c r="AJ125" i="10" s="1"/>
  <c r="AS125" i="10" s="1"/>
  <c r="AH23" i="10"/>
  <c r="AI23" i="10" s="1"/>
  <c r="AT23" i="10" s="1"/>
  <c r="AH49" i="10"/>
  <c r="AI49" i="10" s="1"/>
  <c r="AT49" i="10" s="1"/>
  <c r="AH183" i="10"/>
  <c r="AI183" i="10" s="1"/>
  <c r="AT183" i="10" s="1"/>
  <c r="AH189" i="10"/>
  <c r="AI189" i="10" s="1"/>
  <c r="AT189" i="10" s="1"/>
  <c r="AG199" i="10"/>
  <c r="AJ199" i="10" s="1"/>
  <c r="AS199" i="10" s="1"/>
  <c r="AG164" i="10"/>
  <c r="AJ164" i="10" s="1"/>
  <c r="AS164" i="10" s="1"/>
  <c r="AG135" i="10"/>
  <c r="AJ135" i="10" s="1"/>
  <c r="AS135" i="10" s="1"/>
  <c r="AH124" i="10"/>
  <c r="AI124" i="10" s="1"/>
  <c r="AT124" i="10" s="1"/>
  <c r="AG76" i="10"/>
  <c r="AJ76" i="10" s="1"/>
  <c r="AS76" i="10" s="1"/>
  <c r="AH123" i="10"/>
  <c r="AI123" i="10" s="1"/>
  <c r="AT123" i="10" s="1"/>
  <c r="AH79" i="10"/>
  <c r="AI79" i="10" s="1"/>
  <c r="AT79" i="10" s="1"/>
  <c r="AG196" i="10"/>
  <c r="AJ196" i="10" s="1"/>
  <c r="AS196" i="10" s="1"/>
  <c r="AG160" i="10"/>
  <c r="AJ160" i="10" s="1"/>
  <c r="AS160" i="10" s="1"/>
  <c r="AH77" i="10"/>
  <c r="AI77" i="10" s="1"/>
  <c r="AT77" i="10" s="1"/>
  <c r="AH58" i="10"/>
  <c r="AI58" i="10" s="1"/>
  <c r="AT58" i="10" s="1"/>
  <c r="AG14" i="10"/>
  <c r="AJ14" i="10" s="1"/>
  <c r="AS14" i="10" s="1"/>
  <c r="AG68" i="10"/>
  <c r="AJ68" i="10" s="1"/>
  <c r="AS68" i="10" s="1"/>
  <c r="AH44" i="10"/>
  <c r="AI44" i="10" s="1"/>
  <c r="AT44" i="10" s="1"/>
  <c r="AH200" i="10"/>
  <c r="AI200" i="10" s="1"/>
  <c r="AT200" i="10" s="1"/>
  <c r="AG52" i="10"/>
  <c r="AJ52" i="10" s="1"/>
  <c r="AS52" i="10" s="1"/>
  <c r="AG122" i="10"/>
  <c r="AJ122" i="10" s="1"/>
  <c r="AS122" i="10" s="1"/>
  <c r="AG45" i="10"/>
  <c r="AJ45" i="10" s="1"/>
  <c r="AS45" i="10" s="1"/>
  <c r="AH30" i="10"/>
  <c r="AI30" i="10" s="1"/>
  <c r="AT30" i="10" s="1"/>
  <c r="AG154" i="10"/>
  <c r="AJ154" i="10" s="1"/>
  <c r="AS154" i="10" s="1"/>
  <c r="AH33" i="10"/>
  <c r="AI33" i="10" s="1"/>
  <c r="AT33" i="10" s="1"/>
  <c r="AH102" i="10"/>
  <c r="AI102" i="10" s="1"/>
  <c r="AT102" i="10" s="1"/>
  <c r="AH50" i="10"/>
  <c r="AI50" i="10" s="1"/>
  <c r="AT50" i="10" s="1"/>
  <c r="AH161" i="10"/>
  <c r="AI161" i="10" s="1"/>
  <c r="AT161" i="10" s="1"/>
  <c r="AH194" i="10"/>
  <c r="AI194" i="10" s="1"/>
  <c r="AT194" i="10" s="1"/>
  <c r="AH192" i="10"/>
  <c r="AI192" i="10" s="1"/>
  <c r="AT192" i="10" s="1"/>
  <c r="AH190" i="10"/>
  <c r="AI190" i="10" s="1"/>
  <c r="AT190" i="10" s="1"/>
  <c r="AG169" i="10"/>
  <c r="AJ169" i="10" s="1"/>
  <c r="AS169" i="10" s="1"/>
  <c r="AH193" i="10"/>
  <c r="AI193" i="10" s="1"/>
  <c r="AT193" i="10" s="1"/>
  <c r="AG64" i="10"/>
  <c r="AJ64" i="10" s="1"/>
  <c r="AS64" i="10" s="1"/>
  <c r="AH72" i="10"/>
  <c r="AI72" i="10" s="1"/>
  <c r="AT72" i="10" s="1"/>
  <c r="AH91" i="10"/>
  <c r="AI91" i="10" s="1"/>
  <c r="AT91" i="10" s="1"/>
  <c r="AH80" i="10"/>
  <c r="AI80" i="10" s="1"/>
  <c r="AT80" i="10" s="1"/>
  <c r="AH119" i="10"/>
  <c r="AI119" i="10" s="1"/>
  <c r="AT119" i="10" s="1"/>
  <c r="AG174" i="10"/>
  <c r="AJ174" i="10" s="1"/>
  <c r="AS174" i="10" s="1"/>
  <c r="AH132" i="10"/>
  <c r="AI132" i="10" s="1"/>
  <c r="AT132" i="10" s="1"/>
  <c r="AG131" i="10"/>
  <c r="AJ131" i="10" s="1"/>
  <c r="AS131" i="10" s="1"/>
  <c r="AH86" i="10"/>
  <c r="AI86" i="10" s="1"/>
  <c r="AT86" i="10" s="1"/>
  <c r="AH2" i="10"/>
  <c r="AI2" i="10" s="1"/>
  <c r="AT2" i="10" s="1"/>
  <c r="AG100" i="10"/>
  <c r="AJ100" i="10" s="1"/>
  <c r="AS100" i="10" s="1"/>
  <c r="AH13" i="10"/>
  <c r="AI13" i="10" s="1"/>
  <c r="AT13" i="10" s="1"/>
  <c r="AH152" i="10"/>
  <c r="AI152" i="10" s="1"/>
  <c r="AT152" i="10" s="1"/>
  <c r="AH116" i="10"/>
  <c r="AI116" i="10" s="1"/>
  <c r="AT116" i="10" s="1"/>
  <c r="AG177" i="10"/>
  <c r="AJ177" i="10" s="1"/>
  <c r="AS177" i="10" s="1"/>
  <c r="AG107" i="10"/>
  <c r="AJ107" i="10" s="1"/>
  <c r="AS107" i="10" s="1"/>
  <c r="AG149" i="10"/>
  <c r="AJ149" i="10" s="1"/>
  <c r="AS149" i="10" s="1"/>
  <c r="AG94" i="10"/>
  <c r="AJ94" i="10" s="1"/>
  <c r="AS94" i="10" s="1"/>
  <c r="AH126" i="10"/>
  <c r="AI126" i="10" s="1"/>
  <c r="AT126" i="10" s="1"/>
  <c r="AG51" i="10"/>
  <c r="AJ51" i="10" s="1"/>
  <c r="AS51" i="10" s="1"/>
  <c r="AG185" i="10"/>
  <c r="AJ185" i="10" s="1"/>
  <c r="AS185" i="10" s="1"/>
  <c r="AG46" i="10"/>
  <c r="AJ46" i="10" s="1"/>
  <c r="AS46" i="10" s="1"/>
  <c r="AG142" i="10"/>
  <c r="AJ142" i="10" s="1"/>
  <c r="AS142" i="10" s="1"/>
  <c r="AH171" i="10"/>
  <c r="AI171" i="10" s="1"/>
  <c r="AT171" i="10" s="1"/>
  <c r="AH60" i="10"/>
  <c r="AI60" i="10" s="1"/>
  <c r="AT60" i="10" s="1"/>
  <c r="AG195" i="10"/>
  <c r="AJ195" i="10" s="1"/>
  <c r="AS195" i="10" s="1"/>
  <c r="AG129" i="10"/>
  <c r="AJ129" i="10" s="1"/>
  <c r="AS129" i="10" s="1"/>
  <c r="AG15" i="10"/>
  <c r="AJ15" i="10" s="1"/>
  <c r="AS15" i="10" s="1"/>
  <c r="AG35" i="10"/>
  <c r="AJ35" i="10" s="1"/>
  <c r="AS35" i="10" s="1"/>
  <c r="AH32" i="10"/>
  <c r="AI32" i="10" s="1"/>
  <c r="AT32" i="10" s="1"/>
  <c r="AG181" i="10"/>
  <c r="AJ181" i="10" s="1"/>
  <c r="AS181" i="10" s="1"/>
  <c r="AH167" i="10"/>
  <c r="AI167" i="10" s="1"/>
  <c r="AT167" i="10" s="1"/>
  <c r="AH172" i="10"/>
  <c r="AI172" i="10" s="1"/>
  <c r="AT172" i="10" s="1"/>
  <c r="AH191" i="10"/>
  <c r="AI191" i="10" s="1"/>
  <c r="AT191" i="10" s="1"/>
  <c r="AH148" i="10"/>
  <c r="AI148" i="10" s="1"/>
  <c r="AT148" i="10" s="1"/>
  <c r="AH56" i="10"/>
  <c r="AI56" i="10" s="1"/>
  <c r="AT56" i="10" s="1"/>
  <c r="AG176" i="10"/>
  <c r="AJ176" i="10" s="1"/>
  <c r="AS176" i="10" s="1"/>
  <c r="AH31" i="10"/>
  <c r="AI31" i="10" s="1"/>
  <c r="AT31" i="10" s="1"/>
  <c r="AG178" i="10"/>
  <c r="AJ178" i="10" s="1"/>
  <c r="AS178" i="10" s="1"/>
  <c r="AH147" i="10"/>
  <c r="AI147" i="10" s="1"/>
  <c r="AT147" i="10" s="1"/>
  <c r="AG121" i="10"/>
  <c r="AJ121" i="10" s="1"/>
  <c r="AS121" i="10" s="1"/>
  <c r="AG28" i="10"/>
  <c r="AJ28" i="10" s="1"/>
  <c r="AS28" i="10" s="1"/>
  <c r="AH41" i="10"/>
  <c r="AI41" i="10" s="1"/>
  <c r="AT41" i="10" s="1"/>
  <c r="AH10" i="10"/>
  <c r="AI10" i="10" s="1"/>
  <c r="AT10" i="10" s="1"/>
  <c r="AH16" i="10"/>
  <c r="AI16" i="10" s="1"/>
  <c r="AT16" i="10" s="1"/>
  <c r="AH186" i="10"/>
  <c r="AI186" i="10" s="1"/>
  <c r="AT186" i="10" s="1"/>
  <c r="AH112" i="10"/>
  <c r="AI112" i="10" s="1"/>
  <c r="AT112" i="10" s="1"/>
  <c r="AH128" i="10"/>
  <c r="AI128" i="10" s="1"/>
  <c r="AT128" i="10" s="1"/>
  <c r="AH78" i="10"/>
  <c r="AI78" i="10" s="1"/>
  <c r="AT78" i="10" s="1"/>
  <c r="AH162" i="10"/>
  <c r="AI162" i="10" s="1"/>
  <c r="AT162" i="10" s="1"/>
  <c r="AT11" i="10"/>
  <c r="AG88" i="10"/>
  <c r="AJ88" i="10" s="1"/>
  <c r="AS88" i="10" s="1"/>
  <c r="AG70" i="10"/>
  <c r="AJ70" i="10" s="1"/>
  <c r="AS70" i="10" s="1"/>
  <c r="AH140" i="10"/>
  <c r="AI140" i="10" s="1"/>
  <c r="AT140" i="10" s="1"/>
  <c r="AH95" i="10"/>
  <c r="AI95" i="10" s="1"/>
  <c r="AT95" i="10" s="1"/>
  <c r="AH21" i="10"/>
  <c r="AI21" i="10" s="1"/>
  <c r="AT21" i="10" s="1"/>
  <c r="AH101" i="10"/>
  <c r="AI101" i="10" s="1"/>
  <c r="AT101" i="10" s="1"/>
  <c r="AG198" i="10"/>
  <c r="AJ198" i="10" s="1"/>
  <c r="AS198" i="10" s="1"/>
  <c r="AH75" i="10"/>
  <c r="AI75" i="10" s="1"/>
  <c r="AT75" i="10" s="1"/>
  <c r="AG73" i="10"/>
  <c r="AJ73" i="10" s="1"/>
  <c r="AS73" i="10" s="1"/>
  <c r="AG159" i="10"/>
  <c r="AJ159" i="10" s="1"/>
  <c r="AS159" i="10" s="1"/>
  <c r="AH188" i="10"/>
  <c r="AI188" i="10" s="1"/>
  <c r="AT188" i="10" s="1"/>
  <c r="AH155" i="10"/>
  <c r="AI155" i="10" s="1"/>
  <c r="AT155" i="10" s="1"/>
  <c r="AH87" i="10"/>
  <c r="AI87" i="10" s="1"/>
  <c r="AT87" i="10" s="1"/>
  <c r="AH55" i="10"/>
  <c r="AI55" i="10" s="1"/>
  <c r="AT55" i="10" s="1"/>
  <c r="AG11" i="10"/>
  <c r="AJ11" i="10" s="1"/>
  <c r="AS11" i="10" s="1"/>
  <c r="AH136" i="10"/>
  <c r="AI136" i="10" s="1"/>
  <c r="AT136" i="10" s="1"/>
  <c r="AG168" i="10"/>
  <c r="AJ168" i="10" s="1"/>
  <c r="AS168" i="10" s="1"/>
  <c r="AG25" i="10"/>
  <c r="AJ25" i="10" s="1"/>
  <c r="AS25" i="10" s="1"/>
  <c r="AG93" i="10"/>
  <c r="AJ93" i="10" s="1"/>
  <c r="AS93" i="10" s="1"/>
  <c r="AG8" i="10"/>
  <c r="AJ8" i="10" s="1"/>
  <c r="AS8" i="10" s="1"/>
  <c r="AG3" i="10"/>
  <c r="AJ3" i="10" s="1"/>
  <c r="AS3" i="10" s="1"/>
  <c r="AG173" i="10"/>
  <c r="AJ173" i="10" s="1"/>
  <c r="AS173" i="10" s="1"/>
  <c r="AG150" i="10"/>
  <c r="AJ150" i="10" s="1"/>
  <c r="AS150" i="10" s="1"/>
  <c r="AT88" i="10"/>
  <c r="AT82" i="10"/>
  <c r="AG47" i="10"/>
  <c r="AJ47" i="10" s="1"/>
  <c r="AS47" i="10" s="1"/>
  <c r="AG69" i="10"/>
  <c r="AJ69" i="10" s="1"/>
  <c r="AS69" i="10" s="1"/>
  <c r="AH184" i="10"/>
  <c r="AI184" i="10" s="1"/>
  <c r="AT184" i="10" s="1"/>
  <c r="AH96" i="10"/>
  <c r="AI96" i="10" s="1"/>
  <c r="AT96" i="10" s="1"/>
  <c r="AG27" i="10"/>
  <c r="AJ27" i="10" s="1"/>
  <c r="AS27" i="10" s="1"/>
  <c r="AG158" i="10"/>
  <c r="AJ158" i="10" s="1"/>
  <c r="AS158" i="10" s="1"/>
  <c r="AH62" i="10"/>
  <c r="AI62" i="10" s="1"/>
  <c r="AT62" i="10" s="1"/>
  <c r="AG118" i="10"/>
  <c r="AJ118" i="10" s="1"/>
  <c r="AS118" i="10" s="1"/>
  <c r="AH139" i="10"/>
  <c r="AI139" i="10" s="1"/>
  <c r="AT139" i="10" s="1"/>
  <c r="AH187" i="10"/>
  <c r="AI187" i="10" s="1"/>
  <c r="AT187" i="10" s="1"/>
  <c r="AG40" i="10"/>
  <c r="AJ40" i="10" s="1"/>
  <c r="AS40" i="10" s="1"/>
  <c r="AG42" i="10"/>
  <c r="AJ42" i="10" s="1"/>
  <c r="AS42" i="10" s="1"/>
  <c r="AG153" i="10"/>
  <c r="AJ153" i="10" s="1"/>
  <c r="AS153" i="10" s="1"/>
  <c r="AH57" i="10"/>
  <c r="AI57" i="10" s="1"/>
  <c r="AT57" i="10" s="1"/>
  <c r="AH145" i="10"/>
  <c r="AI145" i="10" s="1"/>
  <c r="AT145" i="10" s="1"/>
  <c r="AG151" i="10"/>
  <c r="AJ151" i="10" s="1"/>
  <c r="AS151" i="10" s="1"/>
  <c r="AH4" i="10"/>
  <c r="AI4" i="10" s="1"/>
  <c r="AT4" i="10" s="1"/>
  <c r="AG17" i="10"/>
  <c r="AJ17" i="10" s="1"/>
  <c r="AS17" i="10" s="1"/>
  <c r="AG179" i="10"/>
  <c r="AJ179" i="10" s="1"/>
  <c r="AS179" i="10" s="1"/>
  <c r="AT195" i="10"/>
  <c r="AH103" i="10"/>
  <c r="AI103" i="10" s="1"/>
  <c r="AT103" i="10" s="1"/>
  <c r="AG180" i="10"/>
  <c r="AJ180" i="10" s="1"/>
  <c r="AS180" i="10" s="1"/>
  <c r="AG111" i="10"/>
  <c r="AJ111" i="10" s="1"/>
  <c r="AS111" i="10" s="1"/>
  <c r="AG182" i="10"/>
  <c r="AJ182" i="10" s="1"/>
  <c r="AS182" i="10" s="1"/>
  <c r="AG82" i="10"/>
  <c r="AJ82" i="10" s="1"/>
  <c r="AS82" i="10" s="1"/>
  <c r="AG43" i="10"/>
  <c r="AJ43" i="10" s="1"/>
  <c r="AS43" i="10" s="1"/>
  <c r="AT68" i="10"/>
  <c r="AG105" i="10"/>
  <c r="AJ105" i="10" s="1"/>
  <c r="AS105" i="10" s="1"/>
  <c r="AG141" i="10"/>
  <c r="AJ141" i="10" s="1"/>
  <c r="AS141" i="10" s="1"/>
  <c r="AH71" i="10"/>
  <c r="AI71" i="10" s="1"/>
  <c r="AT71" i="10" s="1"/>
  <c r="AH99" i="10"/>
  <c r="AI99" i="10" s="1"/>
  <c r="AT99" i="10" s="1"/>
  <c r="AT105" i="10"/>
  <c r="AT131" i="10"/>
  <c r="AT141" i="10"/>
  <c r="AH54" i="10"/>
  <c r="AI54" i="10" s="1"/>
  <c r="AT54" i="10" s="1"/>
  <c r="AT196" i="10"/>
  <c r="AT151" i="10"/>
  <c r="AJ127" i="10"/>
  <c r="AS127" i="10" s="1"/>
  <c r="AT149" i="10"/>
  <c r="AT9" i="10"/>
  <c r="AT160" i="10"/>
  <c r="AT137" i="10"/>
  <c r="AT63" i="10"/>
  <c r="AT37" i="10"/>
  <c r="AT35" i="10"/>
  <c r="AT125" i="10"/>
  <c r="AT3" i="10"/>
  <c r="AT8" i="10"/>
  <c r="AT118" i="10"/>
  <c r="AT154" i="10"/>
  <c r="AT122" i="10"/>
  <c r="AT46" i="10"/>
  <c r="AT174" i="10"/>
  <c r="AT40" i="10"/>
  <c r="AT26" i="10"/>
  <c r="AT24" i="10"/>
  <c r="AT42" i="10"/>
  <c r="AT70" i="10"/>
  <c r="AT153" i="10"/>
  <c r="AT14" i="10"/>
  <c r="AT177" i="10"/>
  <c r="AT117" i="10"/>
  <c r="AT163" i="10"/>
  <c r="AT19" i="10"/>
  <c r="AT25" i="10"/>
  <c r="AT28" i="10"/>
  <c r="AT179" i="10"/>
  <c r="AT81" i="10"/>
  <c r="AT180" i="10"/>
  <c r="AT173" i="10"/>
  <c r="AT170" i="10"/>
  <c r="AT52" i="10"/>
  <c r="AT45" i="10"/>
  <c r="AT27" i="10"/>
  <c r="AT89" i="10"/>
  <c r="AT98" i="10"/>
  <c r="AT94" i="10"/>
  <c r="AT165" i="10"/>
  <c r="AT135" i="10"/>
  <c r="AT133" i="10"/>
  <c r="AT17" i="10"/>
  <c r="AT7" i="10"/>
  <c r="AT48" i="10"/>
  <c r="AT66" i="10"/>
  <c r="AT201" i="10"/>
  <c r="AT168" i="10"/>
  <c r="AT47" i="10"/>
  <c r="AT76" i="10"/>
  <c r="AJ162" i="10"/>
  <c r="AS162" i="10" s="1"/>
  <c r="AJ197" i="10"/>
  <c r="AS197" i="10" s="1"/>
  <c r="AJ101" i="10"/>
  <c r="AS101" i="10" s="1"/>
  <c r="AJ39" i="10"/>
  <c r="AS39" i="10" s="1"/>
  <c r="AJ53" i="10"/>
  <c r="AS53" i="10" s="1"/>
  <c r="AJ167" i="10"/>
  <c r="AS167" i="10" s="1"/>
  <c r="AJ113" i="10"/>
  <c r="AS113" i="10" s="1"/>
  <c r="AJ29" i="10"/>
  <c r="AS29" i="10" s="1"/>
  <c r="AJ156" i="10"/>
  <c r="AS156" i="10" s="1"/>
  <c r="AJ148" i="10"/>
  <c r="AS148" i="10" s="1"/>
  <c r="AJ132" i="10"/>
  <c r="AS132" i="10" s="1"/>
  <c r="AJ62" i="10"/>
  <c r="AS62" i="10" s="1"/>
  <c r="AJ56" i="10"/>
  <c r="AS56" i="10" s="1"/>
  <c r="AJ41" i="10"/>
  <c r="AS41" i="10" s="1"/>
  <c r="AJ72" i="10"/>
  <c r="AS72" i="10" s="1"/>
  <c r="AJ104" i="10"/>
  <c r="AS104" i="10" s="1"/>
  <c r="AJ147" i="10"/>
  <c r="AS147" i="10" s="1"/>
  <c r="AJ16" i="10"/>
  <c r="AS16" i="10" s="1"/>
  <c r="AJ36" i="10"/>
  <c r="AS36" i="10" s="1"/>
  <c r="AJ6" i="10"/>
  <c r="AS6" i="10" s="1"/>
  <c r="AJ44" i="10"/>
  <c r="AS44" i="10" s="1"/>
  <c r="AJ38" i="10"/>
  <c r="AS38" i="10" s="1"/>
  <c r="AJ74" i="10"/>
  <c r="AS74" i="10" s="1"/>
  <c r="AJ189" i="10"/>
  <c r="AS189" i="10" s="1"/>
  <c r="AJ186" i="10"/>
  <c r="AS186" i="10" s="1"/>
  <c r="AJ116" i="10"/>
  <c r="AS116" i="10" s="1"/>
  <c r="AJ108" i="10"/>
  <c r="AS108" i="10" s="1"/>
  <c r="AJ112" i="10"/>
  <c r="AS112" i="10" s="1"/>
  <c r="AJ128" i="10"/>
  <c r="AS128" i="10" s="1"/>
  <c r="AJ140" i="10"/>
  <c r="AS140" i="10" s="1"/>
  <c r="AJ136" i="10"/>
  <c r="AS136" i="10" s="1"/>
  <c r="AJ126" i="10"/>
  <c r="AS126" i="10" s="1"/>
  <c r="AJ138" i="10"/>
  <c r="AS138" i="10" s="1"/>
  <c r="AJ103" i="10"/>
  <c r="AS103" i="10" s="1"/>
  <c r="AJ183" i="10"/>
  <c r="AS183" i="10" s="1"/>
  <c r="AJ77" i="10"/>
  <c r="AS77" i="10" s="1"/>
  <c r="AJ97" i="10"/>
  <c r="AS97" i="10" s="1"/>
  <c r="AJ31" i="10"/>
  <c r="AS31" i="10" s="1"/>
  <c r="AJ80" i="10"/>
  <c r="AS80" i="10" s="1"/>
  <c r="AJ18" i="10"/>
  <c r="AS18" i="10" s="1"/>
  <c r="AJ194" i="10"/>
  <c r="AS194" i="10" s="1"/>
  <c r="AJ34" i="10"/>
  <c r="AS34" i="10" s="1"/>
  <c r="AJ22" i="10"/>
  <c r="AS22" i="10" s="1"/>
  <c r="AJ23" i="10"/>
  <c r="AS23" i="10" s="1"/>
  <c r="AJ139" i="10"/>
  <c r="AS139" i="10" s="1"/>
  <c r="AJ171" i="10"/>
  <c r="AS171" i="10" s="1"/>
  <c r="AJ187" i="10"/>
  <c r="AS187" i="10" s="1"/>
  <c r="AJ60" i="10"/>
  <c r="AS60" i="10" s="1"/>
  <c r="AJ30" i="10"/>
  <c r="AS30" i="10" s="1"/>
  <c r="AJ50" i="10"/>
  <c r="AS50" i="10" s="1"/>
  <c r="AJ21" i="10"/>
  <c r="AS21" i="10" s="1"/>
  <c r="AJ130" i="10"/>
  <c r="AS130" i="10" s="1"/>
  <c r="AJ192" i="10"/>
  <c r="AS192" i="10" s="1"/>
  <c r="AJ152" i="10"/>
  <c r="AS152" i="10" s="1"/>
  <c r="AJ144" i="10"/>
  <c r="AS144" i="10" s="1"/>
  <c r="AJ49" i="10"/>
  <c r="AS49" i="10" s="1"/>
  <c r="AJ106" i="10"/>
  <c r="AS106" i="10" s="1"/>
  <c r="AJ157" i="10"/>
  <c r="AS157" i="10" s="1"/>
  <c r="AJ10" i="10"/>
  <c r="AS10" i="10" s="1"/>
  <c r="AJ78" i="10"/>
  <c r="AS78" i="10" s="1"/>
  <c r="AJ58" i="10"/>
  <c r="AS58" i="10" s="1"/>
  <c r="AJ13" i="10"/>
  <c r="AS13" i="10" s="1"/>
  <c r="AJ91" i="10"/>
  <c r="AS91" i="10" s="1"/>
  <c r="AJ119" i="10"/>
  <c r="AS119" i="10" s="1"/>
  <c r="AJ161" i="10"/>
  <c r="AS161" i="10" s="1"/>
  <c r="AJ32" i="10"/>
  <c r="AS32" i="10" s="1"/>
  <c r="AJ55" i="10"/>
  <c r="AS55" i="10" s="1"/>
  <c r="AJ12" i="10"/>
  <c r="AS12" i="10" s="1"/>
  <c r="AJ33" i="10"/>
  <c r="AS33" i="10" s="1"/>
  <c r="AJ166" i="10"/>
  <c r="AS166" i="10" s="1"/>
  <c r="AJ146" i="10"/>
  <c r="AS146" i="10" s="1"/>
  <c r="B6" i="10" l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Nominal Input Voltage</t>
        </r>
      </text>
    </comment>
  </commentList>
</comments>
</file>

<file path=xl/sharedStrings.xml><?xml version="1.0" encoding="utf-8"?>
<sst xmlns="http://schemas.openxmlformats.org/spreadsheetml/2006/main" count="229" uniqueCount="157">
  <si>
    <t>Vin</t>
  </si>
  <si>
    <t>Vout</t>
  </si>
  <si>
    <t>Iout</t>
  </si>
  <si>
    <t>Lo</t>
  </si>
  <si>
    <t>Co</t>
  </si>
  <si>
    <t>Resr</t>
  </si>
  <si>
    <t>D'</t>
  </si>
  <si>
    <t>Fsw</t>
  </si>
  <si>
    <t>Tsw</t>
  </si>
  <si>
    <t>wn</t>
  </si>
  <si>
    <t>Qp</t>
  </si>
  <si>
    <t>wz1</t>
  </si>
  <si>
    <t>wz2</t>
  </si>
  <si>
    <t>wp1</t>
  </si>
  <si>
    <t>M</t>
  </si>
  <si>
    <t>mc</t>
  </si>
  <si>
    <t>Sn</t>
  </si>
  <si>
    <t>Rout</t>
  </si>
  <si>
    <t>Vout(s)/Verr(s)</t>
  </si>
  <si>
    <t>s</t>
  </si>
  <si>
    <t>g1</t>
  </si>
  <si>
    <t>g2</t>
  </si>
  <si>
    <t>g3</t>
  </si>
  <si>
    <t>g4</t>
  </si>
  <si>
    <t>|Vout(s)/Verr(s)|</t>
  </si>
  <si>
    <t>ang</t>
  </si>
  <si>
    <t>f</t>
  </si>
  <si>
    <t>°</t>
  </si>
  <si>
    <t>db</t>
  </si>
  <si>
    <t>Design Parameters</t>
  </si>
  <si>
    <t>Min</t>
  </si>
  <si>
    <t>Nominal</t>
  </si>
  <si>
    <t>Max</t>
  </si>
  <si>
    <t>Dmax</t>
  </si>
  <si>
    <t>Units</t>
  </si>
  <si>
    <t>V</t>
  </si>
  <si>
    <t>A</t>
  </si>
  <si>
    <t>%</t>
  </si>
  <si>
    <t>Vdrv</t>
  </si>
  <si>
    <t>Which Resistor Would you Like to Select?</t>
  </si>
  <si>
    <t>Ideal Vout</t>
  </si>
  <si>
    <t>Ω</t>
  </si>
  <si>
    <t>Device Current Limit</t>
  </si>
  <si>
    <t>mV</t>
  </si>
  <si>
    <t>kHz</t>
  </si>
  <si>
    <t>Maximum Average Inductor Current</t>
  </si>
  <si>
    <t>A/s</t>
  </si>
  <si>
    <t>Desired Peak to Peak Ripple Percentage At Low Vin</t>
  </si>
  <si>
    <t>Peak to Peak Current Ripple at Low Vin</t>
  </si>
  <si>
    <t>Assumed Efficiency</t>
  </si>
  <si>
    <t>Minimum Inductor Value</t>
  </si>
  <si>
    <t>μH</t>
  </si>
  <si>
    <t>Inductor Value Used</t>
  </si>
  <si>
    <t>Peak to Peak Current Ripple at Low Vin, Actual Inductor</t>
  </si>
  <si>
    <t>Irms</t>
  </si>
  <si>
    <t>Ipeak</t>
  </si>
  <si>
    <t>Peak Current</t>
  </si>
  <si>
    <t>Desired Current Limit</t>
  </si>
  <si>
    <t>Recommended Current Sense Resistor</t>
  </si>
  <si>
    <t>Current Sense Resistor Used</t>
  </si>
  <si>
    <r>
      <t>m</t>
    </r>
    <r>
      <rPr>
        <sz val="11"/>
        <color theme="1"/>
        <rFont val="Calibri"/>
        <family val="2"/>
      </rPr>
      <t>Ω</t>
    </r>
  </si>
  <si>
    <t>Power Loss in Rsense at low vin, max rated current</t>
  </si>
  <si>
    <t>D</t>
  </si>
  <si>
    <t>Nom</t>
  </si>
  <si>
    <t>Real Peak Current (min)</t>
  </si>
  <si>
    <t>Real Peak Current (max)</t>
  </si>
  <si>
    <t>W</t>
  </si>
  <si>
    <t>Output Capacitance Used</t>
  </si>
  <si>
    <t>ESR at Switching Frequency</t>
  </si>
  <si>
    <t>Input Capacitance Used</t>
  </si>
  <si>
    <t>Voltage Required</t>
  </si>
  <si>
    <t>Power Dissipation</t>
  </si>
  <si>
    <t>Switching Losses</t>
  </si>
  <si>
    <t>Conduction Losses</t>
  </si>
  <si>
    <t>RDS,ON</t>
  </si>
  <si>
    <t>Forward Voltage Drop</t>
  </si>
  <si>
    <t>Power Loss</t>
  </si>
  <si>
    <t>Required Reverse Voltage</t>
  </si>
  <si>
    <t>Average Current</t>
  </si>
  <si>
    <t>Output Voltage Ripple</t>
  </si>
  <si>
    <t>Current Ripple Rating Required</t>
  </si>
  <si>
    <t>μF</t>
  </si>
  <si>
    <t>Input Voltage Ripple</t>
  </si>
  <si>
    <t>Input Current Ripple</t>
  </si>
  <si>
    <t>Worst Case Input Voltage</t>
  </si>
  <si>
    <t>nC</t>
  </si>
  <si>
    <t>Switch Turn On Time</t>
  </si>
  <si>
    <t>Switch Turn Off Time</t>
  </si>
  <si>
    <t>ns</t>
  </si>
  <si>
    <t>Graph Settings</t>
  </si>
  <si>
    <t>Minimum Frequency</t>
  </si>
  <si>
    <t>Maximum Frequency</t>
  </si>
  <si>
    <t>Hz</t>
  </si>
  <si>
    <t>R</t>
  </si>
  <si>
    <t>C1</t>
  </si>
  <si>
    <t>C2</t>
  </si>
  <si>
    <t>ota1</t>
  </si>
  <si>
    <t>ota2</t>
  </si>
  <si>
    <t>ota3</t>
  </si>
  <si>
    <t>g(s)</t>
  </si>
  <si>
    <t>nF</t>
  </si>
  <si>
    <t>|(g(s)|</t>
  </si>
  <si>
    <t>Desired Crossover Frequency</t>
  </si>
  <si>
    <t>Pole Location</t>
  </si>
  <si>
    <t>Zero Location</t>
  </si>
  <si>
    <t>R value used</t>
  </si>
  <si>
    <t>C1 value used</t>
  </si>
  <si>
    <t>C2 value used</t>
  </si>
  <si>
    <t>Gain At Frequency</t>
  </si>
  <si>
    <t>Suggested RC value</t>
  </si>
  <si>
    <t>Suggested CC1 value</t>
  </si>
  <si>
    <t>Suggested CC2 value</t>
  </si>
  <si>
    <t>It is intended to provide first pass values and does not replace simulation and prototyping.</t>
  </si>
  <si>
    <t>Enter values into the green cells in order by sheet for best results.</t>
  </si>
  <si>
    <t>Nominal I Limit</t>
  </si>
  <si>
    <t>Minimum I Limit</t>
  </si>
  <si>
    <t>Maximum I Limit</t>
  </si>
  <si>
    <t>Part Number</t>
  </si>
  <si>
    <t>Sa</t>
  </si>
  <si>
    <t>Qg @ 6V</t>
  </si>
  <si>
    <t>mΩ</t>
  </si>
  <si>
    <t>Inductor ESR</t>
  </si>
  <si>
    <t>Ri</t>
  </si>
  <si>
    <t>Rsw_eq</t>
  </si>
  <si>
    <t>Rfet</t>
  </si>
  <si>
    <t>rL</t>
  </si>
  <si>
    <t>Mccm</t>
  </si>
  <si>
    <t>Se</t>
  </si>
  <si>
    <t>C0</t>
  </si>
  <si>
    <t>F</t>
  </si>
  <si>
    <t>OTA Parameters</t>
  </si>
  <si>
    <t>R0</t>
  </si>
  <si>
    <t>wz1e</t>
  </si>
  <si>
    <t>wz2e</t>
  </si>
  <si>
    <t>wp1e</t>
  </si>
  <si>
    <t>wp2e</t>
  </si>
  <si>
    <t>Rotaesd</t>
  </si>
  <si>
    <t>comp_C1</t>
  </si>
  <si>
    <t>comp_C2</t>
  </si>
  <si>
    <t>gm</t>
  </si>
  <si>
    <t>NCV887700</t>
  </si>
  <si>
    <t>NCV887701</t>
  </si>
  <si>
    <t>NCV887720</t>
  </si>
  <si>
    <r>
      <t>mV/</t>
    </r>
    <r>
      <rPr>
        <sz val="11"/>
        <color theme="1"/>
        <rFont val="Calibri"/>
        <family val="2"/>
      </rPr>
      <t>μs</t>
    </r>
  </si>
  <si>
    <r>
      <t>Sa (mV/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s)</t>
    </r>
  </si>
  <si>
    <t>Rev 1 (17JUN14):  Identified lookup table issue on sheet 2.  Current limit parameter was not linked to part number lookup table</t>
  </si>
  <si>
    <t>Rev 2 (6OCT14):  Error in current resistor unit definition identified in sheet 4 (math was OK).  EXCEL recalculation software bug identified which can cause sheet 8 to not recalculate; corrective action by user described.</t>
  </si>
  <si>
    <t>This tool is intended to assist the user when designing with the NCV8877 for continuous conduction mode boost applications.</t>
  </si>
  <si>
    <t>NOTICE OF PROBABLE EXCEL SOFTARE SPECIFIC BUG:</t>
  </si>
  <si>
    <t>Graphs below may sometimes fail to automatically recalculate despite having all automatic recalculation options in EXCEL enabled.</t>
  </si>
  <si>
    <t>Problem may be resolved by either:  1) Changing R value in cell B8 to a DIFFERENT value and then reentering the originally desired value, or 2) saving the file under a different file name.</t>
  </si>
  <si>
    <t>NCV887711</t>
  </si>
  <si>
    <t>NCV887721</t>
  </si>
  <si>
    <t>NCV887740</t>
  </si>
  <si>
    <t>Rev 3 (11NOV16):  NCV887711 and NCV887721 added.  Corrected some unit utilization errors.</t>
  </si>
  <si>
    <t>NCV8877 Boost Design Tool Revision 4 (18DEC17)</t>
  </si>
  <si>
    <t>Rev 4 (18DEC17):  K factor calculation corrections.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</si>
</sst>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>
      <protection hidden="1"/>
    </xf>
    <xf numFmtId="0" fontId="1" fillId="3" borderId="0">
      <protection locked="0"/>
    </xf>
  </cellStyleXfs>
  <cellXfs count="33">
    <xf numFmtId="0" fontId="0" fillId="0" borderId="0" xfId="0"/>
    <xf numFmtId="0" fontId="3" fillId="0" borderId="0" xfId="0" applyFont="1"/>
    <xf numFmtId="0" fontId="1" fillId="3" borderId="0" xfId="2">
      <protection locked="0"/>
    </xf>
    <xf numFmtId="0" fontId="2" fillId="2" borderId="1" xfId="1">
      <protection hidden="1"/>
    </xf>
    <xf numFmtId="0" fontId="3" fillId="0" borderId="0" xfId="0" applyFont="1" applyFill="1" applyBorder="1"/>
    <xf numFmtId="0" fontId="0" fillId="0" borderId="0" xfId="0" applyProtection="1">
      <protection hidden="1"/>
    </xf>
    <xf numFmtId="0" fontId="5" fillId="0" borderId="0" xfId="0" applyFont="1"/>
    <xf numFmtId="0" fontId="0" fillId="0" borderId="0" xfId="0" applyProtection="1">
      <protection locked="0" hidden="1"/>
    </xf>
    <xf numFmtId="0" fontId="2" fillId="2" borderId="1" xfId="1" applyProtection="1">
      <protection locked="0"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" fillId="0" borderId="0" xfId="2" applyFill="1" applyProtection="1"/>
    <xf numFmtId="0" fontId="1" fillId="0" borderId="0" xfId="2" applyFill="1" applyBorder="1" applyProtection="1"/>
    <xf numFmtId="0" fontId="1" fillId="0" borderId="0" xfId="2" applyFill="1" applyProtection="1">
      <protection hidden="1"/>
    </xf>
    <xf numFmtId="0" fontId="8" fillId="0" borderId="0" xfId="0" applyFont="1" applyProtection="1">
      <protection hidden="1"/>
    </xf>
    <xf numFmtId="164" fontId="6" fillId="0" borderId="0" xfId="0" applyNumberFormat="1" applyFont="1" applyProtection="1">
      <protection hidden="1"/>
    </xf>
    <xf numFmtId="0" fontId="1" fillId="3" borderId="0" xfId="2" applyProtection="1">
      <protection locked="0"/>
    </xf>
    <xf numFmtId="0" fontId="0" fillId="0" borderId="0" xfId="0" applyProtection="1"/>
    <xf numFmtId="0" fontId="9" fillId="0" borderId="0" xfId="0" applyFont="1"/>
    <xf numFmtId="0" fontId="10" fillId="4" borderId="2" xfId="0" applyFont="1" applyFill="1" applyBorder="1"/>
    <xf numFmtId="0" fontId="5" fillId="4" borderId="3" xfId="0" applyFont="1" applyFill="1" applyBorder="1"/>
    <xf numFmtId="0" fontId="5" fillId="4" borderId="3" xfId="0" applyFont="1" applyFill="1" applyBorder="1" applyProtection="1">
      <protection hidden="1"/>
    </xf>
    <xf numFmtId="0" fontId="5" fillId="4" borderId="4" xfId="0" applyFont="1" applyFill="1" applyBorder="1"/>
    <xf numFmtId="0" fontId="5" fillId="4" borderId="0" xfId="0" applyFont="1" applyFill="1" applyBorder="1"/>
    <xf numFmtId="0" fontId="5" fillId="4" borderId="0" xfId="0" applyFont="1" applyFill="1" applyBorder="1" applyProtection="1">
      <protection hidden="1"/>
    </xf>
    <xf numFmtId="0" fontId="5" fillId="4" borderId="5" xfId="0" applyFont="1" applyFill="1" applyBorder="1"/>
    <xf numFmtId="0" fontId="5" fillId="4" borderId="6" xfId="0" applyFont="1" applyFill="1" applyBorder="1"/>
    <xf numFmtId="0" fontId="5" fillId="4" borderId="6" xfId="0" applyFont="1" applyFill="1" applyBorder="1" applyProtection="1">
      <protection hidden="1"/>
    </xf>
    <xf numFmtId="0" fontId="5" fillId="4" borderId="7" xfId="0" applyFont="1" applyFill="1" applyBorder="1" applyProtection="1">
      <protection hidden="1"/>
    </xf>
    <xf numFmtId="0" fontId="5" fillId="4" borderId="8" xfId="0" applyFont="1" applyFill="1" applyBorder="1" applyProtection="1">
      <protection hidden="1"/>
    </xf>
    <xf numFmtId="0" fontId="5" fillId="4" borderId="9" xfId="0" applyFont="1" applyFill="1" applyBorder="1" applyProtection="1">
      <protection hidden="1"/>
    </xf>
    <xf numFmtId="2" fontId="1" fillId="3" borderId="0" xfId="2" applyNumberFormat="1">
      <protection locked="0"/>
    </xf>
    <xf numFmtId="2" fontId="0" fillId="0" borderId="0" xfId="0" applyNumberFormat="1" applyProtection="1"/>
  </cellXfs>
  <cellStyles count="3">
    <cellStyle name="Calculation" xfId="1" builtinId="22" customBuiltin="1"/>
    <cellStyle name="Normal" xfId="0" builtinId="0"/>
    <cellStyle name="ONInput" xfId="2"/>
  </cellStyles>
  <dxfs count="2"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Phase of Vout</a:t>
            </a:r>
            <a:r>
              <a:rPr lang="en-US" baseline="0"/>
              <a:t> / Verr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'8. Loop Compensation'!$AI$1</c:f>
              <c:strCache>
                <c:ptCount val="1"/>
                <c:pt idx="0">
                  <c:v>°</c:v>
                </c:pt>
              </c:strCache>
            </c:strRef>
          </c:tx>
          <c:marker>
            <c:symbol val="none"/>
          </c:marker>
          <c:xVal>
            <c:numRef>
              <c:f>'8. Loop Compensation'!$Z$2:$Z$201</c:f>
              <c:numCache>
                <c:formatCode>General</c:formatCode>
                <c:ptCount val="200"/>
                <c:pt idx="0">
                  <c:v>1</c:v>
                </c:pt>
                <c:pt idx="1">
                  <c:v>1.0634378492473788</c:v>
                </c:pt>
                <c:pt idx="2">
                  <c:v>1.1309000592118907</c:v>
                </c:pt>
                <c:pt idx="3">
                  <c:v>1.2026419266820265</c:v>
                </c:pt>
                <c:pt idx="4">
                  <c:v>1.278934943925458</c:v>
                </c:pt>
                <c:pt idx="5">
                  <c:v>1.3600678260954062</c:v>
                </c:pt>
                <c:pt idx="6">
                  <c:v>1.4463476038134566</c:v>
                </c:pt>
                <c:pt idx="7">
                  <c:v>1.5381007850634825</c:v>
                </c:pt>
                <c:pt idx="8">
                  <c:v>1.6356745907936145</c:v>
                </c:pt>
                <c:pt idx="9">
                  <c:v>1.7394382689021479</c:v>
                </c:pt>
                <c:pt idx="10">
                  <c:v>1.849784491579884</c:v>
                </c:pt>
                <c:pt idx="11">
                  <c:v>1.967130841296868</c:v>
                </c:pt>
                <c:pt idx="12">
                  <c:v>2.0919213910569279</c:v>
                </c:pt>
                <c:pt idx="13">
                  <c:v>2.2246283849001642</c:v>
                </c:pt>
                <c:pt idx="14">
                  <c:v>2.365754025012901</c:v>
                </c:pt>
                <c:pt idx="15">
                  <c:v>2.5158323722080485</c:v>
                </c:pt>
                <c:pt idx="16">
                  <c:v>2.6754313669678584</c:v>
                </c:pt>
                <c:pt idx="17">
                  <c:v>2.8451549786972743</c:v>
                </c:pt>
                <c:pt idx="18">
                  <c:v>3.0256454913213009</c:v>
                </c:pt>
                <c:pt idx="19">
                  <c:v>3.2175859338757533</c:v>
                </c:pt>
                <c:pt idx="20">
                  <c:v>3.42170266528945</c:v>
                </c:pt>
                <c:pt idx="21">
                  <c:v>3.6387681231394358</c:v>
                </c:pt>
                <c:pt idx="22">
                  <c:v>3.8696037467813236</c:v>
                </c:pt>
                <c:pt idx="23">
                  <c:v>4.1150830859167291</c:v>
                </c:pt>
                <c:pt idx="24">
                  <c:v>4.376135106361553</c:v>
                </c:pt>
                <c:pt idx="25">
                  <c:v>4.6537477055250784</c:v>
                </c:pt>
                <c:pt idx="26">
                  <c:v>4.9489714509035139</c:v>
                </c:pt>
                <c:pt idx="27">
                  <c:v>5.2629235557355134</c:v>
                </c:pt>
                <c:pt idx="28">
                  <c:v>5.5967921068647417</c:v>
                </c:pt>
                <c:pt idx="29">
                  <c:v>5.9518405608089449</c:v>
                </c:pt>
                <c:pt idx="30">
                  <c:v>6.3294125250499764</c:v>
                </c:pt>
                <c:pt idx="31">
                  <c:v>6.7309368426385694</c:v>
                </c:pt>
                <c:pt idx="32">
                  <c:v>7.1579329993555039</c:v>
                </c:pt>
                <c:pt idx="33">
                  <c:v>7.6120168738914558</c:v>
                </c:pt>
                <c:pt idx="34">
                  <c:v>8.0949068528058863</c:v>
                </c:pt>
                <c:pt idx="35">
                  <c:v>8.6084303334057619</c:v>
                </c:pt>
                <c:pt idx="36">
                  <c:v>9.1545306391529166</c:v>
                </c:pt>
                <c:pt idx="37">
                  <c:v>9.7352743737700074</c:v>
                </c:pt>
                <c:pt idx="38">
                  <c:v>10.352859241875105</c:v>
                </c:pt>
                <c:pt idx="39">
                  <c:v>11.009622365740512</c:v>
                </c:pt>
                <c:pt idx="40">
                  <c:v>11.708049129648925</c:v>
                </c:pt>
                <c:pt idx="41">
                  <c:v>12.4507825853165</c:v>
                </c:pt>
                <c:pt idx="42">
                  <c:v>13.240633453975693</c:v>
                </c:pt>
                <c:pt idx="43">
                  <c:v>14.080590762968805</c:v>
                </c:pt>
                <c:pt idx="44">
                  <c:v>14.973833157104059</c:v>
                </c:pt>
                <c:pt idx="45">
                  <c:v>15.923740927579823</c:v>
                </c:pt>
                <c:pt idx="46">
                  <c:v>16.933908803997952</c:v>
                </c:pt>
                <c:pt idx="47">
                  <c:v>18.008159557874837</c:v>
                </c:pt>
                <c:pt idx="48">
                  <c:v>19.150558469130036</c:v>
                </c:pt>
                <c:pt idx="49">
                  <c:v>20.365428710297824</c:v>
                </c:pt>
                <c:pt idx="50">
                  <c:v>21.657367706679931</c:v>
                </c:pt>
                <c:pt idx="51">
                  <c:v>23.031264534351347</c:v>
                </c:pt>
                <c:pt idx="52">
                  <c:v>24.492318421858034</c:v>
                </c:pt>
                <c:pt idx="53">
                  <c:v>26.046058425622668</c:v>
                </c:pt>
                <c:pt idx="54">
                  <c:v>27.698364353515743</c:v>
                </c:pt>
                <c:pt idx="55">
                  <c:v>29.45548901577305</c:v>
                </c:pt>
                <c:pt idx="56">
                  <c:v>31.324081887463471</c:v>
                </c:pt>
                <c:pt idx="57">
                  <c:v>33.311214272052936</c:v>
                </c:pt>
                <c:pt idx="58">
                  <c:v>35.424406061290533</c:v>
                </c:pt>
                <c:pt idx="59">
                  <c:v>37.67165419268462</c:v>
                </c:pt>
                <c:pt idx="60">
                  <c:v>40.061462912259522</c:v>
                </c:pt>
                <c:pt idx="61">
                  <c:v>42.602875957116908</c:v>
                </c:pt>
                <c:pt idx="62">
                  <c:v>45.305510779589277</c:v>
                </c:pt>
                <c:pt idx="63">
                  <c:v>48.179594942500358</c:v>
                </c:pt>
                <c:pt idx="64">
                  <c:v>51.236004823262483</c:v>
                </c:pt>
                <c:pt idx="65">
                  <c:v>54.486306773278585</c:v>
                </c:pt>
                <c:pt idx="66">
                  <c:v>57.94280088840825</c:v>
                </c:pt>
                <c:pt idx="67">
                  <c:v>61.61856755613799</c:v>
                </c:pt>
                <c:pt idx="68">
                  <c:v>65.527516955603716</c:v>
                </c:pt>
                <c:pt idx="69">
                  <c:v>69.684441697788372</c:v>
                </c:pt>
                <c:pt idx="70">
                  <c:v>74.105072805100434</c:v>
                </c:pt>
                <c:pt idx="71">
                  <c:v>78.806139242176371</c:v>
                </c:pt>
                <c:pt idx="72">
                  <c:v>83.805431223189501</c:v>
                </c:pt>
                <c:pt idx="73">
                  <c:v>89.121867535237712</c:v>
                </c:pt>
                <c:pt idx="74">
                  <c:v>94.775567132582992</c:v>
                </c:pt>
                <c:pt idx="75">
                  <c:v>100.78792527267464</c:v>
                </c:pt>
                <c:pt idx="76">
                  <c:v>107.18169448207877</c:v>
                </c:pt>
                <c:pt idx="77">
                  <c:v>113.98107065871142</c:v>
                </c:pt>
                <c:pt idx="78">
                  <c:v>121.21178463621371</c:v>
                </c:pt>
                <c:pt idx="79">
                  <c:v>128.90119955697148</c:v>
                </c:pt>
                <c:pt idx="80">
                  <c:v>137.07841442227294</c:v>
                </c:pt>
                <c:pt idx="81">
                  <c:v>145.77437421146283</c:v>
                </c:pt>
                <c:pt idx="82">
                  <c:v>155.02198698682062</c:v>
                </c:pt>
                <c:pt idx="83">
                  <c:v>164.85624842731968</c:v>
                </c:pt>
                <c:pt idx="84">
                  <c:v>175.3143742625403</c:v>
                </c:pt>
                <c:pt idx="85">
                  <c:v>186.43594110790573</c:v>
                </c:pt>
                <c:pt idx="86">
                  <c:v>198.26303623420247</c:v>
                </c:pt>
                <c:pt idx="87">
                  <c:v>210.84041683815525</c:v>
                </c:pt>
                <c:pt idx="88">
                  <c:v>224.21567941678887</c:v>
                </c:pt>
                <c:pt idx="89">
                  <c:v>238.43943988652958</c:v>
                </c:pt>
                <c:pt idx="90">
                  <c:v>253.56552512868072</c:v>
                </c:pt>
                <c:pt idx="91">
                  <c:v>269.65117668612646</c:v>
                </c:pt>
                <c:pt idx="92">
                  <c:v>286.75726738211927</c:v>
                </c:pt>
                <c:pt idx="93">
                  <c:v>304.94853168089651</c:v>
                </c:pt>
                <c:pt idx="94">
                  <c:v>324.29381066187881</c:v>
                </c:pt>
                <c:pt idx="95">
                  <c:v>344.8663125345048</c:v>
                </c:pt>
                <c:pt idx="96">
                  <c:v>366.74388967956821</c:v>
                </c:pt>
                <c:pt idx="97">
                  <c:v>390.00933326545766</c:v>
                </c:pt>
                <c:pt idx="98">
                  <c:v>414.75068655422291</c:v>
                </c:pt>
                <c:pt idx="99">
                  <c:v>441.06157808309626</c:v>
                </c:pt>
                <c:pt idx="100">
                  <c:v>469.04157598234281</c:v>
                </c:pt>
                <c:pt idx="101">
                  <c:v>498.79656477026373</c:v>
                </c:pt>
                <c:pt idx="102">
                  <c:v>530.4391460512702</c:v>
                </c:pt>
                <c:pt idx="103">
                  <c:v>564.08906463337905</c:v>
                </c:pt>
                <c:pt idx="104">
                  <c:v>599.87366167768641</c:v>
                </c:pt>
                <c:pt idx="105">
                  <c:v>637.92835659466812</c:v>
                </c:pt>
                <c:pt idx="106">
                  <c:v>678.39715951094945</c:v>
                </c:pt>
                <c:pt idx="107">
                  <c:v>721.43321624585462</c:v>
                </c:pt>
                <c:pt idx="108">
                  <c:v>767.19938786011153</c:v>
                </c:pt>
                <c:pt idx="109">
                  <c:v>815.86886696986198</c:v>
                </c:pt>
                <c:pt idx="110">
                  <c:v>867.62583315832671</c:v>
                </c:pt>
                <c:pt idx="111">
                  <c:v>922.66614996535543</c:v>
                </c:pt>
                <c:pt idx="112">
                  <c:v>981.19810609251715</c:v>
                </c:pt>
                <c:pt idx="113">
                  <c:v>1043.443203628628</c:v>
                </c:pt>
                <c:pt idx="114">
                  <c:v>1109.6369962786232</c:v>
                </c:pt>
                <c:pt idx="115">
                  <c:v>1180.0299807678607</c:v>
                </c:pt>
                <c:pt idx="116">
                  <c:v>1254.8885447951977</c:v>
                </c:pt>
                <c:pt idx="117">
                  <c:v>1334.4959751221782</c:v>
                </c:pt>
                <c:pt idx="118">
                  <c:v>1419.1535296132129</c:v>
                </c:pt>
                <c:pt idx="119">
                  <c:v>1509.1815772837017</c:v>
                </c:pt>
                <c:pt idx="120">
                  <c:v>1604.9208106703452</c:v>
                </c:pt>
                <c:pt idx="121">
                  <c:v>1706.7335351116335</c:v>
                </c:pt>
                <c:pt idx="122">
                  <c:v>1815.0050398174897</c:v>
                </c:pt>
                <c:pt idx="123">
                  <c:v>1930.1450559166665</c:v>
                </c:pt>
                <c:pt idx="124">
                  <c:v>2052.58930699948</c:v>
                </c:pt>
                <c:pt idx="125">
                  <c:v>2182.8011580236971</c:v>
                </c:pt>
                <c:pt idx="126">
                  <c:v>2321.2733688234066</c:v>
                </c:pt>
                <c:pt idx="127">
                  <c:v>2468.5299588567814</c:v>
                </c:pt>
                <c:pt idx="128">
                  <c:v>2625.1281902493761</c:v>
                </c:pt>
                <c:pt idx="129">
                  <c:v>2791.6606766374607</c:v>
                </c:pt>
                <c:pt idx="130">
                  <c:v>2968.757625791824</c:v>
                </c:pt>
                <c:pt idx="131">
                  <c:v>3157.0892245088098</c:v>
                </c:pt>
                <c:pt idx="132">
                  <c:v>3357.3681747937244</c:v>
                </c:pt>
                <c:pt idx="133">
                  <c:v>3570.3523909342362</c:v>
                </c:pt>
                <c:pt idx="134">
                  <c:v>3796.8478676703417</c:v>
                </c:pt>
                <c:pt idx="135">
                  <c:v>4037.7117303148448</c:v>
                </c:pt>
                <c:pt idx="136">
                  <c:v>4293.8554783669315</c:v>
                </c:pt>
                <c:pt idx="137">
                  <c:v>4566.248434893605</c:v>
                </c:pt>
                <c:pt idx="138">
                  <c:v>4855.9214147324665</c:v>
                </c:pt>
                <c:pt idx="139">
                  <c:v>5163.9706253973836</c:v>
                </c:pt>
                <c:pt idx="140">
                  <c:v>5491.5618154492358</c:v>
                </c:pt>
                <c:pt idx="141">
                  <c:v>5839.9346860303567</c:v>
                </c:pt>
                <c:pt idx="142">
                  <c:v>6210.4075822572904</c:v>
                </c:pt>
                <c:pt idx="143">
                  <c:v>6604.3824822253073</c:v>
                </c:pt>
                <c:pt idx="144">
                  <c:v>7023.3503025047467</c:v>
                </c:pt>
                <c:pt idx="145">
                  <c:v>7468.8965402065769</c:v>
                </c:pt>
                <c:pt idx="146">
                  <c:v>7942.7072729684578</c:v>
                </c:pt>
                <c:pt idx="147">
                  <c:v>8446.5755395671058</c:v>
                </c:pt>
                <c:pt idx="148">
                  <c:v>8982.4081253027471</c:v>
                </c:pt>
                <c:pt idx="149">
                  <c:v>9552.2327778341514</c:v>
                </c:pt>
                <c:pt idx="150">
                  <c:v>10158.205880770249</c:v>
                </c:pt>
                <c:pt idx="151">
                  <c:v>10802.620614058389</c:v>
                </c:pt>
                <c:pt idx="152">
                  <c:v>11487.915632049675</c:v>
                </c:pt>
                <c:pt idx="153">
                  <c:v>12216.684292082227</c:v>
                </c:pt>
                <c:pt idx="154">
                  <c:v>12991.684468506162</c:v>
                </c:pt>
                <c:pt idx="155">
                  <c:v>13815.848989288772</c:v>
                </c:pt>
                <c:pt idx="156">
                  <c:v>14692.296734695852</c:v>
                </c:pt>
                <c:pt idx="157">
                  <c:v>15624.344440049217</c:v>
                </c:pt>
                <c:pt idx="158">
                  <c:v>16615.519247226184</c:v>
                </c:pt>
                <c:pt idx="159">
                  <c:v>17669.572052398642</c:v>
                </c:pt>
                <c:pt idx="160">
                  <c:v>18790.49170052441</c:v>
                </c:pt>
                <c:pt idx="161">
                  <c:v>19982.5200803064</c:v>
                </c:pt>
                <c:pt idx="162">
                  <c:v>21250.168176743602</c:v>
                </c:pt>
                <c:pt idx="163">
                  <c:v>22598.233142021272</c:v>
                </c:pt>
                <c:pt idx="164">
                  <c:v>24031.816449341983</c:v>
                </c:pt>
                <c:pt idx="165">
                  <c:v>25556.343198396022</c:v>
                </c:pt>
                <c:pt idx="166">
                  <c:v>27177.582645530147</c:v>
                </c:pt>
                <c:pt idx="167">
                  <c:v>28901.670036305419</c:v>
                </c:pt>
                <c:pt idx="168">
                  <c:v>30735.129823066054</c:v>
                </c:pt>
                <c:pt idx="169">
                  <c:v>32684.900355380338</c:v>
                </c:pt>
                <c:pt idx="170">
                  <c:v>34758.360136790499</c:v>
                </c:pt>
                <c:pt idx="171">
                  <c:v>36963.355747234389</c:v>
                </c:pt>
                <c:pt idx="172">
                  <c:v>39308.231536804677</c:v>
                </c:pt>
                <c:pt idx="173">
                  <c:v>41801.861203217486</c:v>
                </c:pt>
                <c:pt idx="174">
                  <c:v>44453.681372487059</c:v>
                </c:pt>
                <c:pt idx="175">
                  <c:v>47273.727309885995</c:v>
                </c:pt>
                <c:pt idx="176">
                  <c:v>50272.670896332245</c:v>
                </c:pt>
                <c:pt idx="177">
                  <c:v>53461.861013916772</c:v>
                </c:pt>
                <c:pt idx="178">
                  <c:v>56853.366493401947</c:v>
                </c:pt>
                <c:pt idx="179">
                  <c:v>60460.02178621637</c:v>
                </c:pt>
                <c:pt idx="180">
                  <c:v>64295.47553378361</c:v>
                </c:pt>
                <c:pt idx="181">
                  <c:v>68374.242217984312</c:v>
                </c:pt>
                <c:pt idx="182">
                  <c:v>72711.757088212587</c:v>
                </c:pt>
                <c:pt idx="183">
                  <c:v>77324.434572886516</c:v>
                </c:pt>
                <c:pt idx="184">
                  <c:v>82229.730396460247</c:v>
                </c:pt>
                <c:pt idx="185">
                  <c:v>87446.207637003507</c:v>
                </c:pt>
                <c:pt idx="186">
                  <c:v>92993.606974334747</c:v>
                </c:pt>
                <c:pt idx="187">
                  <c:v>98892.921394542427</c:v>
                </c:pt>
                <c:pt idx="188">
                  <c:v>105166.47563360249</c:v>
                </c:pt>
                <c:pt idx="189">
                  <c:v>111838.01066072512</c:v>
                </c:pt>
                <c:pt idx="190">
                  <c:v>118932.77352114675</c:v>
                </c:pt>
                <c:pt idx="191">
                  <c:v>126477.61287835392</c:v>
                </c:pt>
                <c:pt idx="192">
                  <c:v>134501.0806172993</c:v>
                </c:pt>
                <c:pt idx="193">
                  <c:v>143033.53989310883</c:v>
                </c:pt>
                <c:pt idx="194">
                  <c:v>152107.28003416685</c:v>
                </c:pt>
                <c:pt idx="195">
                  <c:v>161756.63873440344</c:v>
                </c:pt>
                <c:pt idx="196">
                  <c:v>172018.13199719929</c:v>
                </c:pt>
                <c:pt idx="197">
                  <c:v>182930.59232265301</c:v>
                </c:pt>
                <c:pt idx="198">
                  <c:v>194535.31566115122</c:v>
                </c:pt>
                <c:pt idx="199">
                  <c:v>206876.21768935499</c:v>
                </c:pt>
              </c:numCache>
            </c:numRef>
          </c:xVal>
          <c:yVal>
            <c:numRef>
              <c:f>'8. Loop Compensation'!$AI$2:$AI$201</c:f>
              <c:numCache>
                <c:formatCode>General</c:formatCode>
                <c:ptCount val="200"/>
                <c:pt idx="0">
                  <c:v>-8.812974999222889E-2</c:v>
                </c:pt>
                <c:pt idx="1">
                  <c:v>-9.3720503275208533E-2</c:v>
                </c:pt>
                <c:pt idx="2">
                  <c:v>-9.9665920197403446E-2</c:v>
                </c:pt>
                <c:pt idx="3">
                  <c:v>-0.10598849950779007</c:v>
                </c:pt>
                <c:pt idx="4">
                  <c:v>-0.11271216715676913</c:v>
                </c:pt>
                <c:pt idx="5">
                  <c:v>-0.11986236682039915</c:v>
                </c:pt>
                <c:pt idx="6">
                  <c:v>-0.1274661561643918</c:v>
                </c:pt>
                <c:pt idx="7">
                  <c:v>-0.13555230921138461</c:v>
                </c:pt>
                <c:pt idx="8">
                  <c:v>-0.14415142519797108</c:v>
                </c:pt>
                <c:pt idx="9">
                  <c:v>-0.15329604433232799</c:v>
                </c:pt>
                <c:pt idx="10">
                  <c:v>-0.16302077088916539</c:v>
                </c:pt>
                <c:pt idx="11">
                  <c:v>-0.17336240410625892</c:v>
                </c:pt>
                <c:pt idx="12">
                  <c:v>-0.18436007737595392</c:v>
                </c:pt>
                <c:pt idx="13">
                  <c:v>-0.19605540625611997</c:v>
                </c:pt>
                <c:pt idx="14">
                  <c:v>-0.20849264585785379</c:v>
                </c:pt>
                <c:pt idx="15">
                  <c:v>-0.22171885820224768</c:v>
                </c:pt>
                <c:pt idx="16">
                  <c:v>-0.23578409017546059</c:v>
                </c:pt>
                <c:pt idx="17">
                  <c:v>-0.25074156275079579</c:v>
                </c:pt>
                <c:pt idx="18">
                  <c:v>-0.26664787218795344</c:v>
                </c:pt>
                <c:pt idx="19">
                  <c:v>-0.28356320396395052</c:v>
                </c:pt>
                <c:pt idx="20">
                  <c:v>-0.30155156023685703</c:v>
                </c:pt>
                <c:pt idx="21">
                  <c:v>-0.32068100169302571</c:v>
                </c:pt>
                <c:pt idx="22">
                  <c:v>-0.34102390468093124</c:v>
                </c:pt>
                <c:pt idx="23">
                  <c:v>-0.36265723459007859</c:v>
                </c:pt>
                <c:pt idx="24">
                  <c:v>-0.38566283649194755</c:v>
                </c:pt>
                <c:pt idx="25">
                  <c:v>-0.41012774412173264</c:v>
                </c:pt>
                <c:pt idx="26">
                  <c:v>-0.43614450834482243</c:v>
                </c:pt>
                <c:pt idx="27">
                  <c:v>-0.46381154632039029</c:v>
                </c:pt>
                <c:pt idx="28">
                  <c:v>-0.49323351264684312</c:v>
                </c:pt>
                <c:pt idx="29">
                  <c:v>-0.52452169384940717</c:v>
                </c:pt>
                <c:pt idx="30">
                  <c:v>-0.55779442764965426</c:v>
                </c:pt>
                <c:pt idx="31">
                  <c:v>-0.59317754853980709</c:v>
                </c:pt>
                <c:pt idx="32">
                  <c:v>-0.63080486127118007</c:v>
                </c:pt>
                <c:pt idx="33">
                  <c:v>-0.67081864395637181</c:v>
                </c:pt>
                <c:pt idx="34">
                  <c:v>-0.71337018257805396</c:v>
                </c:pt>
                <c:pt idx="35">
                  <c:v>-0.75862033879375601</c:v>
                </c:pt>
                <c:pt idx="36">
                  <c:v>-0.80674015302496593</c:v>
                </c:pt>
                <c:pt idx="37">
                  <c:v>-0.85791148491999469</c:v>
                </c:pt>
                <c:pt idx="38">
                  <c:v>-0.91232769338245456</c:v>
                </c:pt>
                <c:pt idx="39">
                  <c:v>-0.97019435846035051</c:v>
                </c:pt>
                <c:pt idx="40">
                  <c:v>-1.0317300474923301</c:v>
                </c:pt>
                <c:pt idx="41">
                  <c:v>-1.0971671280082169</c:v>
                </c:pt>
                <c:pt idx="42">
                  <c:v>-1.1667526299761026</c:v>
                </c:pt>
                <c:pt idx="43">
                  <c:v>-1.240749160077592</c:v>
                </c:pt>
                <c:pt idx="44">
                  <c:v>-1.3194358707725982</c:v>
                </c:pt>
                <c:pt idx="45">
                  <c:v>-1.4031094869813352</c:v>
                </c:pt>
                <c:pt idx="46">
                  <c:v>-1.4920853932607792</c:v>
                </c:pt>
                <c:pt idx="47">
                  <c:v>-1.5866987843783342</c:v>
                </c:pt>
                <c:pt idx="48">
                  <c:v>-1.6873058821825666</c:v>
                </c:pt>
                <c:pt idx="49">
                  <c:v>-1.7942852216294414</c:v>
                </c:pt>
                <c:pt idx="50">
                  <c:v>-1.9080390087341359</c:v>
                </c:pt>
                <c:pt idx="51">
                  <c:v>-2.0289945530715428</c:v>
                </c:pt>
                <c:pt idx="52">
                  <c:v>-2.1576057772268737</c:v>
                </c:pt>
                <c:pt idx="53">
                  <c:v>-2.2943548052876399</c:v>
                </c:pt>
                <c:pt idx="54">
                  <c:v>-2.4397536320459259</c:v>
                </c:pt>
                <c:pt idx="55">
                  <c:v>-2.5943458740234906</c:v>
                </c:pt>
                <c:pt idx="56">
                  <c:v>-2.7587086027103993</c:v>
                </c:pt>
                <c:pt idx="57">
                  <c:v>-2.9334542594885376</c:v>
                </c:pt>
                <c:pt idx="58">
                  <c:v>-3.119232650550694</c:v>
                </c:pt>
                <c:pt idx="59">
                  <c:v>-3.3167330186779593</c:v>
                </c:pt>
                <c:pt idx="60">
                  <c:v>-3.5266861869430342</c:v>
                </c:pt>
                <c:pt idx="61">
                  <c:v>-3.7498667672015147</c:v>
                </c:pt>
                <c:pt idx="62">
                  <c:v>-3.9870954235339409</c:v>
                </c:pt>
                <c:pt idx="63">
                  <c:v>-4.239241177522759</c:v>
                </c:pt>
                <c:pt idx="64">
                  <c:v>-4.5072237382835381</c:v>
                </c:pt>
                <c:pt idx="65">
                  <c:v>-4.7920158353968683</c:v>
                </c:pt>
                <c:pt idx="66">
                  <c:v>-5.0946455271751159</c:v>
                </c:pt>
                <c:pt idx="67">
                  <c:v>-5.4161984498932254</c:v>
                </c:pt>
                <c:pt idx="68">
                  <c:v>-5.7578199655420326</c:v>
                </c:pt>
                <c:pt idx="69">
                  <c:v>-6.1207171561535505</c:v>
                </c:pt>
                <c:pt idx="70">
                  <c:v>-6.5061606015972524</c:v>
                </c:pt>
                <c:pt idx="71">
                  <c:v>-6.9154858647638546</c:v>
                </c:pt>
                <c:pt idx="72">
                  <c:v>-7.3500945930394836</c:v>
                </c:pt>
                <c:pt idx="73">
                  <c:v>-7.8114551277601603</c:v>
                </c:pt>
                <c:pt idx="74">
                  <c:v>-8.3011024937817961</c:v>
                </c:pt>
                <c:pt idx="75">
                  <c:v>-8.820637619345149</c:v>
                </c:pt>
                <c:pt idx="76">
                  <c:v>-9.3717256120940036</c:v>
                </c:pt>
                <c:pt idx="77">
                  <c:v>-9.9560928906131583</c:v>
                </c:pt>
                <c:pt idx="78">
                  <c:v>-10.575522942628233</c:v>
                </c:pt>
                <c:pt idx="79">
                  <c:v>-11.231850451751964</c:v>
                </c:pt>
                <c:pt idx="80">
                  <c:v>-11.926953505543906</c:v>
                </c:pt>
                <c:pt idx="81">
                  <c:v>-12.662743570296039</c:v>
                </c:pt>
                <c:pt idx="82">
                  <c:v>-13.441152894705395</c:v>
                </c:pt>
                <c:pt idx="83">
                  <c:v>-14.264118988531566</c:v>
                </c:pt>
                <c:pt idx="84">
                  <c:v>-15.133565817492086</c:v>
                </c:pt>
                <c:pt idx="85">
                  <c:v>-16.051381367028402</c:v>
                </c:pt>
                <c:pt idx="86">
                  <c:v>-17.01939126124341</c:v>
                </c:pt>
                <c:pt idx="87">
                  <c:v>-18.039328186217496</c:v>
                </c:pt>
                <c:pt idx="88">
                  <c:v>-19.112796966703936</c:v>
                </c:pt>
                <c:pt idx="89">
                  <c:v>-20.241235289590868</c:v>
                </c:pt>
                <c:pt idx="90">
                  <c:v>-21.425870263502851</c:v>
                </c:pt>
                <c:pt idx="91">
                  <c:v>-22.667671256502853</c:v>
                </c:pt>
                <c:pt idx="92">
                  <c:v>-23.967299764374911</c:v>
                </c:pt>
                <c:pt idx="93">
                  <c:v>-25.325057426171036</c:v>
                </c:pt>
                <c:pt idx="94">
                  <c:v>-26.740833709439489</c:v>
                </c:pt>
                <c:pt idx="95">
                  <c:v>-28.214055212910587</c:v>
                </c:pt>
                <c:pt idx="96">
                  <c:v>-29.74363894619762</c:v>
                </c:pt>
                <c:pt idx="97">
                  <c:v>-31.327952299844739</c:v>
                </c:pt>
                <c:pt idx="98">
                  <c:v>-32.964782661034533</c:v>
                </c:pt>
                <c:pt idx="99">
                  <c:v>-34.651319701910175</c:v>
                </c:pt>
                <c:pt idx="100">
                  <c:v>-36.384153212953606</c:v>
                </c:pt>
                <c:pt idx="101">
                  <c:v>-38.159288929954045</c:v>
                </c:pt>
                <c:pt idx="102">
                  <c:v>-39.972184090420711</c:v>
                </c:pt>
                <c:pt idx="103">
                  <c:v>-41.817803468463488</c:v>
                </c:pt>
                <c:pt idx="104">
                  <c:v>-43.69069543155824</c:v>
                </c:pt>
                <c:pt idx="105">
                  <c:v>-45.585086234537343</c:v>
                </c:pt>
                <c:pt idx="106">
                  <c:v>-47.494989444912363</c:v>
                </c:pt>
                <c:pt idx="107">
                  <c:v>-49.414326225403428</c:v>
                </c:pt>
                <c:pt idx="108">
                  <c:v>-51.337051325020489</c:v>
                </c:pt>
                <c:pt idx="109">
                  <c:v>-53.257279160508887</c:v>
                </c:pt>
                <c:pt idx="110">
                  <c:v>-55.169404366993732</c:v>
                </c:pt>
                <c:pt idx="111">
                  <c:v>-57.068211660356894</c:v>
                </c:pt>
                <c:pt idx="112">
                  <c:v>-58.948970722948971</c:v>
                </c:pt>
                <c:pt idx="113">
                  <c:v>-60.807512987502896</c:v>
                </c:pt>
                <c:pt idx="114">
                  <c:v>-62.640288510841501</c:v>
                </c:pt>
                <c:pt idx="115">
                  <c:v>-64.444402452847527</c:v>
                </c:pt>
                <c:pt idx="116">
                  <c:v>-66.217631877551554</c:v>
                </c:pt>
                <c:pt idx="117">
                  <c:v>-67.958424575397601</c:v>
                </c:pt>
                <c:pt idx="118">
                  <c:v>-69.665882312979207</c:v>
                </c:pt>
                <c:pt idx="119">
                  <c:v>-71.339731333730569</c:v>
                </c:pt>
                <c:pt idx="120">
                  <c:v>-72.980283079256338</c:v>
                </c:pt>
                <c:pt idx="121">
                  <c:v>-74.588388019066727</c:v>
                </c:pt>
                <c:pt idx="122">
                  <c:v>-76.165385222060294</c:v>
                </c:pt>
                <c:pt idx="123">
                  <c:v>-77.713049934506586</c:v>
                </c:pt>
                <c:pt idx="124">
                  <c:v>-79.233541000182456</c:v>
                </c:pt>
                <c:pt idx="125">
                  <c:v>-80.729349513101212</c:v>
                </c:pt>
                <c:pt idx="126">
                  <c:v>-82.20324966514525</c:v>
                </c:pt>
                <c:pt idx="127">
                  <c:v>-83.658252361928476</c:v>
                </c:pt>
                <c:pt idx="128">
                  <c:v>-85.097561842824959</c:v>
                </c:pt>
                <c:pt idx="129">
                  <c:v>-86.52453526007146</c:v>
                </c:pt>
                <c:pt idx="130">
                  <c:v>-87.942644946699133</c:v>
                </c:pt>
                <c:pt idx="131">
                  <c:v>-89.3554429300317</c:v>
                </c:pt>
                <c:pt idx="132">
                  <c:v>-90.766527121407606</c:v>
                </c:pt>
                <c:pt idx="133">
                  <c:v>-92.179508528396994</c:v>
                </c:pt>
                <c:pt idx="134">
                  <c:v>-93.597978788769296</c:v>
                </c:pt>
                <c:pt idx="135">
                  <c:v>-95.025477313063774</c:v>
                </c:pt>
                <c:pt idx="136">
                  <c:v>-96.465457344052638</c:v>
                </c:pt>
                <c:pt idx="137">
                  <c:v>-97.92125029788086</c:v>
                </c:pt>
                <c:pt idx="138">
                  <c:v>-99.396027846368042</c:v>
                </c:pt>
                <c:pt idx="139">
                  <c:v>-100.89276133747754</c:v>
                </c:pt>
                <c:pt idx="140">
                  <c:v>-102.4141783366487</c:v>
                </c:pt>
                <c:pt idx="141">
                  <c:v>-103.96271631060782</c:v>
                </c:pt>
                <c:pt idx="142">
                  <c:v>-105.54047377067994</c:v>
                </c:pt>
                <c:pt idx="143">
                  <c:v>-107.14915954413709</c:v>
                </c:pt>
                <c:pt idx="144">
                  <c:v>-108.7900412435831</c:v>
                </c:pt>
                <c:pt idx="145">
                  <c:v>-110.46389444153397</c:v>
                </c:pt>
                <c:pt idx="146">
                  <c:v>-112.1709545058915</c:v>
                </c:pt>
                <c:pt idx="147">
                  <c:v>-113.91087347628056</c:v>
                </c:pt>
                <c:pt idx="148">
                  <c:v>-115.68268471450963</c:v>
                </c:pt>
                <c:pt idx="149">
                  <c:v>-117.48477828930156</c:v>
                </c:pt>
                <c:pt idx="150">
                  <c:v>-119.31489009695622</c:v>
                </c:pt>
                <c:pt idx="151">
                  <c:v>-121.17010752117041</c:v>
                </c:pt>
                <c:pt idx="152">
                  <c:v>-123.04689395698165</c:v>
                </c:pt>
                <c:pt idx="153">
                  <c:v>-124.94113375170028</c:v>
                </c:pt>
                <c:pt idx="154">
                  <c:v>-126.84819807137403</c:v>
                </c:pt>
                <c:pt idx="155">
                  <c:v>-128.76303094755821</c:v>
                </c:pt>
                <c:pt idx="156">
                  <c:v>-130.68025339873608</c:v>
                </c:pt>
                <c:pt idx="157">
                  <c:v>-132.59428218674609</c:v>
                </c:pt>
                <c:pt idx="158">
                  <c:v>-134.49945860711011</c:v>
                </c:pt>
                <c:pt idx="159">
                  <c:v>-136.3901818594621</c:v>
                </c:pt>
                <c:pt idx="160">
                  <c:v>-138.26104110357781</c:v>
                </c:pt>
                <c:pt idx="161">
                  <c:v>-140.10694032946802</c:v>
                </c:pt>
                <c:pt idx="162">
                  <c:v>-141.92321064799987</c:v>
                </c:pt>
                <c:pt idx="163">
                  <c:v>-143.70570547541615</c:v>
                </c:pt>
                <c:pt idx="164">
                  <c:v>-145.45087523148527</c:v>
                </c:pt>
                <c:pt idx="165">
                  <c:v>-147.15581946547354</c:v>
                </c:pt>
                <c:pt idx="166">
                  <c:v>-148.81831563687206</c:v>
                </c:pt>
                <c:pt idx="167">
                  <c:v>-150.43682500052282</c:v>
                </c:pt>
                <c:pt idx="168">
                  <c:v>-152.01047710386734</c:v>
                </c:pt>
                <c:pt idx="169">
                  <c:v>-153.5390352597027</c:v>
                </c:pt>
                <c:pt idx="170">
                  <c:v>-155.02284600434962</c:v>
                </c:pt>
                <c:pt idx="171">
                  <c:v>-156.46277600188438</c:v>
                </c:pt>
                <c:pt idx="172">
                  <c:v>-157.86014013009537</c:v>
                </c:pt>
                <c:pt idx="173">
                  <c:v>-159.21662459906355</c:v>
                </c:pt>
                <c:pt idx="174">
                  <c:v>-160.53420891430935</c:v>
                </c:pt>
                <c:pt idx="175">
                  <c:v>-161.81509029906067</c:v>
                </c:pt>
                <c:pt idx="176">
                  <c:v>-163.06161382652499</c:v>
                </c:pt>
                <c:pt idx="177">
                  <c:v>-164.27621098163772</c:v>
                </c:pt>
                <c:pt idx="178">
                  <c:v>-165.46134868756872</c:v>
                </c:pt>
                <c:pt idx="179">
                  <c:v>-166.61949003302473</c:v>
                </c:pt>
                <c:pt idx="180">
                  <c:v>-167.75306708264208</c:v>
                </c:pt>
                <c:pt idx="181">
                  <c:v>-168.86446532075468</c:v>
                </c:pt>
                <c:pt idx="182">
                  <c:v>-169.95601854778883</c:v>
                </c:pt>
                <c:pt idx="183">
                  <c:v>-171.0300124862944</c:v>
                </c:pt>
                <c:pt idx="184">
                  <c:v>-172.08869500379279</c:v>
                </c:pt>
                <c:pt idx="185">
                  <c:v>-173.13429073487114</c:v>
                </c:pt>
                <c:pt idx="186">
                  <c:v>-174.16901796687301</c:v>
                </c:pt>
                <c:pt idx="187">
                  <c:v>-175.1951058989159</c:v>
                </c:pt>
                <c:pt idx="188">
                  <c:v>-176.21481073546909</c:v>
                </c:pt>
                <c:pt idx="189">
                  <c:v>-177.23042947286788</c:v>
                </c:pt>
                <c:pt idx="190">
                  <c:v>-178.24431062647179</c:v>
                </c:pt>
                <c:pt idx="191">
                  <c:v>-179.25886148719704</c:v>
                </c:pt>
                <c:pt idx="192">
                  <c:v>179.72344823571629</c:v>
                </c:pt>
                <c:pt idx="193">
                  <c:v>178.70008634338654</c:v>
                </c:pt>
                <c:pt idx="194">
                  <c:v>177.66846149979114</c:v>
                </c:pt>
                <c:pt idx="195">
                  <c:v>176.62592982457753</c:v>
                </c:pt>
                <c:pt idx="196">
                  <c:v>175.56980456082317</c:v>
                </c:pt>
                <c:pt idx="197">
                  <c:v>174.49736870771039</c:v>
                </c:pt>
                <c:pt idx="198">
                  <c:v>173.40589058424368</c:v>
                </c:pt>
                <c:pt idx="199">
                  <c:v>172.29264237245906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833944"/>
        <c:axId val="199700464"/>
      </c:scatterChart>
      <c:valAx>
        <c:axId val="257833944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9700464"/>
        <c:crosses val="autoZero"/>
        <c:crossBetween val="midCat"/>
      </c:valAx>
      <c:valAx>
        <c:axId val="19970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8339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|Vout</a:t>
            </a:r>
            <a:r>
              <a:rPr lang="en-US" baseline="0"/>
              <a:t> / Verr|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'8. Loop Compensation'!$AJ$1</c:f>
              <c:strCache>
                <c:ptCount val="1"/>
                <c:pt idx="0">
                  <c:v>db</c:v>
                </c:pt>
              </c:strCache>
            </c:strRef>
          </c:tx>
          <c:marker>
            <c:symbol val="none"/>
          </c:marker>
          <c:xVal>
            <c:numRef>
              <c:f>'8. Loop Compensation'!$Z$2:$Z$200</c:f>
              <c:numCache>
                <c:formatCode>General</c:formatCode>
                <c:ptCount val="199"/>
                <c:pt idx="0">
                  <c:v>1</c:v>
                </c:pt>
                <c:pt idx="1">
                  <c:v>1.0634378492473788</c:v>
                </c:pt>
                <c:pt idx="2">
                  <c:v>1.1309000592118907</c:v>
                </c:pt>
                <c:pt idx="3">
                  <c:v>1.2026419266820265</c:v>
                </c:pt>
                <c:pt idx="4">
                  <c:v>1.278934943925458</c:v>
                </c:pt>
                <c:pt idx="5">
                  <c:v>1.3600678260954062</c:v>
                </c:pt>
                <c:pt idx="6">
                  <c:v>1.4463476038134566</c:v>
                </c:pt>
                <c:pt idx="7">
                  <c:v>1.5381007850634825</c:v>
                </c:pt>
                <c:pt idx="8">
                  <c:v>1.6356745907936145</c:v>
                </c:pt>
                <c:pt idx="9">
                  <c:v>1.7394382689021479</c:v>
                </c:pt>
                <c:pt idx="10">
                  <c:v>1.849784491579884</c:v>
                </c:pt>
                <c:pt idx="11">
                  <c:v>1.967130841296868</c:v>
                </c:pt>
                <c:pt idx="12">
                  <c:v>2.0919213910569279</c:v>
                </c:pt>
                <c:pt idx="13">
                  <c:v>2.2246283849001642</c:v>
                </c:pt>
                <c:pt idx="14">
                  <c:v>2.365754025012901</c:v>
                </c:pt>
                <c:pt idx="15">
                  <c:v>2.5158323722080485</c:v>
                </c:pt>
                <c:pt idx="16">
                  <c:v>2.6754313669678584</c:v>
                </c:pt>
                <c:pt idx="17">
                  <c:v>2.8451549786972743</c:v>
                </c:pt>
                <c:pt idx="18">
                  <c:v>3.0256454913213009</c:v>
                </c:pt>
                <c:pt idx="19">
                  <c:v>3.2175859338757533</c:v>
                </c:pt>
                <c:pt idx="20">
                  <c:v>3.42170266528945</c:v>
                </c:pt>
                <c:pt idx="21">
                  <c:v>3.6387681231394358</c:v>
                </c:pt>
                <c:pt idx="22">
                  <c:v>3.8696037467813236</c:v>
                </c:pt>
                <c:pt idx="23">
                  <c:v>4.1150830859167291</c:v>
                </c:pt>
                <c:pt idx="24">
                  <c:v>4.376135106361553</c:v>
                </c:pt>
                <c:pt idx="25">
                  <c:v>4.6537477055250784</c:v>
                </c:pt>
                <c:pt idx="26">
                  <c:v>4.9489714509035139</c:v>
                </c:pt>
                <c:pt idx="27">
                  <c:v>5.2629235557355134</c:v>
                </c:pt>
                <c:pt idx="28">
                  <c:v>5.5967921068647417</c:v>
                </c:pt>
                <c:pt idx="29">
                  <c:v>5.9518405608089449</c:v>
                </c:pt>
                <c:pt idx="30">
                  <c:v>6.3294125250499764</c:v>
                </c:pt>
                <c:pt idx="31">
                  <c:v>6.7309368426385694</c:v>
                </c:pt>
                <c:pt idx="32">
                  <c:v>7.1579329993555039</c:v>
                </c:pt>
                <c:pt idx="33">
                  <c:v>7.6120168738914558</c:v>
                </c:pt>
                <c:pt idx="34">
                  <c:v>8.0949068528058863</c:v>
                </c:pt>
                <c:pt idx="35">
                  <c:v>8.6084303334057619</c:v>
                </c:pt>
                <c:pt idx="36">
                  <c:v>9.1545306391529166</c:v>
                </c:pt>
                <c:pt idx="37">
                  <c:v>9.7352743737700074</c:v>
                </c:pt>
                <c:pt idx="38">
                  <c:v>10.352859241875105</c:v>
                </c:pt>
                <c:pt idx="39">
                  <c:v>11.009622365740512</c:v>
                </c:pt>
                <c:pt idx="40">
                  <c:v>11.708049129648925</c:v>
                </c:pt>
                <c:pt idx="41">
                  <c:v>12.4507825853165</c:v>
                </c:pt>
                <c:pt idx="42">
                  <c:v>13.240633453975693</c:v>
                </c:pt>
                <c:pt idx="43">
                  <c:v>14.080590762968805</c:v>
                </c:pt>
                <c:pt idx="44">
                  <c:v>14.973833157104059</c:v>
                </c:pt>
                <c:pt idx="45">
                  <c:v>15.923740927579823</c:v>
                </c:pt>
                <c:pt idx="46">
                  <c:v>16.933908803997952</c:v>
                </c:pt>
                <c:pt idx="47">
                  <c:v>18.008159557874837</c:v>
                </c:pt>
                <c:pt idx="48">
                  <c:v>19.150558469130036</c:v>
                </c:pt>
                <c:pt idx="49">
                  <c:v>20.365428710297824</c:v>
                </c:pt>
                <c:pt idx="50">
                  <c:v>21.657367706679931</c:v>
                </c:pt>
                <c:pt idx="51">
                  <c:v>23.031264534351347</c:v>
                </c:pt>
                <c:pt idx="52">
                  <c:v>24.492318421858034</c:v>
                </c:pt>
                <c:pt idx="53">
                  <c:v>26.046058425622668</c:v>
                </c:pt>
                <c:pt idx="54">
                  <c:v>27.698364353515743</c:v>
                </c:pt>
                <c:pt idx="55">
                  <c:v>29.45548901577305</c:v>
                </c:pt>
                <c:pt idx="56">
                  <c:v>31.324081887463471</c:v>
                </c:pt>
                <c:pt idx="57">
                  <c:v>33.311214272052936</c:v>
                </c:pt>
                <c:pt idx="58">
                  <c:v>35.424406061290533</c:v>
                </c:pt>
                <c:pt idx="59">
                  <c:v>37.67165419268462</c:v>
                </c:pt>
                <c:pt idx="60">
                  <c:v>40.061462912259522</c:v>
                </c:pt>
                <c:pt idx="61">
                  <c:v>42.602875957116908</c:v>
                </c:pt>
                <c:pt idx="62">
                  <c:v>45.305510779589277</c:v>
                </c:pt>
                <c:pt idx="63">
                  <c:v>48.179594942500358</c:v>
                </c:pt>
                <c:pt idx="64">
                  <c:v>51.236004823262483</c:v>
                </c:pt>
                <c:pt idx="65">
                  <c:v>54.486306773278585</c:v>
                </c:pt>
                <c:pt idx="66">
                  <c:v>57.94280088840825</c:v>
                </c:pt>
                <c:pt idx="67">
                  <c:v>61.61856755613799</c:v>
                </c:pt>
                <c:pt idx="68">
                  <c:v>65.527516955603716</c:v>
                </c:pt>
                <c:pt idx="69">
                  <c:v>69.684441697788372</c:v>
                </c:pt>
                <c:pt idx="70">
                  <c:v>74.105072805100434</c:v>
                </c:pt>
                <c:pt idx="71">
                  <c:v>78.806139242176371</c:v>
                </c:pt>
                <c:pt idx="72">
                  <c:v>83.805431223189501</c:v>
                </c:pt>
                <c:pt idx="73">
                  <c:v>89.121867535237712</c:v>
                </c:pt>
                <c:pt idx="74">
                  <c:v>94.775567132582992</c:v>
                </c:pt>
                <c:pt idx="75">
                  <c:v>100.78792527267464</c:v>
                </c:pt>
                <c:pt idx="76">
                  <c:v>107.18169448207877</c:v>
                </c:pt>
                <c:pt idx="77">
                  <c:v>113.98107065871142</c:v>
                </c:pt>
                <c:pt idx="78">
                  <c:v>121.21178463621371</c:v>
                </c:pt>
                <c:pt idx="79">
                  <c:v>128.90119955697148</c:v>
                </c:pt>
                <c:pt idx="80">
                  <c:v>137.07841442227294</c:v>
                </c:pt>
                <c:pt idx="81">
                  <c:v>145.77437421146283</c:v>
                </c:pt>
                <c:pt idx="82">
                  <c:v>155.02198698682062</c:v>
                </c:pt>
                <c:pt idx="83">
                  <c:v>164.85624842731968</c:v>
                </c:pt>
                <c:pt idx="84">
                  <c:v>175.3143742625403</c:v>
                </c:pt>
                <c:pt idx="85">
                  <c:v>186.43594110790573</c:v>
                </c:pt>
                <c:pt idx="86">
                  <c:v>198.26303623420247</c:v>
                </c:pt>
                <c:pt idx="87">
                  <c:v>210.84041683815525</c:v>
                </c:pt>
                <c:pt idx="88">
                  <c:v>224.21567941678887</c:v>
                </c:pt>
                <c:pt idx="89">
                  <c:v>238.43943988652958</c:v>
                </c:pt>
                <c:pt idx="90">
                  <c:v>253.56552512868072</c:v>
                </c:pt>
                <c:pt idx="91">
                  <c:v>269.65117668612646</c:v>
                </c:pt>
                <c:pt idx="92">
                  <c:v>286.75726738211927</c:v>
                </c:pt>
                <c:pt idx="93">
                  <c:v>304.94853168089651</c:v>
                </c:pt>
                <c:pt idx="94">
                  <c:v>324.29381066187881</c:v>
                </c:pt>
                <c:pt idx="95">
                  <c:v>344.8663125345048</c:v>
                </c:pt>
                <c:pt idx="96">
                  <c:v>366.74388967956821</c:v>
                </c:pt>
                <c:pt idx="97">
                  <c:v>390.00933326545766</c:v>
                </c:pt>
                <c:pt idx="98">
                  <c:v>414.75068655422291</c:v>
                </c:pt>
                <c:pt idx="99">
                  <c:v>441.06157808309626</c:v>
                </c:pt>
                <c:pt idx="100">
                  <c:v>469.04157598234281</c:v>
                </c:pt>
                <c:pt idx="101">
                  <c:v>498.79656477026373</c:v>
                </c:pt>
                <c:pt idx="102">
                  <c:v>530.4391460512702</c:v>
                </c:pt>
                <c:pt idx="103">
                  <c:v>564.08906463337905</c:v>
                </c:pt>
                <c:pt idx="104">
                  <c:v>599.87366167768641</c:v>
                </c:pt>
                <c:pt idx="105">
                  <c:v>637.92835659466812</c:v>
                </c:pt>
                <c:pt idx="106">
                  <c:v>678.39715951094945</c:v>
                </c:pt>
                <c:pt idx="107">
                  <c:v>721.43321624585462</c:v>
                </c:pt>
                <c:pt idx="108">
                  <c:v>767.19938786011153</c:v>
                </c:pt>
                <c:pt idx="109">
                  <c:v>815.86886696986198</c:v>
                </c:pt>
                <c:pt idx="110">
                  <c:v>867.62583315832671</c:v>
                </c:pt>
                <c:pt idx="111">
                  <c:v>922.66614996535543</c:v>
                </c:pt>
                <c:pt idx="112">
                  <c:v>981.19810609251715</c:v>
                </c:pt>
                <c:pt idx="113">
                  <c:v>1043.443203628628</c:v>
                </c:pt>
                <c:pt idx="114">
                  <c:v>1109.6369962786232</c:v>
                </c:pt>
                <c:pt idx="115">
                  <c:v>1180.0299807678607</c:v>
                </c:pt>
                <c:pt idx="116">
                  <c:v>1254.8885447951977</c:v>
                </c:pt>
                <c:pt idx="117">
                  <c:v>1334.4959751221782</c:v>
                </c:pt>
                <c:pt idx="118">
                  <c:v>1419.1535296132129</c:v>
                </c:pt>
                <c:pt idx="119">
                  <c:v>1509.1815772837017</c:v>
                </c:pt>
                <c:pt idx="120">
                  <c:v>1604.9208106703452</c:v>
                </c:pt>
                <c:pt idx="121">
                  <c:v>1706.7335351116335</c:v>
                </c:pt>
                <c:pt idx="122">
                  <c:v>1815.0050398174897</c:v>
                </c:pt>
                <c:pt idx="123">
                  <c:v>1930.1450559166665</c:v>
                </c:pt>
                <c:pt idx="124">
                  <c:v>2052.58930699948</c:v>
                </c:pt>
                <c:pt idx="125">
                  <c:v>2182.8011580236971</c:v>
                </c:pt>
                <c:pt idx="126">
                  <c:v>2321.2733688234066</c:v>
                </c:pt>
                <c:pt idx="127">
                  <c:v>2468.5299588567814</c:v>
                </c:pt>
                <c:pt idx="128">
                  <c:v>2625.1281902493761</c:v>
                </c:pt>
                <c:pt idx="129">
                  <c:v>2791.6606766374607</c:v>
                </c:pt>
                <c:pt idx="130">
                  <c:v>2968.757625791824</c:v>
                </c:pt>
                <c:pt idx="131">
                  <c:v>3157.0892245088098</c:v>
                </c:pt>
                <c:pt idx="132">
                  <c:v>3357.3681747937244</c:v>
                </c:pt>
                <c:pt idx="133">
                  <c:v>3570.3523909342362</c:v>
                </c:pt>
                <c:pt idx="134">
                  <c:v>3796.8478676703417</c:v>
                </c:pt>
                <c:pt idx="135">
                  <c:v>4037.7117303148448</c:v>
                </c:pt>
                <c:pt idx="136">
                  <c:v>4293.8554783669315</c:v>
                </c:pt>
                <c:pt idx="137">
                  <c:v>4566.248434893605</c:v>
                </c:pt>
                <c:pt idx="138">
                  <c:v>4855.9214147324665</c:v>
                </c:pt>
                <c:pt idx="139">
                  <c:v>5163.9706253973836</c:v>
                </c:pt>
                <c:pt idx="140">
                  <c:v>5491.5618154492358</c:v>
                </c:pt>
                <c:pt idx="141">
                  <c:v>5839.9346860303567</c:v>
                </c:pt>
                <c:pt idx="142">
                  <c:v>6210.4075822572904</c:v>
                </c:pt>
                <c:pt idx="143">
                  <c:v>6604.3824822253073</c:v>
                </c:pt>
                <c:pt idx="144">
                  <c:v>7023.3503025047467</c:v>
                </c:pt>
                <c:pt idx="145">
                  <c:v>7468.8965402065769</c:v>
                </c:pt>
                <c:pt idx="146">
                  <c:v>7942.7072729684578</c:v>
                </c:pt>
                <c:pt idx="147">
                  <c:v>8446.5755395671058</c:v>
                </c:pt>
                <c:pt idx="148">
                  <c:v>8982.4081253027471</c:v>
                </c:pt>
                <c:pt idx="149">
                  <c:v>9552.2327778341514</c:v>
                </c:pt>
                <c:pt idx="150">
                  <c:v>10158.205880770249</c:v>
                </c:pt>
                <c:pt idx="151">
                  <c:v>10802.620614058389</c:v>
                </c:pt>
                <c:pt idx="152">
                  <c:v>11487.915632049675</c:v>
                </c:pt>
                <c:pt idx="153">
                  <c:v>12216.684292082227</c:v>
                </c:pt>
                <c:pt idx="154">
                  <c:v>12991.684468506162</c:v>
                </c:pt>
                <c:pt idx="155">
                  <c:v>13815.848989288772</c:v>
                </c:pt>
                <c:pt idx="156">
                  <c:v>14692.296734695852</c:v>
                </c:pt>
                <c:pt idx="157">
                  <c:v>15624.344440049217</c:v>
                </c:pt>
                <c:pt idx="158">
                  <c:v>16615.519247226184</c:v>
                </c:pt>
                <c:pt idx="159">
                  <c:v>17669.572052398642</c:v>
                </c:pt>
                <c:pt idx="160">
                  <c:v>18790.49170052441</c:v>
                </c:pt>
                <c:pt idx="161">
                  <c:v>19982.5200803064</c:v>
                </c:pt>
                <c:pt idx="162">
                  <c:v>21250.168176743602</c:v>
                </c:pt>
                <c:pt idx="163">
                  <c:v>22598.233142021272</c:v>
                </c:pt>
                <c:pt idx="164">
                  <c:v>24031.816449341983</c:v>
                </c:pt>
                <c:pt idx="165">
                  <c:v>25556.343198396022</c:v>
                </c:pt>
                <c:pt idx="166">
                  <c:v>27177.582645530147</c:v>
                </c:pt>
                <c:pt idx="167">
                  <c:v>28901.670036305419</c:v>
                </c:pt>
                <c:pt idx="168">
                  <c:v>30735.129823066054</c:v>
                </c:pt>
                <c:pt idx="169">
                  <c:v>32684.900355380338</c:v>
                </c:pt>
                <c:pt idx="170">
                  <c:v>34758.360136790499</c:v>
                </c:pt>
                <c:pt idx="171">
                  <c:v>36963.355747234389</c:v>
                </c:pt>
                <c:pt idx="172">
                  <c:v>39308.231536804677</c:v>
                </c:pt>
                <c:pt idx="173">
                  <c:v>41801.861203217486</c:v>
                </c:pt>
                <c:pt idx="174">
                  <c:v>44453.681372487059</c:v>
                </c:pt>
                <c:pt idx="175">
                  <c:v>47273.727309885995</c:v>
                </c:pt>
                <c:pt idx="176">
                  <c:v>50272.670896332245</c:v>
                </c:pt>
                <c:pt idx="177">
                  <c:v>53461.861013916772</c:v>
                </c:pt>
                <c:pt idx="178">
                  <c:v>56853.366493401947</c:v>
                </c:pt>
                <c:pt idx="179">
                  <c:v>60460.02178621637</c:v>
                </c:pt>
                <c:pt idx="180">
                  <c:v>64295.47553378361</c:v>
                </c:pt>
                <c:pt idx="181">
                  <c:v>68374.242217984312</c:v>
                </c:pt>
                <c:pt idx="182">
                  <c:v>72711.757088212587</c:v>
                </c:pt>
                <c:pt idx="183">
                  <c:v>77324.434572886516</c:v>
                </c:pt>
                <c:pt idx="184">
                  <c:v>82229.730396460247</c:v>
                </c:pt>
                <c:pt idx="185">
                  <c:v>87446.207637003507</c:v>
                </c:pt>
                <c:pt idx="186">
                  <c:v>92993.606974334747</c:v>
                </c:pt>
                <c:pt idx="187">
                  <c:v>98892.921394542427</c:v>
                </c:pt>
                <c:pt idx="188">
                  <c:v>105166.47563360249</c:v>
                </c:pt>
                <c:pt idx="189">
                  <c:v>111838.01066072512</c:v>
                </c:pt>
                <c:pt idx="190">
                  <c:v>118932.77352114675</c:v>
                </c:pt>
                <c:pt idx="191">
                  <c:v>126477.61287835392</c:v>
                </c:pt>
                <c:pt idx="192">
                  <c:v>134501.0806172993</c:v>
                </c:pt>
                <c:pt idx="193">
                  <c:v>143033.53989310883</c:v>
                </c:pt>
                <c:pt idx="194">
                  <c:v>152107.28003416685</c:v>
                </c:pt>
                <c:pt idx="195">
                  <c:v>161756.63873440344</c:v>
                </c:pt>
                <c:pt idx="196">
                  <c:v>172018.13199719929</c:v>
                </c:pt>
                <c:pt idx="197">
                  <c:v>182930.59232265301</c:v>
                </c:pt>
                <c:pt idx="198">
                  <c:v>194535.31566115122</c:v>
                </c:pt>
              </c:numCache>
            </c:numRef>
          </c:xVal>
          <c:yVal>
            <c:numRef>
              <c:f>'8. Loop Compensation'!$AJ$2:$AJ$200</c:f>
              <c:numCache>
                <c:formatCode>General</c:formatCode>
                <c:ptCount val="199"/>
                <c:pt idx="0">
                  <c:v>25.472476531958883</c:v>
                </c:pt>
                <c:pt idx="1">
                  <c:v>25.472475299591053</c:v>
                </c:pt>
                <c:pt idx="2">
                  <c:v>25.472473905906696</c:v>
                </c:pt>
                <c:pt idx="3">
                  <c:v>25.472472329789518</c:v>
                </c:pt>
                <c:pt idx="4">
                  <c:v>25.472470547359176</c:v>
                </c:pt>
                <c:pt idx="5">
                  <c:v>25.472468531609454</c:v>
                </c:pt>
                <c:pt idx="6">
                  <c:v>25.472466251999162</c:v>
                </c:pt>
                <c:pt idx="7">
                  <c:v>25.472463673989139</c:v>
                </c:pt>
                <c:pt idx="8">
                  <c:v>25.472460758519347</c:v>
                </c:pt>
                <c:pt idx="9">
                  <c:v>25.47245746141671</c:v>
                </c:pt>
                <c:pt idx="10">
                  <c:v>25.472453732726201</c:v>
                </c:pt>
                <c:pt idx="11">
                  <c:v>25.472449515953759</c:v>
                </c:pt>
                <c:pt idx="12">
                  <c:v>25.472444747210538</c:v>
                </c:pt>
                <c:pt idx="13">
                  <c:v>25.472439354244795</c:v>
                </c:pt>
                <c:pt idx="14">
                  <c:v>25.47243325534771</c:v>
                </c:pt>
                <c:pt idx="15">
                  <c:v>25.472426358114927</c:v>
                </c:pt>
                <c:pt idx="16">
                  <c:v>25.472418558047266</c:v>
                </c:pt>
                <c:pt idx="17">
                  <c:v>25.472409736967197</c:v>
                </c:pt>
                <c:pt idx="18">
                  <c:v>25.4723997612289</c:v>
                </c:pt>
                <c:pt idx="19">
                  <c:v>25.47238847969362</c:v>
                </c:pt>
                <c:pt idx="20">
                  <c:v>25.472375721440113</c:v>
                </c:pt>
                <c:pt idx="21">
                  <c:v>25.472361293175801</c:v>
                </c:pt>
                <c:pt idx="22">
                  <c:v>25.472344976308854</c:v>
                </c:pt>
                <c:pt idx="23">
                  <c:v>25.472326523637197</c:v>
                </c:pt>
                <c:pt idx="24">
                  <c:v>25.472305655604565</c:v>
                </c:pt>
                <c:pt idx="25">
                  <c:v>25.47228205606654</c:v>
                </c:pt>
                <c:pt idx="26">
                  <c:v>25.472255367502665</c:v>
                </c:pt>
                <c:pt idx="27">
                  <c:v>25.472225185602628</c:v>
                </c:pt>
                <c:pt idx="28">
                  <c:v>25.472191053143835</c:v>
                </c:pt>
                <c:pt idx="29">
                  <c:v>25.472152453068603</c:v>
                </c:pt>
                <c:pt idx="30">
                  <c:v>25.472108800656269</c:v>
                </c:pt>
                <c:pt idx="31">
                  <c:v>25.472059434671344</c:v>
                </c:pt>
                <c:pt idx="32">
                  <c:v>25.472003607354829</c:v>
                </c:pt>
                <c:pt idx="33">
                  <c:v>25.471940473107324</c:v>
                </c:pt>
                <c:pt idx="34">
                  <c:v>25.471869075693334</c:v>
                </c:pt>
                <c:pt idx="35">
                  <c:v>25.471788333773432</c:v>
                </c:pt>
                <c:pt idx="36">
                  <c:v>25.471697024547172</c:v>
                </c:pt>
                <c:pt idx="37">
                  <c:v>25.471593765259989</c:v>
                </c:pt>
                <c:pt idx="38">
                  <c:v>25.471476992295834</c:v>
                </c:pt>
                <c:pt idx="39">
                  <c:v>25.471344937541623</c:v>
                </c:pt>
                <c:pt idx="40">
                  <c:v>25.471195601669269</c:v>
                </c:pt>
                <c:pt idx="41">
                  <c:v>25.471026723933797</c:v>
                </c:pt>
                <c:pt idx="42">
                  <c:v>25.470835748036066</c:v>
                </c:pt>
                <c:pt idx="43">
                  <c:v>25.470619783540137</c:v>
                </c:pt>
                <c:pt idx="44">
                  <c:v>25.470375562269084</c:v>
                </c:pt>
                <c:pt idx="45">
                  <c:v>25.47009938903107</c:v>
                </c:pt>
                <c:pt idx="46">
                  <c:v>25.469787085942485</c:v>
                </c:pt>
                <c:pt idx="47">
                  <c:v>25.469433929525191</c:v>
                </c:pt>
                <c:pt idx="48">
                  <c:v>25.46903457964742</c:v>
                </c:pt>
                <c:pt idx="49">
                  <c:v>25.468582999263013</c:v>
                </c:pt>
                <c:pt idx="50">
                  <c:v>25.468072363772976</c:v>
                </c:pt>
                <c:pt idx="51">
                  <c:v>25.467494958684959</c:v>
                </c:pt>
                <c:pt idx="52">
                  <c:v>25.466842064085355</c:v>
                </c:pt>
                <c:pt idx="53">
                  <c:v>25.466103824255413</c:v>
                </c:pt>
                <c:pt idx="54">
                  <c:v>25.465269100560288</c:v>
                </c:pt>
                <c:pt idx="55">
                  <c:v>25.464325305515754</c:v>
                </c:pt>
                <c:pt idx="56">
                  <c:v>25.463258215689354</c:v>
                </c:pt>
                <c:pt idx="57">
                  <c:v>25.462051760818348</c:v>
                </c:pt>
                <c:pt idx="58">
                  <c:v>25.46068778622725</c:v>
                </c:pt>
                <c:pt idx="59">
                  <c:v>25.459145785298148</c:v>
                </c:pt>
                <c:pt idx="60">
                  <c:v>25.457402598392314</c:v>
                </c:pt>
                <c:pt idx="61">
                  <c:v>25.455432074234317</c:v>
                </c:pt>
                <c:pt idx="62">
                  <c:v>25.453204689359744</c:v>
                </c:pt>
                <c:pt idx="63">
                  <c:v>25.450687120790509</c:v>
                </c:pt>
                <c:pt idx="64">
                  <c:v>25.447841766644711</c:v>
                </c:pt>
                <c:pt idx="65">
                  <c:v>25.444626208919928</c:v>
                </c:pt>
                <c:pt idx="66">
                  <c:v>25.440992612216789</c:v>
                </c:pt>
                <c:pt idx="67">
                  <c:v>25.436887051708293</c:v>
                </c:pt>
                <c:pt idx="68">
                  <c:v>25.432248763234465</c:v>
                </c:pt>
                <c:pt idx="69">
                  <c:v>25.427009308031788</c:v>
                </c:pt>
                <c:pt idx="70">
                  <c:v>25.421091644331032</c:v>
                </c:pt>
                <c:pt idx="71">
                  <c:v>25.414409097922825</c:v>
                </c:pt>
                <c:pt idx="72">
                  <c:v>25.406864223853233</c:v>
                </c:pt>
                <c:pt idx="73">
                  <c:v>25.398347551746188</c:v>
                </c:pt>
                <c:pt idx="74">
                  <c:v>25.388736207950512</c:v>
                </c:pt>
                <c:pt idx="75">
                  <c:v>25.377892408885838</c:v>
                </c:pt>
                <c:pt idx="76">
                  <c:v>25.365661821750578</c:v>
                </c:pt>
                <c:pt idx="77">
                  <c:v>25.35187179132274</c:v>
                </c:pt>
                <c:pt idx="78">
                  <c:v>25.336329435107963</c:v>
                </c:pt>
                <c:pt idx="79">
                  <c:v>25.318819613795995</c:v>
                </c:pt>
                <c:pt idx="80">
                  <c:v>25.299102790095343</c:v>
                </c:pt>
                <c:pt idx="81">
                  <c:v>25.276912796784291</c:v>
                </c:pt>
                <c:pt idx="82">
                  <c:v>25.251954544478323</c:v>
                </c:pt>
                <c:pt idx="83">
                  <c:v>25.223901711389814</c:v>
                </c:pt>
                <c:pt idx="84">
                  <c:v>25.192394471395069</c:v>
                </c:pt>
                <c:pt idx="85">
                  <c:v>25.157037333071941</c:v>
                </c:pt>
                <c:pt idx="86">
                  <c:v>25.117397180895402</c:v>
                </c:pt>
                <c:pt idx="87">
                  <c:v>25.073001630101341</c:v>
                </c:pt>
                <c:pt idx="88">
                  <c:v>25.02333782811812</c:v>
                </c:pt>
                <c:pt idx="89">
                  <c:v>24.967851856767936</c:v>
                </c:pt>
                <c:pt idx="90">
                  <c:v>24.905948908948865</c:v>
                </c:pt>
                <c:pt idx="91">
                  <c:v>24.836994428936467</c:v>
                </c:pt>
                <c:pt idx="92">
                  <c:v>24.760316413888617</c:v>
                </c:pt>
                <c:pt idx="93">
                  <c:v>24.675209072158374</c:v>
                </c:pt>
                <c:pt idx="94">
                  <c:v>24.58093801786541</c:v>
                </c:pt>
                <c:pt idx="95">
                  <c:v>24.476747147127647</c:v>
                </c:pt>
                <c:pt idx="96">
                  <c:v>24.361867286308172</c:v>
                </c:pt>
                <c:pt idx="97">
                  <c:v>24.235526624807665</c:v>
                </c:pt>
                <c:pt idx="98">
                  <c:v>24.096962844720888</c:v>
                </c:pt>
                <c:pt idx="99">
                  <c:v>23.945436740443412</c:v>
                </c:pt>
                <c:pt idx="100">
                  <c:v>23.780246989999931</c:v>
                </c:pt>
                <c:pt idx="101">
                  <c:v>23.600745607134282</c:v>
                </c:pt>
                <c:pt idx="102">
                  <c:v>23.406353482903555</c:v>
                </c:pt>
                <c:pt idx="103">
                  <c:v>23.196575333373936</c:v>
                </c:pt>
                <c:pt idx="104">
                  <c:v>22.971013321461818</c:v>
                </c:pt>
                <c:pt idx="105">
                  <c:v>22.729378628526931</c:v>
                </c:pt>
                <c:pt idx="106">
                  <c:v>22.471500321916686</c:v>
                </c:pt>
                <c:pt idx="107">
                  <c:v>22.197330997470949</c:v>
                </c:pt>
                <c:pt idx="108">
                  <c:v>21.906948861604064</c:v>
                </c:pt>
                <c:pt idx="109">
                  <c:v>21.600556138649452</c:v>
                </c:pt>
                <c:pt idx="110">
                  <c:v>21.278473922783533</c:v>
                </c:pt>
                <c:pt idx="111">
                  <c:v>20.941133815122658</c:v>
                </c:pt>
                <c:pt idx="112">
                  <c:v>20.589066872583821</c:v>
                </c:pt>
                <c:pt idx="113">
                  <c:v>20.222890528438104</c:v>
                </c:pt>
                <c:pt idx="114">
                  <c:v>19.843294215685546</c:v>
                </c:pt>
                <c:pt idx="115">
                  <c:v>19.45102443257548</c:v>
                </c:pt>
                <c:pt idx="116">
                  <c:v>19.046869941644893</c:v>
                </c:pt>
                <c:pt idx="117">
                  <c:v>18.631647702037959</c:v>
                </c:pt>
                <c:pt idx="118">
                  <c:v>18.206190015016503</c:v>
                </c:pt>
                <c:pt idx="119">
                  <c:v>17.77133323016988</c:v>
                </c:pt>
                <c:pt idx="120">
                  <c:v>17.327908228727178</c:v>
                </c:pt>
                <c:pt idx="121">
                  <c:v>16.876732781208119</c:v>
                </c:pt>
                <c:pt idx="122">
                  <c:v>16.418605776337181</c:v>
                </c:pt>
                <c:pt idx="123">
                  <c:v>15.954303240010027</c:v>
                </c:pt>
                <c:pt idx="124">
                  <c:v>15.484576007471553</c:v>
                </c:pt>
                <c:pt idx="125">
                  <c:v>15.01014887687675</c:v>
                </c:pt>
                <c:pt idx="126">
                  <c:v>14.531721054835764</c:v>
                </c:pt>
                <c:pt idx="127">
                  <c:v>14.049967700546279</c:v>
                </c:pt>
                <c:pt idx="128">
                  <c:v>13.565542380754561</c:v>
                </c:pt>
                <c:pt idx="129">
                  <c:v>13.079080259435665</c:v>
                </c:pt>
                <c:pt idx="130">
                  <c:v>12.591201860614415</c:v>
                </c:pt>
                <c:pt idx="131">
                  <c:v>12.102517257627603</c:v>
                </c:pt>
                <c:pt idx="132">
                  <c:v>11.613630555409566</c:v>
                </c:pt>
                <c:pt idx="133">
                  <c:v>11.125144542653517</c:v>
                </c:pt>
                <c:pt idx="134">
                  <c:v>10.637665397032549</c:v>
                </c:pt>
                <c:pt idx="135">
                  <c:v>10.151807328528937</c:v>
                </c:pt>
                <c:pt idx="136">
                  <c:v>9.6681970431740787</c:v>
                </c:pt>
                <c:pt idx="137">
                  <c:v>9.1874779023512705</c:v>
                </c:pt>
                <c:pt idx="138">
                  <c:v>8.7103136418560787</c:v>
                </c:pt>
                <c:pt idx="139">
                  <c:v>8.2373915011472061</c:v>
                </c:pt>
                <c:pt idx="140">
                  <c:v>7.7694245981648136</c:v>
                </c:pt>
                <c:pt idx="141">
                  <c:v>7.3071533707759606</c:v>
                </c:pt>
                <c:pt idx="142">
                  <c:v>6.8513458949779107</c:v>
                </c:pt>
                <c:pt idx="143">
                  <c:v>6.4027968856574997</c:v>
                </c:pt>
                <c:pt idx="144">
                  <c:v>5.962325191658179</c:v>
                </c:pt>
                <c:pt idx="145">
                  <c:v>5.5307696170684872</c:v>
                </c:pt>
                <c:pt idx="146">
                  <c:v>5.1089829387619092</c:v>
                </c:pt>
                <c:pt idx="147">
                  <c:v>4.6978240492697445</c:v>
                </c:pt>
                <c:pt idx="148">
                  <c:v>4.2981482355138514</c:v>
                </c:pt>
                <c:pt idx="149">
                  <c:v>3.9107957068739712</c:v>
                </c:pt>
                <c:pt idx="150">
                  <c:v>3.5365786064769775</c:v>
                </c:pt>
                <c:pt idx="151">
                  <c:v>3.1762668697999752</c:v>
                </c:pt>
                <c:pt idx="152">
                  <c:v>2.8305734233134277</c:v>
                </c:pt>
                <c:pt idx="153">
                  <c:v>2.5001393286434648</c:v>
                </c:pt>
                <c:pt idx="154">
                  <c:v>2.1855195588315359</c:v>
                </c:pt>
                <c:pt idx="155">
                  <c:v>1.8871701277847746</c:v>
                </c:pt>
                <c:pt idx="156">
                  <c:v>1.6054372705636837</c:v>
                </c:pt>
                <c:pt idx="157">
                  <c:v>1.3405492855853294</c:v>
                </c:pt>
                <c:pt idx="158">
                  <c:v>1.0926115030898484</c:v>
                </c:pt>
                <c:pt idx="159">
                  <c:v>0.86160464903800182</c:v>
                </c:pt>
                <c:pt idx="160">
                  <c:v>0.64738664936113022</c:v>
                </c:pt>
                <c:pt idx="161">
                  <c:v>0.44969769058483788</c:v>
                </c:pt>
                <c:pt idx="162">
                  <c:v>0.26816814495641306</c:v>
                </c:pt>
                <c:pt idx="163">
                  <c:v>0.10232880415338436</c:v>
                </c:pt>
                <c:pt idx="164">
                  <c:v>-4.8377238104631112E-2</c:v>
                </c:pt>
                <c:pt idx="165">
                  <c:v>-0.18458174979365585</c:v>
                </c:pt>
                <c:pt idx="166">
                  <c:v>-0.30697823468268359</c:v>
                </c:pt>
                <c:pt idx="167">
                  <c:v>-0.41630909235859881</c:v>
                </c:pt>
                <c:pt idx="168">
                  <c:v>-0.5133535099385903</c:v>
                </c:pt>
                <c:pt idx="169">
                  <c:v>-0.59891637938276354</c:v>
                </c:pt>
                <c:pt idx="170">
                  <c:v>-0.67381838051316756</c:v>
                </c:pt>
                <c:pt idx="171">
                  <c:v>-0.73888723242279775</c:v>
                </c:pt>
                <c:pt idx="172">
                  <c:v>-0.79495000958391571</c:v>
                </c:pt>
                <c:pt idx="173">
                  <c:v>-0.84282635315773757</c:v>
                </c:pt>
                <c:pt idx="174">
                  <c:v>-0.8833223863264239</c:v>
                </c:pt>
                <c:pt idx="175">
                  <c:v>-0.91722516227297712</c:v>
                </c:pt>
                <c:pt idx="176">
                  <c:v>-0.94529752637415121</c:v>
                </c:pt>
                <c:pt idx="177">
                  <c:v>-0.96827334747399696</c:v>
                </c:pt>
                <c:pt idx="178">
                  <c:v>-0.98685315160484166</c:v>
                </c:pt>
                <c:pt idx="179">
                  <c:v>-1.001700260169422</c:v>
                </c:pt>
                <c:pt idx="180">
                  <c:v>-1.0134375810746494</c:v>
                </c:pt>
                <c:pt idx="181">
                  <c:v>-1.0226452181089138</c:v>
                </c:pt>
                <c:pt idx="182">
                  <c:v>-1.0298590493927262</c:v>
                </c:pt>
                <c:pt idx="183">
                  <c:v>-1.035570384180686</c:v>
                </c:pt>
                <c:pt idx="184">
                  <c:v>-1.0402267472339768</c:v>
                </c:pt>
                <c:pt idx="185">
                  <c:v>-1.0442337722807766</c:v>
                </c:pt>
                <c:pt idx="186">
                  <c:v>-1.047958121522599</c:v>
                </c:pt>
                <c:pt idx="187">
                  <c:v>-1.0517312954650344</c:v>
                </c:pt>
                <c:pt idx="188">
                  <c:v>-1.0558541620173869</c:v>
                </c:pt>
                <c:pt idx="189">
                  <c:v>-1.0606020176565076</c:v>
                </c:pt>
                <c:pt idx="190">
                  <c:v>-1.0662299951743694</c:v>
                </c:pt>
                <c:pt idx="191">
                  <c:v>-1.07297864853152</c:v>
                </c:pt>
                <c:pt idx="192">
                  <c:v>-1.0810795708809884</c:v>
                </c:pt>
                <c:pt idx="193">
                  <c:v>-1.0907609319802984</c:v>
                </c:pt>
                <c:pt idx="194">
                  <c:v>-1.102252851599768</c:v>
                </c:pt>
                <c:pt idx="195">
                  <c:v>-1.1157925527486028</c:v>
                </c:pt>
                <c:pt idx="196">
                  <c:v>-1.1316292602592768</c:v>
                </c:pt>
                <c:pt idx="197">
                  <c:v>-1.1500288251872004</c:v>
                </c:pt>
                <c:pt idx="198">
                  <c:v>-1.1712780631188773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799056"/>
        <c:axId val="257594136"/>
      </c:scatterChart>
      <c:valAx>
        <c:axId val="257799056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7594136"/>
        <c:crosses val="autoZero"/>
        <c:crossBetween val="midCat"/>
      </c:valAx>
      <c:valAx>
        <c:axId val="257594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799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Phase of Verr</a:t>
            </a:r>
            <a:r>
              <a:rPr lang="en-US" baseline="0"/>
              <a:t> / Vout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'8. Loop Compensation'!$AQ$1</c:f>
              <c:strCache>
                <c:ptCount val="1"/>
                <c:pt idx="0">
                  <c:v>°</c:v>
                </c:pt>
              </c:strCache>
            </c:strRef>
          </c:tx>
          <c:marker>
            <c:symbol val="none"/>
          </c:marker>
          <c:xVal>
            <c:numRef>
              <c:f>'8. Loop Compensation'!$Z$2:$Z$201</c:f>
              <c:numCache>
                <c:formatCode>General</c:formatCode>
                <c:ptCount val="200"/>
                <c:pt idx="0">
                  <c:v>1</c:v>
                </c:pt>
                <c:pt idx="1">
                  <c:v>1.0634378492473788</c:v>
                </c:pt>
                <c:pt idx="2">
                  <c:v>1.1309000592118907</c:v>
                </c:pt>
                <c:pt idx="3">
                  <c:v>1.2026419266820265</c:v>
                </c:pt>
                <c:pt idx="4">
                  <c:v>1.278934943925458</c:v>
                </c:pt>
                <c:pt idx="5">
                  <c:v>1.3600678260954062</c:v>
                </c:pt>
                <c:pt idx="6">
                  <c:v>1.4463476038134566</c:v>
                </c:pt>
                <c:pt idx="7">
                  <c:v>1.5381007850634825</c:v>
                </c:pt>
                <c:pt idx="8">
                  <c:v>1.6356745907936145</c:v>
                </c:pt>
                <c:pt idx="9">
                  <c:v>1.7394382689021479</c:v>
                </c:pt>
                <c:pt idx="10">
                  <c:v>1.849784491579884</c:v>
                </c:pt>
                <c:pt idx="11">
                  <c:v>1.967130841296868</c:v>
                </c:pt>
                <c:pt idx="12">
                  <c:v>2.0919213910569279</c:v>
                </c:pt>
                <c:pt idx="13">
                  <c:v>2.2246283849001642</c:v>
                </c:pt>
                <c:pt idx="14">
                  <c:v>2.365754025012901</c:v>
                </c:pt>
                <c:pt idx="15">
                  <c:v>2.5158323722080485</c:v>
                </c:pt>
                <c:pt idx="16">
                  <c:v>2.6754313669678584</c:v>
                </c:pt>
                <c:pt idx="17">
                  <c:v>2.8451549786972743</c:v>
                </c:pt>
                <c:pt idx="18">
                  <c:v>3.0256454913213009</c:v>
                </c:pt>
                <c:pt idx="19">
                  <c:v>3.2175859338757533</c:v>
                </c:pt>
                <c:pt idx="20">
                  <c:v>3.42170266528945</c:v>
                </c:pt>
                <c:pt idx="21">
                  <c:v>3.6387681231394358</c:v>
                </c:pt>
                <c:pt idx="22">
                  <c:v>3.8696037467813236</c:v>
                </c:pt>
                <c:pt idx="23">
                  <c:v>4.1150830859167291</c:v>
                </c:pt>
                <c:pt idx="24">
                  <c:v>4.376135106361553</c:v>
                </c:pt>
                <c:pt idx="25">
                  <c:v>4.6537477055250784</c:v>
                </c:pt>
                <c:pt idx="26">
                  <c:v>4.9489714509035139</c:v>
                </c:pt>
                <c:pt idx="27">
                  <c:v>5.2629235557355134</c:v>
                </c:pt>
                <c:pt idx="28">
                  <c:v>5.5967921068647417</c:v>
                </c:pt>
                <c:pt idx="29">
                  <c:v>5.9518405608089449</c:v>
                </c:pt>
                <c:pt idx="30">
                  <c:v>6.3294125250499764</c:v>
                </c:pt>
                <c:pt idx="31">
                  <c:v>6.7309368426385694</c:v>
                </c:pt>
                <c:pt idx="32">
                  <c:v>7.1579329993555039</c:v>
                </c:pt>
                <c:pt idx="33">
                  <c:v>7.6120168738914558</c:v>
                </c:pt>
                <c:pt idx="34">
                  <c:v>8.0949068528058863</c:v>
                </c:pt>
                <c:pt idx="35">
                  <c:v>8.6084303334057619</c:v>
                </c:pt>
                <c:pt idx="36">
                  <c:v>9.1545306391529166</c:v>
                </c:pt>
                <c:pt idx="37">
                  <c:v>9.7352743737700074</c:v>
                </c:pt>
                <c:pt idx="38">
                  <c:v>10.352859241875105</c:v>
                </c:pt>
                <c:pt idx="39">
                  <c:v>11.009622365740512</c:v>
                </c:pt>
                <c:pt idx="40">
                  <c:v>11.708049129648925</c:v>
                </c:pt>
                <c:pt idx="41">
                  <c:v>12.4507825853165</c:v>
                </c:pt>
                <c:pt idx="42">
                  <c:v>13.240633453975693</c:v>
                </c:pt>
                <c:pt idx="43">
                  <c:v>14.080590762968805</c:v>
                </c:pt>
                <c:pt idx="44">
                  <c:v>14.973833157104059</c:v>
                </c:pt>
                <c:pt idx="45">
                  <c:v>15.923740927579823</c:v>
                </c:pt>
                <c:pt idx="46">
                  <c:v>16.933908803997952</c:v>
                </c:pt>
                <c:pt idx="47">
                  <c:v>18.008159557874837</c:v>
                </c:pt>
                <c:pt idx="48">
                  <c:v>19.150558469130036</c:v>
                </c:pt>
                <c:pt idx="49">
                  <c:v>20.365428710297824</c:v>
                </c:pt>
                <c:pt idx="50">
                  <c:v>21.657367706679931</c:v>
                </c:pt>
                <c:pt idx="51">
                  <c:v>23.031264534351347</c:v>
                </c:pt>
                <c:pt idx="52">
                  <c:v>24.492318421858034</c:v>
                </c:pt>
                <c:pt idx="53">
                  <c:v>26.046058425622668</c:v>
                </c:pt>
                <c:pt idx="54">
                  <c:v>27.698364353515743</c:v>
                </c:pt>
                <c:pt idx="55">
                  <c:v>29.45548901577305</c:v>
                </c:pt>
                <c:pt idx="56">
                  <c:v>31.324081887463471</c:v>
                </c:pt>
                <c:pt idx="57">
                  <c:v>33.311214272052936</c:v>
                </c:pt>
                <c:pt idx="58">
                  <c:v>35.424406061290533</c:v>
                </c:pt>
                <c:pt idx="59">
                  <c:v>37.67165419268462</c:v>
                </c:pt>
                <c:pt idx="60">
                  <c:v>40.061462912259522</c:v>
                </c:pt>
                <c:pt idx="61">
                  <c:v>42.602875957116908</c:v>
                </c:pt>
                <c:pt idx="62">
                  <c:v>45.305510779589277</c:v>
                </c:pt>
                <c:pt idx="63">
                  <c:v>48.179594942500358</c:v>
                </c:pt>
                <c:pt idx="64">
                  <c:v>51.236004823262483</c:v>
                </c:pt>
                <c:pt idx="65">
                  <c:v>54.486306773278585</c:v>
                </c:pt>
                <c:pt idx="66">
                  <c:v>57.94280088840825</c:v>
                </c:pt>
                <c:pt idx="67">
                  <c:v>61.61856755613799</c:v>
                </c:pt>
                <c:pt idx="68">
                  <c:v>65.527516955603716</c:v>
                </c:pt>
                <c:pt idx="69">
                  <c:v>69.684441697788372</c:v>
                </c:pt>
                <c:pt idx="70">
                  <c:v>74.105072805100434</c:v>
                </c:pt>
                <c:pt idx="71">
                  <c:v>78.806139242176371</c:v>
                </c:pt>
                <c:pt idx="72">
                  <c:v>83.805431223189501</c:v>
                </c:pt>
                <c:pt idx="73">
                  <c:v>89.121867535237712</c:v>
                </c:pt>
                <c:pt idx="74">
                  <c:v>94.775567132582992</c:v>
                </c:pt>
                <c:pt idx="75">
                  <c:v>100.78792527267464</c:v>
                </c:pt>
                <c:pt idx="76">
                  <c:v>107.18169448207877</c:v>
                </c:pt>
                <c:pt idx="77">
                  <c:v>113.98107065871142</c:v>
                </c:pt>
                <c:pt idx="78">
                  <c:v>121.21178463621371</c:v>
                </c:pt>
                <c:pt idx="79">
                  <c:v>128.90119955697148</c:v>
                </c:pt>
                <c:pt idx="80">
                  <c:v>137.07841442227294</c:v>
                </c:pt>
                <c:pt idx="81">
                  <c:v>145.77437421146283</c:v>
                </c:pt>
                <c:pt idx="82">
                  <c:v>155.02198698682062</c:v>
                </c:pt>
                <c:pt idx="83">
                  <c:v>164.85624842731968</c:v>
                </c:pt>
                <c:pt idx="84">
                  <c:v>175.3143742625403</c:v>
                </c:pt>
                <c:pt idx="85">
                  <c:v>186.43594110790573</c:v>
                </c:pt>
                <c:pt idx="86">
                  <c:v>198.26303623420247</c:v>
                </c:pt>
                <c:pt idx="87">
                  <c:v>210.84041683815525</c:v>
                </c:pt>
                <c:pt idx="88">
                  <c:v>224.21567941678887</c:v>
                </c:pt>
                <c:pt idx="89">
                  <c:v>238.43943988652958</c:v>
                </c:pt>
                <c:pt idx="90">
                  <c:v>253.56552512868072</c:v>
                </c:pt>
                <c:pt idx="91">
                  <c:v>269.65117668612646</c:v>
                </c:pt>
                <c:pt idx="92">
                  <c:v>286.75726738211927</c:v>
                </c:pt>
                <c:pt idx="93">
                  <c:v>304.94853168089651</c:v>
                </c:pt>
                <c:pt idx="94">
                  <c:v>324.29381066187881</c:v>
                </c:pt>
                <c:pt idx="95">
                  <c:v>344.8663125345048</c:v>
                </c:pt>
                <c:pt idx="96">
                  <c:v>366.74388967956821</c:v>
                </c:pt>
                <c:pt idx="97">
                  <c:v>390.00933326545766</c:v>
                </c:pt>
                <c:pt idx="98">
                  <c:v>414.75068655422291</c:v>
                </c:pt>
                <c:pt idx="99">
                  <c:v>441.06157808309626</c:v>
                </c:pt>
                <c:pt idx="100">
                  <c:v>469.04157598234281</c:v>
                </c:pt>
                <c:pt idx="101">
                  <c:v>498.79656477026373</c:v>
                </c:pt>
                <c:pt idx="102">
                  <c:v>530.4391460512702</c:v>
                </c:pt>
                <c:pt idx="103">
                  <c:v>564.08906463337905</c:v>
                </c:pt>
                <c:pt idx="104">
                  <c:v>599.87366167768641</c:v>
                </c:pt>
                <c:pt idx="105">
                  <c:v>637.92835659466812</c:v>
                </c:pt>
                <c:pt idx="106">
                  <c:v>678.39715951094945</c:v>
                </c:pt>
                <c:pt idx="107">
                  <c:v>721.43321624585462</c:v>
                </c:pt>
                <c:pt idx="108">
                  <c:v>767.19938786011153</c:v>
                </c:pt>
                <c:pt idx="109">
                  <c:v>815.86886696986198</c:v>
                </c:pt>
                <c:pt idx="110">
                  <c:v>867.62583315832671</c:v>
                </c:pt>
                <c:pt idx="111">
                  <c:v>922.66614996535543</c:v>
                </c:pt>
                <c:pt idx="112">
                  <c:v>981.19810609251715</c:v>
                </c:pt>
                <c:pt idx="113">
                  <c:v>1043.443203628628</c:v>
                </c:pt>
                <c:pt idx="114">
                  <c:v>1109.6369962786232</c:v>
                </c:pt>
                <c:pt idx="115">
                  <c:v>1180.0299807678607</c:v>
                </c:pt>
                <c:pt idx="116">
                  <c:v>1254.8885447951977</c:v>
                </c:pt>
                <c:pt idx="117">
                  <c:v>1334.4959751221782</c:v>
                </c:pt>
                <c:pt idx="118">
                  <c:v>1419.1535296132129</c:v>
                </c:pt>
                <c:pt idx="119">
                  <c:v>1509.1815772837017</c:v>
                </c:pt>
                <c:pt idx="120">
                  <c:v>1604.9208106703452</c:v>
                </c:pt>
                <c:pt idx="121">
                  <c:v>1706.7335351116335</c:v>
                </c:pt>
                <c:pt idx="122">
                  <c:v>1815.0050398174897</c:v>
                </c:pt>
                <c:pt idx="123">
                  <c:v>1930.1450559166665</c:v>
                </c:pt>
                <c:pt idx="124">
                  <c:v>2052.58930699948</c:v>
                </c:pt>
                <c:pt idx="125">
                  <c:v>2182.8011580236971</c:v>
                </c:pt>
                <c:pt idx="126">
                  <c:v>2321.2733688234066</c:v>
                </c:pt>
                <c:pt idx="127">
                  <c:v>2468.5299588567814</c:v>
                </c:pt>
                <c:pt idx="128">
                  <c:v>2625.1281902493761</c:v>
                </c:pt>
                <c:pt idx="129">
                  <c:v>2791.6606766374607</c:v>
                </c:pt>
                <c:pt idx="130">
                  <c:v>2968.757625791824</c:v>
                </c:pt>
                <c:pt idx="131">
                  <c:v>3157.0892245088098</c:v>
                </c:pt>
                <c:pt idx="132">
                  <c:v>3357.3681747937244</c:v>
                </c:pt>
                <c:pt idx="133">
                  <c:v>3570.3523909342362</c:v>
                </c:pt>
                <c:pt idx="134">
                  <c:v>3796.8478676703417</c:v>
                </c:pt>
                <c:pt idx="135">
                  <c:v>4037.7117303148448</c:v>
                </c:pt>
                <c:pt idx="136">
                  <c:v>4293.8554783669315</c:v>
                </c:pt>
                <c:pt idx="137">
                  <c:v>4566.248434893605</c:v>
                </c:pt>
                <c:pt idx="138">
                  <c:v>4855.9214147324665</c:v>
                </c:pt>
                <c:pt idx="139">
                  <c:v>5163.9706253973836</c:v>
                </c:pt>
                <c:pt idx="140">
                  <c:v>5491.5618154492358</c:v>
                </c:pt>
                <c:pt idx="141">
                  <c:v>5839.9346860303567</c:v>
                </c:pt>
                <c:pt idx="142">
                  <c:v>6210.4075822572904</c:v>
                </c:pt>
                <c:pt idx="143">
                  <c:v>6604.3824822253073</c:v>
                </c:pt>
                <c:pt idx="144">
                  <c:v>7023.3503025047467</c:v>
                </c:pt>
                <c:pt idx="145">
                  <c:v>7468.8965402065769</c:v>
                </c:pt>
                <c:pt idx="146">
                  <c:v>7942.7072729684578</c:v>
                </c:pt>
                <c:pt idx="147">
                  <c:v>8446.5755395671058</c:v>
                </c:pt>
                <c:pt idx="148">
                  <c:v>8982.4081253027471</c:v>
                </c:pt>
                <c:pt idx="149">
                  <c:v>9552.2327778341514</c:v>
                </c:pt>
                <c:pt idx="150">
                  <c:v>10158.205880770249</c:v>
                </c:pt>
                <c:pt idx="151">
                  <c:v>10802.620614058389</c:v>
                </c:pt>
                <c:pt idx="152">
                  <c:v>11487.915632049675</c:v>
                </c:pt>
                <c:pt idx="153">
                  <c:v>12216.684292082227</c:v>
                </c:pt>
                <c:pt idx="154">
                  <c:v>12991.684468506162</c:v>
                </c:pt>
                <c:pt idx="155">
                  <c:v>13815.848989288772</c:v>
                </c:pt>
                <c:pt idx="156">
                  <c:v>14692.296734695852</c:v>
                </c:pt>
                <c:pt idx="157">
                  <c:v>15624.344440049217</c:v>
                </c:pt>
                <c:pt idx="158">
                  <c:v>16615.519247226184</c:v>
                </c:pt>
                <c:pt idx="159">
                  <c:v>17669.572052398642</c:v>
                </c:pt>
                <c:pt idx="160">
                  <c:v>18790.49170052441</c:v>
                </c:pt>
                <c:pt idx="161">
                  <c:v>19982.5200803064</c:v>
                </c:pt>
                <c:pt idx="162">
                  <c:v>21250.168176743602</c:v>
                </c:pt>
                <c:pt idx="163">
                  <c:v>22598.233142021272</c:v>
                </c:pt>
                <c:pt idx="164">
                  <c:v>24031.816449341983</c:v>
                </c:pt>
                <c:pt idx="165">
                  <c:v>25556.343198396022</c:v>
                </c:pt>
                <c:pt idx="166">
                  <c:v>27177.582645530147</c:v>
                </c:pt>
                <c:pt idx="167">
                  <c:v>28901.670036305419</c:v>
                </c:pt>
                <c:pt idx="168">
                  <c:v>30735.129823066054</c:v>
                </c:pt>
                <c:pt idx="169">
                  <c:v>32684.900355380338</c:v>
                </c:pt>
                <c:pt idx="170">
                  <c:v>34758.360136790499</c:v>
                </c:pt>
                <c:pt idx="171">
                  <c:v>36963.355747234389</c:v>
                </c:pt>
                <c:pt idx="172">
                  <c:v>39308.231536804677</c:v>
                </c:pt>
                <c:pt idx="173">
                  <c:v>41801.861203217486</c:v>
                </c:pt>
                <c:pt idx="174">
                  <c:v>44453.681372487059</c:v>
                </c:pt>
                <c:pt idx="175">
                  <c:v>47273.727309885995</c:v>
                </c:pt>
                <c:pt idx="176">
                  <c:v>50272.670896332245</c:v>
                </c:pt>
                <c:pt idx="177">
                  <c:v>53461.861013916772</c:v>
                </c:pt>
                <c:pt idx="178">
                  <c:v>56853.366493401947</c:v>
                </c:pt>
                <c:pt idx="179">
                  <c:v>60460.02178621637</c:v>
                </c:pt>
                <c:pt idx="180">
                  <c:v>64295.47553378361</c:v>
                </c:pt>
                <c:pt idx="181">
                  <c:v>68374.242217984312</c:v>
                </c:pt>
                <c:pt idx="182">
                  <c:v>72711.757088212587</c:v>
                </c:pt>
                <c:pt idx="183">
                  <c:v>77324.434572886516</c:v>
                </c:pt>
                <c:pt idx="184">
                  <c:v>82229.730396460247</c:v>
                </c:pt>
                <c:pt idx="185">
                  <c:v>87446.207637003507</c:v>
                </c:pt>
                <c:pt idx="186">
                  <c:v>92993.606974334747</c:v>
                </c:pt>
                <c:pt idx="187">
                  <c:v>98892.921394542427</c:v>
                </c:pt>
                <c:pt idx="188">
                  <c:v>105166.47563360249</c:v>
                </c:pt>
                <c:pt idx="189">
                  <c:v>111838.01066072512</c:v>
                </c:pt>
                <c:pt idx="190">
                  <c:v>118932.77352114675</c:v>
                </c:pt>
                <c:pt idx="191">
                  <c:v>126477.61287835392</c:v>
                </c:pt>
                <c:pt idx="192">
                  <c:v>134501.0806172993</c:v>
                </c:pt>
                <c:pt idx="193">
                  <c:v>143033.53989310883</c:v>
                </c:pt>
                <c:pt idx="194">
                  <c:v>152107.28003416685</c:v>
                </c:pt>
                <c:pt idx="195">
                  <c:v>161756.63873440344</c:v>
                </c:pt>
                <c:pt idx="196">
                  <c:v>172018.13199719929</c:v>
                </c:pt>
                <c:pt idx="197">
                  <c:v>182930.59232265301</c:v>
                </c:pt>
                <c:pt idx="198">
                  <c:v>194535.31566115122</c:v>
                </c:pt>
                <c:pt idx="199">
                  <c:v>206876.21768935499</c:v>
                </c:pt>
              </c:numCache>
            </c:numRef>
          </c:xVal>
          <c:yVal>
            <c:numRef>
              <c:f>'8. Loop Compensation'!$AQ$2:$AQ$201</c:f>
              <c:numCache>
                <c:formatCode>General</c:formatCode>
                <c:ptCount val="200"/>
                <c:pt idx="0">
                  <c:v>138.48743175503898</c:v>
                </c:pt>
                <c:pt idx="1">
                  <c:v>136.73640980578534</c:v>
                </c:pt>
                <c:pt idx="2">
                  <c:v>134.97932046444799</c:v>
                </c:pt>
                <c:pt idx="3">
                  <c:v>133.22281644405763</c:v>
                </c:pt>
                <c:pt idx="4">
                  <c:v>131.47354518640734</c:v>
                </c:pt>
                <c:pt idx="5">
                  <c:v>129.73802489720703</c:v>
                </c:pt>
                <c:pt idx="6">
                  <c:v>128.0225264729456</c:v>
                </c:pt>
                <c:pt idx="7">
                  <c:v>126.33296643476913</c:v>
                </c:pt>
                <c:pt idx="8">
                  <c:v>124.67481509460849</c:v>
                </c:pt>
                <c:pt idx="9">
                  <c:v>123.05302300090763</c:v>
                </c:pt>
                <c:pt idx="10">
                  <c:v>121.47196738716947</c:v>
                </c:pt>
                <c:pt idx="11">
                  <c:v>119.93541902197167</c:v>
                </c:pt>
                <c:pt idx="12">
                  <c:v>118.44652866225164</c:v>
                </c:pt>
                <c:pt idx="13">
                  <c:v>117.00783133701516</c:v>
                </c:pt>
                <c:pt idx="14">
                  <c:v>115.62126598959725</c:v>
                </c:pt>
                <c:pt idx="15">
                  <c:v>114.28820759610048</c:v>
                </c:pt>
                <c:pt idx="16">
                  <c:v>113.00950873487704</c:v>
                </c:pt>
                <c:pt idx="17">
                  <c:v>111.78554766287706</c:v>
                </c:pt>
                <c:pt idx="18">
                  <c:v>110.61628020320104</c:v>
                </c:pt>
                <c:pt idx="19">
                  <c:v>109.50129310581799</c:v>
                </c:pt>
                <c:pt idx="20">
                  <c:v>108.4398569567103</c:v>
                </c:pt>
                <c:pt idx="21">
                  <c:v>107.43097713575754</c:v>
                </c:pt>
                <c:pt idx="22">
                  <c:v>106.47344172783549</c:v>
                </c:pt>
                <c:pt idx="23">
                  <c:v>105.56586565344334</c:v>
                </c:pt>
                <c:pt idx="24">
                  <c:v>104.70673059298055</c:v>
                </c:pt>
                <c:pt idx="25">
                  <c:v>103.89442052861951</c:v>
                </c:pt>
                <c:pt idx="26">
                  <c:v>103.12725292110311</c:v>
                </c:pt>
                <c:pt idx="27">
                  <c:v>102.40350568089694</c:v>
                </c:pt>
                <c:pt idx="28">
                  <c:v>101.72144019096251</c:v>
                </c:pt>
                <c:pt idx="29">
                  <c:v>101.0793206997627</c:v>
                </c:pt>
                <c:pt idx="30">
                  <c:v>100.47543043554451</c:v>
                </c:pt>
                <c:pt idx="31">
                  <c:v>99.908084803416372</c:v>
                </c:pt>
                <c:pt idx="32">
                  <c:v>99.375642021236942</c:v>
                </c:pt>
                <c:pt idx="33">
                  <c:v>98.876511533836762</c:v>
                </c:pt>
                <c:pt idx="34">
                  <c:v>98.409160521578684</c:v>
                </c:pt>
                <c:pt idx="35">
                  <c:v>97.972118791779664</c:v>
                </c:pt>
                <c:pt idx="36">
                  <c:v>97.563982312357865</c:v>
                </c:pt>
                <c:pt idx="37">
                  <c:v>97.1834156178585</c:v>
                </c:pt>
                <c:pt idx="38">
                  <c:v>96.829153289862703</c:v>
                </c:pt>
                <c:pt idx="39">
                  <c:v>96.500000687418037</c:v>
                </c:pt>
                <c:pt idx="40">
                  <c:v>96.194834078940403</c:v>
                </c:pt>
                <c:pt idx="41">
                  <c:v>95.912600305232871</c:v>
                </c:pt>
                <c:pt idx="42">
                  <c:v>95.652316083863084</c:v>
                </c:pt>
                <c:pt idx="43">
                  <c:v>95.413067048080151</c:v>
                </c:pt>
                <c:pt idx="44">
                  <c:v>95.194006598585631</c:v>
                </c:pt>
                <c:pt idx="45">
                  <c:v>94.994354633632284</c:v>
                </c:pt>
                <c:pt idx="46">
                  <c:v>94.813396211907943</c:v>
                </c:pt>
                <c:pt idx="47">
                  <c:v>94.65048019327233</c:v>
                </c:pt>
                <c:pt idx="48">
                  <c:v>94.505017894459357</c:v>
                </c:pt>
                <c:pt idx="49">
                  <c:v>94.376481790146926</c:v>
                </c:pt>
                <c:pt idx="50">
                  <c:v>94.264404284164996</c:v>
                </c:pt>
                <c:pt idx="51">
                  <c:v>94.168376570902083</c:v>
                </c:pt>
                <c:pt idx="52">
                  <c:v>94.088047603042455</c:v>
                </c:pt>
                <c:pt idx="53">
                  <c:v>94.023123178495794</c:v>
                </c:pt>
                <c:pt idx="54">
                  <c:v>93.973365156656243</c:v>
                </c:pt>
                <c:pt idx="55">
                  <c:v>93.9385908118511</c:v>
                </c:pt>
                <c:pt idx="56">
                  <c:v>93.918672329922444</c:v>
                </c:pt>
                <c:pt idx="57">
                  <c:v>93.913536452247214</c:v>
                </c:pt>
                <c:pt idx="58">
                  <c:v>93.923164270074167</c:v>
                </c:pt>
                <c:pt idx="59">
                  <c:v>93.947591170768931</c:v>
                </c:pt>
                <c:pt idx="60">
                  <c:v>93.986906936355297</c:v>
                </c:pt>
                <c:pt idx="61">
                  <c:v>94.041255993551417</c:v>
                </c:pt>
                <c:pt idx="62">
                  <c:v>94.11083781327774</c:v>
                </c:pt>
                <c:pt idx="63">
                  <c:v>94.195907456286093</c:v>
                </c:pt>
                <c:pt idx="64">
                  <c:v>94.296776260068867</c:v>
                </c:pt>
                <c:pt idx="65">
                  <c:v>94.413812660487793</c:v>
                </c:pt>
                <c:pt idx="66">
                  <c:v>94.547443139532945</c:v>
                </c:pt>
                <c:pt idx="67">
                  <c:v>94.698153288208914</c:v>
                </c:pt>
                <c:pt idx="68">
                  <c:v>94.866488970651233</c:v>
                </c:pt>
                <c:pt idx="69">
                  <c:v>95.05305757210013</c:v>
                </c:pt>
                <c:pt idx="70">
                  <c:v>95.258529309188987</c:v>
                </c:pt>
                <c:pt idx="71">
                  <c:v>95.483638576002519</c:v>
                </c:pt>
                <c:pt idx="72">
                  <c:v>95.72918529339313</c:v>
                </c:pt>
                <c:pt idx="73">
                  <c:v>95.996036221939718</c:v>
                </c:pt>
                <c:pt idx="74">
                  <c:v>96.285126190524437</c:v>
                </c:pt>
                <c:pt idx="75">
                  <c:v>96.597459182599621</c:v>
                </c:pt>
                <c:pt idx="76">
                  <c:v>96.934109210618431</c:v>
                </c:pt>
                <c:pt idx="77">
                  <c:v>97.296220895614738</c:v>
                </c:pt>
                <c:pt idx="78">
                  <c:v>97.685009653342831</c:v>
                </c:pt>
                <c:pt idx="79">
                  <c:v>98.10176137056807</c:v>
                </c:pt>
                <c:pt idx="80">
                  <c:v>98.54783143490404</c:v>
                </c:pt>
                <c:pt idx="81">
                  <c:v>99.02464295898919</c:v>
                </c:pt>
                <c:pt idx="82">
                  <c:v>99.533684014858935</c:v>
                </c:pt>
                <c:pt idx="83">
                  <c:v>100.07650366735355</c:v>
                </c:pt>
                <c:pt idx="84">
                  <c:v>100.65470656680434</c:v>
                </c:pt>
                <c:pt idx="85">
                  <c:v>101.26994583189975</c:v>
                </c:pt>
                <c:pt idx="86">
                  <c:v>101.92391392481503</c:v>
                </c:pt>
                <c:pt idx="87">
                  <c:v>102.61833119421915</c:v>
                </c:pt>
                <c:pt idx="88">
                  <c:v>103.35493174019531</c:v>
                </c:pt>
                <c:pt idx="89">
                  <c:v>104.13544624174189</c:v>
                </c:pt>
                <c:pt idx="90">
                  <c:v>104.96158138669057</c:v>
                </c:pt>
                <c:pt idx="91">
                  <c:v>105.83499556086711</c:v>
                </c:pt>
                <c:pt idx="92">
                  <c:v>106.75727049448007</c:v>
                </c:pt>
                <c:pt idx="93">
                  <c:v>107.72987863623153</c:v>
                </c:pt>
                <c:pt idx="94">
                  <c:v>108.75414613722265</c:v>
                </c:pt>
                <c:pt idx="95">
                  <c:v>109.8312114850192</c:v>
                </c:pt>
                <c:pt idx="96">
                  <c:v>110.96198003979552</c:v>
                </c:pt>
                <c:pt idx="97">
                  <c:v>112.14707499346106</c:v>
                </c:pt>
                <c:pt idx="98">
                  <c:v>113.38678559906693</c:v>
                </c:pt>
                <c:pt idx="99">
                  <c:v>114.68101389529723</c:v>
                </c:pt>
                <c:pt idx="100">
                  <c:v>116.02922156479526</c:v>
                </c:pt>
                <c:pt idx="101">
                  <c:v>117.43037899041535</c:v>
                </c:pt>
                <c:pt idx="102">
                  <c:v>118.88291897380755</c:v>
                </c:pt>
                <c:pt idx="103">
                  <c:v>120.38469790865649</c:v>
                </c:pt>
                <c:pt idx="104">
                  <c:v>121.93296740068526</c:v>
                </c:pt>
                <c:pt idx="105">
                  <c:v>123.52435933956025</c:v>
                </c:pt>
                <c:pt idx="106">
                  <c:v>125.15488720076672</c:v>
                </c:pt>
                <c:pt idx="107">
                  <c:v>126.81996585071062</c:v>
                </c:pt>
                <c:pt idx="108">
                  <c:v>128.51445133510705</c:v>
                </c:pt>
                <c:pt idx="109">
                  <c:v>130.23270107481477</c:v>
                </c:pt>
                <c:pt idx="110">
                  <c:v>131.96865364199246</c:v>
                </c:pt>
                <c:pt idx="111">
                  <c:v>133.71592594958463</c:v>
                </c:pt>
                <c:pt idx="112">
                  <c:v>135.46792439482914</c:v>
                </c:pt>
                <c:pt idx="113">
                  <c:v>137.21796539971098</c:v>
                </c:pt>
                <c:pt idx="114">
                  <c:v>138.95940002293804</c:v>
                </c:pt>
                <c:pt idx="115">
                  <c:v>140.68573697807</c:v>
                </c:pt>
                <c:pt idx="116">
                  <c:v>142.39075852584742</c:v>
                </c:pt>
                <c:pt idx="117">
                  <c:v>144.0686242978334</c:v>
                </c:pt>
                <c:pt idx="118">
                  <c:v>145.71395907620303</c:v>
                </c:pt>
                <c:pt idx="119">
                  <c:v>147.32192177912873</c:v>
                </c:pt>
                <c:pt idx="120">
                  <c:v>148.888254238044</c:v>
                </c:pt>
                <c:pt idx="121">
                  <c:v>150.40930965857322</c:v>
                </c:pt>
                <c:pt idx="122">
                  <c:v>151.88206180960509</c:v>
                </c:pt>
                <c:pt idx="123">
                  <c:v>153.30409689939839</c:v>
                </c:pt>
                <c:pt idx="124">
                  <c:v>154.67359073005429</c:v>
                </c:pt>
                <c:pt idx="125">
                  <c:v>155.98927406771759</c:v>
                </c:pt>
                <c:pt idx="126">
                  <c:v>157.25038925265901</c:v>
                </c:pt>
                <c:pt idx="127">
                  <c:v>158.4566409486699</c:v>
                </c:pt>
                <c:pt idx="128">
                  <c:v>159.60814365250042</c:v>
                </c:pt>
                <c:pt idx="129">
                  <c:v>160.70536820920077</c:v>
                </c:pt>
                <c:pt idx="130">
                  <c:v>161.74908915971361</c:v>
                </c:pt>
                <c:pt idx="131">
                  <c:v>162.74033432435922</c:v>
                </c:pt>
                <c:pt idx="132">
                  <c:v>163.68033762989373</c:v>
                </c:pt>
                <c:pt idx="133">
                  <c:v>164.5704958376991</c:v>
                </c:pt>
                <c:pt idx="134">
                  <c:v>165.41232953606428</c:v>
                </c:pt>
                <c:pt idx="135">
                  <c:v>166.2074485229719</c:v>
                </c:pt>
                <c:pt idx="136">
                  <c:v>166.95752152475754</c:v>
                </c:pt>
                <c:pt idx="137">
                  <c:v>167.66425006475075</c:v>
                </c:pt>
                <c:pt idx="138">
                  <c:v>168.32934620725226</c:v>
                </c:pt>
                <c:pt idx="139">
                  <c:v>168.95451384814922</c:v>
                </c:pt>
                <c:pt idx="140">
                  <c:v>169.54143319667153</c:v>
                </c:pt>
                <c:pt idx="141">
                  <c:v>170.09174808647813</c:v>
                </c:pt>
                <c:pt idx="142">
                  <c:v>170.60705576268981</c:v>
                </c:pt>
                <c:pt idx="143">
                  <c:v>171.08889880991009</c:v>
                </c:pt>
                <c:pt idx="144">
                  <c:v>171.5387589109377</c:v>
                </c:pt>
                <c:pt idx="145">
                  <c:v>171.95805215392244</c:v>
                </c:pt>
                <c:pt idx="146">
                  <c:v>172.34812563501328</c:v>
                </c:pt>
                <c:pt idx="147">
                  <c:v>172.71025513259929</c:v>
                </c:pt>
                <c:pt idx="148">
                  <c:v>173.04564365705059</c:v>
                </c:pt>
                <c:pt idx="149">
                  <c:v>173.35542070577503</c:v>
                </c:pt>
                <c:pt idx="150">
                  <c:v>173.64064207708219</c:v>
                </c:pt>
                <c:pt idx="151">
                  <c:v>173.90229011763989</c:v>
                </c:pt>
                <c:pt idx="152">
                  <c:v>174.14127429720531</c:v>
                </c:pt>
                <c:pt idx="153">
                  <c:v>174.35843202093051</c:v>
                </c:pt>
                <c:pt idx="154">
                  <c:v>174.55452960400186</c:v>
                </c:pt>
                <c:pt idx="155">
                  <c:v>174.73026334589056</c:v>
                </c:pt>
                <c:pt idx="156">
                  <c:v>174.88626065224918</c:v>
                </c:pt>
                <c:pt idx="157">
                  <c:v>175.02308116170434</c:v>
                </c:pt>
                <c:pt idx="158">
                  <c:v>175.14121784265976</c:v>
                </c:pt>
                <c:pt idx="159">
                  <c:v>175.24109803193647</c:v>
                </c:pt>
                <c:pt idx="160">
                  <c:v>175.32308439280487</c:v>
                </c:pt>
                <c:pt idx="161">
                  <c:v>175.38747577487962</c:v>
                </c:pt>
                <c:pt idx="162">
                  <c:v>175.43450796259887</c:v>
                </c:pt>
                <c:pt idx="163">
                  <c:v>175.46435430273374</c:v>
                </c:pt>
                <c:pt idx="164">
                  <c:v>175.47712620470293</c:v>
                </c:pt>
                <c:pt idx="165">
                  <c:v>175.47287351051818</c:v>
                </c:pt>
                <c:pt idx="166">
                  <c:v>175.4515847340771</c:v>
                </c:pt>
                <c:pt idx="167">
                  <c:v>175.41318717235802</c:v>
                </c:pt>
                <c:pt idx="168">
                  <c:v>175.35754689396879</c:v>
                </c:pt>
                <c:pt idx="169">
                  <c:v>175.28446861356767</c:v>
                </c:pt>
                <c:pt idx="170">
                  <c:v>175.19369546402504</c:v>
                </c:pt>
                <c:pt idx="171">
                  <c:v>175.08490868194792</c:v>
                </c:pt>
                <c:pt idx="172">
                  <c:v>174.95772722647612</c:v>
                </c:pt>
                <c:pt idx="173">
                  <c:v>174.81170735621714</c:v>
                </c:pt>
                <c:pt idx="174">
                  <c:v>174.646342194966</c:v>
                </c:pt>
                <c:pt idx="175">
                  <c:v>174.46106132362218</c:v>
                </c:pt>
                <c:pt idx="176">
                  <c:v>174.25523044364283</c:v>
                </c:pt>
                <c:pt idx="177">
                  <c:v>174.02815116665343</c:v>
                </c:pt>
                <c:pt idx="178">
                  <c:v>173.77906099566528</c:v>
                </c:pt>
                <c:pt idx="179">
                  <c:v>173.50713357593867</c:v>
                </c:pt>
                <c:pt idx="180">
                  <c:v>173.21147930807325</c:v>
                </c:pt>
                <c:pt idx="181">
                  <c:v>172.89114643259148</c:v>
                </c:pt>
                <c:pt idx="182">
                  <c:v>172.54512271425915</c:v>
                </c:pt>
                <c:pt idx="183">
                  <c:v>172.17233787574497</c:v>
                </c:pt>
                <c:pt idx="184">
                  <c:v>171.77166695395593</c:v>
                </c:pt>
                <c:pt idx="185">
                  <c:v>171.34193477834054</c:v>
                </c:pt>
                <c:pt idx="186">
                  <c:v>170.88192179827792</c:v>
                </c:pt>
                <c:pt idx="187">
                  <c:v>170.39037151572055</c:v>
                </c:pt>
                <c:pt idx="188">
                  <c:v>169.86599980851389</c:v>
                </c:pt>
                <c:pt idx="189">
                  <c:v>169.30750645776428</c:v>
                </c:pt>
                <c:pt idx="190">
                  <c:v>168.71358921713582</c:v>
                </c:pt>
                <c:pt idx="191">
                  <c:v>168.08296078013774</c:v>
                </c:pt>
                <c:pt idx="192">
                  <c:v>167.41436900954386</c:v>
                </c:pt>
                <c:pt idx="193">
                  <c:v>166.70662078630357</c:v>
                </c:pt>
                <c:pt idx="194">
                  <c:v>165.95860980786711</c:v>
                </c:pt>
                <c:pt idx="195">
                  <c:v>165.1693486109869</c:v>
                </c:pt>
                <c:pt idx="196">
                  <c:v>164.33800500425809</c:v>
                </c:pt>
                <c:pt idx="197">
                  <c:v>163.46394296311391</c:v>
                </c:pt>
                <c:pt idx="198">
                  <c:v>162.54676785735688</c:v>
                </c:pt>
                <c:pt idx="199">
                  <c:v>161.58637564285112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610040"/>
        <c:axId val="257644136"/>
      </c:scatterChart>
      <c:valAx>
        <c:axId val="257610040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7644136"/>
        <c:crosses val="autoZero"/>
        <c:crossBetween val="midCat"/>
      </c:valAx>
      <c:valAx>
        <c:axId val="257644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610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|Verr</a:t>
            </a:r>
            <a:r>
              <a:rPr lang="en-US" baseline="0"/>
              <a:t> / Vout|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'8. Loop Compensation'!$AR$1</c:f>
              <c:strCache>
                <c:ptCount val="1"/>
                <c:pt idx="0">
                  <c:v>db</c:v>
                </c:pt>
              </c:strCache>
            </c:strRef>
          </c:tx>
          <c:marker>
            <c:symbol val="none"/>
          </c:marker>
          <c:xVal>
            <c:numRef>
              <c:f>'8. Loop Compensation'!$Z$2:$Z$200</c:f>
              <c:numCache>
                <c:formatCode>General</c:formatCode>
                <c:ptCount val="199"/>
                <c:pt idx="0">
                  <c:v>1</c:v>
                </c:pt>
                <c:pt idx="1">
                  <c:v>1.0634378492473788</c:v>
                </c:pt>
                <c:pt idx="2">
                  <c:v>1.1309000592118907</c:v>
                </c:pt>
                <c:pt idx="3">
                  <c:v>1.2026419266820265</c:v>
                </c:pt>
                <c:pt idx="4">
                  <c:v>1.278934943925458</c:v>
                </c:pt>
                <c:pt idx="5">
                  <c:v>1.3600678260954062</c:v>
                </c:pt>
                <c:pt idx="6">
                  <c:v>1.4463476038134566</c:v>
                </c:pt>
                <c:pt idx="7">
                  <c:v>1.5381007850634825</c:v>
                </c:pt>
                <c:pt idx="8">
                  <c:v>1.6356745907936145</c:v>
                </c:pt>
                <c:pt idx="9">
                  <c:v>1.7394382689021479</c:v>
                </c:pt>
                <c:pt idx="10">
                  <c:v>1.849784491579884</c:v>
                </c:pt>
                <c:pt idx="11">
                  <c:v>1.967130841296868</c:v>
                </c:pt>
                <c:pt idx="12">
                  <c:v>2.0919213910569279</c:v>
                </c:pt>
                <c:pt idx="13">
                  <c:v>2.2246283849001642</c:v>
                </c:pt>
                <c:pt idx="14">
                  <c:v>2.365754025012901</c:v>
                </c:pt>
                <c:pt idx="15">
                  <c:v>2.5158323722080485</c:v>
                </c:pt>
                <c:pt idx="16">
                  <c:v>2.6754313669678584</c:v>
                </c:pt>
                <c:pt idx="17">
                  <c:v>2.8451549786972743</c:v>
                </c:pt>
                <c:pt idx="18">
                  <c:v>3.0256454913213009</c:v>
                </c:pt>
                <c:pt idx="19">
                  <c:v>3.2175859338757533</c:v>
                </c:pt>
                <c:pt idx="20">
                  <c:v>3.42170266528945</c:v>
                </c:pt>
                <c:pt idx="21">
                  <c:v>3.6387681231394358</c:v>
                </c:pt>
                <c:pt idx="22">
                  <c:v>3.8696037467813236</c:v>
                </c:pt>
                <c:pt idx="23">
                  <c:v>4.1150830859167291</c:v>
                </c:pt>
                <c:pt idx="24">
                  <c:v>4.376135106361553</c:v>
                </c:pt>
                <c:pt idx="25">
                  <c:v>4.6537477055250784</c:v>
                </c:pt>
                <c:pt idx="26">
                  <c:v>4.9489714509035139</c:v>
                </c:pt>
                <c:pt idx="27">
                  <c:v>5.2629235557355134</c:v>
                </c:pt>
                <c:pt idx="28">
                  <c:v>5.5967921068647417</c:v>
                </c:pt>
                <c:pt idx="29">
                  <c:v>5.9518405608089449</c:v>
                </c:pt>
                <c:pt idx="30">
                  <c:v>6.3294125250499764</c:v>
                </c:pt>
                <c:pt idx="31">
                  <c:v>6.7309368426385694</c:v>
                </c:pt>
                <c:pt idx="32">
                  <c:v>7.1579329993555039</c:v>
                </c:pt>
                <c:pt idx="33">
                  <c:v>7.6120168738914558</c:v>
                </c:pt>
                <c:pt idx="34">
                  <c:v>8.0949068528058863</c:v>
                </c:pt>
                <c:pt idx="35">
                  <c:v>8.6084303334057619</c:v>
                </c:pt>
                <c:pt idx="36">
                  <c:v>9.1545306391529166</c:v>
                </c:pt>
                <c:pt idx="37">
                  <c:v>9.7352743737700074</c:v>
                </c:pt>
                <c:pt idx="38">
                  <c:v>10.352859241875105</c:v>
                </c:pt>
                <c:pt idx="39">
                  <c:v>11.009622365740512</c:v>
                </c:pt>
                <c:pt idx="40">
                  <c:v>11.708049129648925</c:v>
                </c:pt>
                <c:pt idx="41">
                  <c:v>12.4507825853165</c:v>
                </c:pt>
                <c:pt idx="42">
                  <c:v>13.240633453975693</c:v>
                </c:pt>
                <c:pt idx="43">
                  <c:v>14.080590762968805</c:v>
                </c:pt>
                <c:pt idx="44">
                  <c:v>14.973833157104059</c:v>
                </c:pt>
                <c:pt idx="45">
                  <c:v>15.923740927579823</c:v>
                </c:pt>
                <c:pt idx="46">
                  <c:v>16.933908803997952</c:v>
                </c:pt>
                <c:pt idx="47">
                  <c:v>18.008159557874837</c:v>
                </c:pt>
                <c:pt idx="48">
                  <c:v>19.150558469130036</c:v>
                </c:pt>
                <c:pt idx="49">
                  <c:v>20.365428710297824</c:v>
                </c:pt>
                <c:pt idx="50">
                  <c:v>21.657367706679931</c:v>
                </c:pt>
                <c:pt idx="51">
                  <c:v>23.031264534351347</c:v>
                </c:pt>
                <c:pt idx="52">
                  <c:v>24.492318421858034</c:v>
                </c:pt>
                <c:pt idx="53">
                  <c:v>26.046058425622668</c:v>
                </c:pt>
                <c:pt idx="54">
                  <c:v>27.698364353515743</c:v>
                </c:pt>
                <c:pt idx="55">
                  <c:v>29.45548901577305</c:v>
                </c:pt>
                <c:pt idx="56">
                  <c:v>31.324081887463471</c:v>
                </c:pt>
                <c:pt idx="57">
                  <c:v>33.311214272052936</c:v>
                </c:pt>
                <c:pt idx="58">
                  <c:v>35.424406061290533</c:v>
                </c:pt>
                <c:pt idx="59">
                  <c:v>37.67165419268462</c:v>
                </c:pt>
                <c:pt idx="60">
                  <c:v>40.061462912259522</c:v>
                </c:pt>
                <c:pt idx="61">
                  <c:v>42.602875957116908</c:v>
                </c:pt>
                <c:pt idx="62">
                  <c:v>45.305510779589277</c:v>
                </c:pt>
                <c:pt idx="63">
                  <c:v>48.179594942500358</c:v>
                </c:pt>
                <c:pt idx="64">
                  <c:v>51.236004823262483</c:v>
                </c:pt>
                <c:pt idx="65">
                  <c:v>54.486306773278585</c:v>
                </c:pt>
                <c:pt idx="66">
                  <c:v>57.94280088840825</c:v>
                </c:pt>
                <c:pt idx="67">
                  <c:v>61.61856755613799</c:v>
                </c:pt>
                <c:pt idx="68">
                  <c:v>65.527516955603716</c:v>
                </c:pt>
                <c:pt idx="69">
                  <c:v>69.684441697788372</c:v>
                </c:pt>
                <c:pt idx="70">
                  <c:v>74.105072805100434</c:v>
                </c:pt>
                <c:pt idx="71">
                  <c:v>78.806139242176371</c:v>
                </c:pt>
                <c:pt idx="72">
                  <c:v>83.805431223189501</c:v>
                </c:pt>
                <c:pt idx="73">
                  <c:v>89.121867535237712</c:v>
                </c:pt>
                <c:pt idx="74">
                  <c:v>94.775567132582992</c:v>
                </c:pt>
                <c:pt idx="75">
                  <c:v>100.78792527267464</c:v>
                </c:pt>
                <c:pt idx="76">
                  <c:v>107.18169448207877</c:v>
                </c:pt>
                <c:pt idx="77">
                  <c:v>113.98107065871142</c:v>
                </c:pt>
                <c:pt idx="78">
                  <c:v>121.21178463621371</c:v>
                </c:pt>
                <c:pt idx="79">
                  <c:v>128.90119955697148</c:v>
                </c:pt>
                <c:pt idx="80">
                  <c:v>137.07841442227294</c:v>
                </c:pt>
                <c:pt idx="81">
                  <c:v>145.77437421146283</c:v>
                </c:pt>
                <c:pt idx="82">
                  <c:v>155.02198698682062</c:v>
                </c:pt>
                <c:pt idx="83">
                  <c:v>164.85624842731968</c:v>
                </c:pt>
                <c:pt idx="84">
                  <c:v>175.3143742625403</c:v>
                </c:pt>
                <c:pt idx="85">
                  <c:v>186.43594110790573</c:v>
                </c:pt>
                <c:pt idx="86">
                  <c:v>198.26303623420247</c:v>
                </c:pt>
                <c:pt idx="87">
                  <c:v>210.84041683815525</c:v>
                </c:pt>
                <c:pt idx="88">
                  <c:v>224.21567941678887</c:v>
                </c:pt>
                <c:pt idx="89">
                  <c:v>238.43943988652958</c:v>
                </c:pt>
                <c:pt idx="90">
                  <c:v>253.56552512868072</c:v>
                </c:pt>
                <c:pt idx="91">
                  <c:v>269.65117668612646</c:v>
                </c:pt>
                <c:pt idx="92">
                  <c:v>286.75726738211927</c:v>
                </c:pt>
                <c:pt idx="93">
                  <c:v>304.94853168089651</c:v>
                </c:pt>
                <c:pt idx="94">
                  <c:v>324.29381066187881</c:v>
                </c:pt>
                <c:pt idx="95">
                  <c:v>344.8663125345048</c:v>
                </c:pt>
                <c:pt idx="96">
                  <c:v>366.74388967956821</c:v>
                </c:pt>
                <c:pt idx="97">
                  <c:v>390.00933326545766</c:v>
                </c:pt>
                <c:pt idx="98">
                  <c:v>414.75068655422291</c:v>
                </c:pt>
                <c:pt idx="99">
                  <c:v>441.06157808309626</c:v>
                </c:pt>
                <c:pt idx="100">
                  <c:v>469.04157598234281</c:v>
                </c:pt>
                <c:pt idx="101">
                  <c:v>498.79656477026373</c:v>
                </c:pt>
                <c:pt idx="102">
                  <c:v>530.4391460512702</c:v>
                </c:pt>
                <c:pt idx="103">
                  <c:v>564.08906463337905</c:v>
                </c:pt>
                <c:pt idx="104">
                  <c:v>599.87366167768641</c:v>
                </c:pt>
                <c:pt idx="105">
                  <c:v>637.92835659466812</c:v>
                </c:pt>
                <c:pt idx="106">
                  <c:v>678.39715951094945</c:v>
                </c:pt>
                <c:pt idx="107">
                  <c:v>721.43321624585462</c:v>
                </c:pt>
                <c:pt idx="108">
                  <c:v>767.19938786011153</c:v>
                </c:pt>
                <c:pt idx="109">
                  <c:v>815.86886696986198</c:v>
                </c:pt>
                <c:pt idx="110">
                  <c:v>867.62583315832671</c:v>
                </c:pt>
                <c:pt idx="111">
                  <c:v>922.66614996535543</c:v>
                </c:pt>
                <c:pt idx="112">
                  <c:v>981.19810609251715</c:v>
                </c:pt>
                <c:pt idx="113">
                  <c:v>1043.443203628628</c:v>
                </c:pt>
                <c:pt idx="114">
                  <c:v>1109.6369962786232</c:v>
                </c:pt>
                <c:pt idx="115">
                  <c:v>1180.0299807678607</c:v>
                </c:pt>
                <c:pt idx="116">
                  <c:v>1254.8885447951977</c:v>
                </c:pt>
                <c:pt idx="117">
                  <c:v>1334.4959751221782</c:v>
                </c:pt>
                <c:pt idx="118">
                  <c:v>1419.1535296132129</c:v>
                </c:pt>
                <c:pt idx="119">
                  <c:v>1509.1815772837017</c:v>
                </c:pt>
                <c:pt idx="120">
                  <c:v>1604.9208106703452</c:v>
                </c:pt>
                <c:pt idx="121">
                  <c:v>1706.7335351116335</c:v>
                </c:pt>
                <c:pt idx="122">
                  <c:v>1815.0050398174897</c:v>
                </c:pt>
                <c:pt idx="123">
                  <c:v>1930.1450559166665</c:v>
                </c:pt>
                <c:pt idx="124">
                  <c:v>2052.58930699948</c:v>
                </c:pt>
                <c:pt idx="125">
                  <c:v>2182.8011580236971</c:v>
                </c:pt>
                <c:pt idx="126">
                  <c:v>2321.2733688234066</c:v>
                </c:pt>
                <c:pt idx="127">
                  <c:v>2468.5299588567814</c:v>
                </c:pt>
                <c:pt idx="128">
                  <c:v>2625.1281902493761</c:v>
                </c:pt>
                <c:pt idx="129">
                  <c:v>2791.6606766374607</c:v>
                </c:pt>
                <c:pt idx="130">
                  <c:v>2968.757625791824</c:v>
                </c:pt>
                <c:pt idx="131">
                  <c:v>3157.0892245088098</c:v>
                </c:pt>
                <c:pt idx="132">
                  <c:v>3357.3681747937244</c:v>
                </c:pt>
                <c:pt idx="133">
                  <c:v>3570.3523909342362</c:v>
                </c:pt>
                <c:pt idx="134">
                  <c:v>3796.8478676703417</c:v>
                </c:pt>
                <c:pt idx="135">
                  <c:v>4037.7117303148448</c:v>
                </c:pt>
                <c:pt idx="136">
                  <c:v>4293.8554783669315</c:v>
                </c:pt>
                <c:pt idx="137">
                  <c:v>4566.248434893605</c:v>
                </c:pt>
                <c:pt idx="138">
                  <c:v>4855.9214147324665</c:v>
                </c:pt>
                <c:pt idx="139">
                  <c:v>5163.9706253973836</c:v>
                </c:pt>
                <c:pt idx="140">
                  <c:v>5491.5618154492358</c:v>
                </c:pt>
                <c:pt idx="141">
                  <c:v>5839.9346860303567</c:v>
                </c:pt>
                <c:pt idx="142">
                  <c:v>6210.4075822572904</c:v>
                </c:pt>
                <c:pt idx="143">
                  <c:v>6604.3824822253073</c:v>
                </c:pt>
                <c:pt idx="144">
                  <c:v>7023.3503025047467</c:v>
                </c:pt>
                <c:pt idx="145">
                  <c:v>7468.8965402065769</c:v>
                </c:pt>
                <c:pt idx="146">
                  <c:v>7942.7072729684578</c:v>
                </c:pt>
                <c:pt idx="147">
                  <c:v>8446.5755395671058</c:v>
                </c:pt>
                <c:pt idx="148">
                  <c:v>8982.4081253027471</c:v>
                </c:pt>
                <c:pt idx="149">
                  <c:v>9552.2327778341514</c:v>
                </c:pt>
                <c:pt idx="150">
                  <c:v>10158.205880770249</c:v>
                </c:pt>
                <c:pt idx="151">
                  <c:v>10802.620614058389</c:v>
                </c:pt>
                <c:pt idx="152">
                  <c:v>11487.915632049675</c:v>
                </c:pt>
                <c:pt idx="153">
                  <c:v>12216.684292082227</c:v>
                </c:pt>
                <c:pt idx="154">
                  <c:v>12991.684468506162</c:v>
                </c:pt>
                <c:pt idx="155">
                  <c:v>13815.848989288772</c:v>
                </c:pt>
                <c:pt idx="156">
                  <c:v>14692.296734695852</c:v>
                </c:pt>
                <c:pt idx="157">
                  <c:v>15624.344440049217</c:v>
                </c:pt>
                <c:pt idx="158">
                  <c:v>16615.519247226184</c:v>
                </c:pt>
                <c:pt idx="159">
                  <c:v>17669.572052398642</c:v>
                </c:pt>
                <c:pt idx="160">
                  <c:v>18790.49170052441</c:v>
                </c:pt>
                <c:pt idx="161">
                  <c:v>19982.5200803064</c:v>
                </c:pt>
                <c:pt idx="162">
                  <c:v>21250.168176743602</c:v>
                </c:pt>
                <c:pt idx="163">
                  <c:v>22598.233142021272</c:v>
                </c:pt>
                <c:pt idx="164">
                  <c:v>24031.816449341983</c:v>
                </c:pt>
                <c:pt idx="165">
                  <c:v>25556.343198396022</c:v>
                </c:pt>
                <c:pt idx="166">
                  <c:v>27177.582645530147</c:v>
                </c:pt>
                <c:pt idx="167">
                  <c:v>28901.670036305419</c:v>
                </c:pt>
                <c:pt idx="168">
                  <c:v>30735.129823066054</c:v>
                </c:pt>
                <c:pt idx="169">
                  <c:v>32684.900355380338</c:v>
                </c:pt>
                <c:pt idx="170">
                  <c:v>34758.360136790499</c:v>
                </c:pt>
                <c:pt idx="171">
                  <c:v>36963.355747234389</c:v>
                </c:pt>
                <c:pt idx="172">
                  <c:v>39308.231536804677</c:v>
                </c:pt>
                <c:pt idx="173">
                  <c:v>41801.861203217486</c:v>
                </c:pt>
                <c:pt idx="174">
                  <c:v>44453.681372487059</c:v>
                </c:pt>
                <c:pt idx="175">
                  <c:v>47273.727309885995</c:v>
                </c:pt>
                <c:pt idx="176">
                  <c:v>50272.670896332245</c:v>
                </c:pt>
                <c:pt idx="177">
                  <c:v>53461.861013916772</c:v>
                </c:pt>
                <c:pt idx="178">
                  <c:v>56853.366493401947</c:v>
                </c:pt>
                <c:pt idx="179">
                  <c:v>60460.02178621637</c:v>
                </c:pt>
                <c:pt idx="180">
                  <c:v>64295.47553378361</c:v>
                </c:pt>
                <c:pt idx="181">
                  <c:v>68374.242217984312</c:v>
                </c:pt>
                <c:pt idx="182">
                  <c:v>72711.757088212587</c:v>
                </c:pt>
                <c:pt idx="183">
                  <c:v>77324.434572886516</c:v>
                </c:pt>
                <c:pt idx="184">
                  <c:v>82229.730396460247</c:v>
                </c:pt>
                <c:pt idx="185">
                  <c:v>87446.207637003507</c:v>
                </c:pt>
                <c:pt idx="186">
                  <c:v>92993.606974334747</c:v>
                </c:pt>
                <c:pt idx="187">
                  <c:v>98892.921394542427</c:v>
                </c:pt>
                <c:pt idx="188">
                  <c:v>105166.47563360249</c:v>
                </c:pt>
                <c:pt idx="189">
                  <c:v>111838.01066072512</c:v>
                </c:pt>
                <c:pt idx="190">
                  <c:v>118932.77352114675</c:v>
                </c:pt>
                <c:pt idx="191">
                  <c:v>126477.61287835392</c:v>
                </c:pt>
                <c:pt idx="192">
                  <c:v>134501.0806172993</c:v>
                </c:pt>
                <c:pt idx="193">
                  <c:v>143033.53989310883</c:v>
                </c:pt>
                <c:pt idx="194">
                  <c:v>152107.28003416685</c:v>
                </c:pt>
                <c:pt idx="195">
                  <c:v>161756.63873440344</c:v>
                </c:pt>
                <c:pt idx="196">
                  <c:v>172018.13199719929</c:v>
                </c:pt>
                <c:pt idx="197">
                  <c:v>182930.59232265301</c:v>
                </c:pt>
                <c:pt idx="198">
                  <c:v>194535.31566115122</c:v>
                </c:pt>
              </c:numCache>
            </c:numRef>
          </c:xVal>
          <c:yVal>
            <c:numRef>
              <c:f>'8. Loop Compensation'!$AR$2:$AR$200</c:f>
              <c:numCache>
                <c:formatCode>General</c:formatCode>
                <c:ptCount val="199"/>
                <c:pt idx="0">
                  <c:v>53.538970908789693</c:v>
                </c:pt>
                <c:pt idx="1">
                  <c:v>53.295606375670992</c:v>
                </c:pt>
                <c:pt idx="2">
                  <c:v>53.035878325055364</c:v>
                </c:pt>
                <c:pt idx="3">
                  <c:v>52.759731070874949</c:v>
                </c:pt>
                <c:pt idx="4">
                  <c:v>52.467232610926942</c:v>
                </c:pt>
                <c:pt idx="5">
                  <c:v>52.158572592512016</c:v>
                </c:pt>
                <c:pt idx="6">
                  <c:v>51.83405670399906</c:v>
                </c:pt>
                <c:pt idx="7">
                  <c:v>51.49409784004245</c:v>
                </c:pt>
                <c:pt idx="8">
                  <c:v>51.13920457136345</c:v>
                </c:pt>
                <c:pt idx="9">
                  <c:v>50.769967579796571</c:v>
                </c:pt>
                <c:pt idx="10">
                  <c:v>50.387044786666465</c:v>
                </c:pt>
                <c:pt idx="11">
                  <c:v>49.991145907083563</c:v>
                </c:pt>
                <c:pt idx="12">
                  <c:v>49.583017111656893</c:v>
                </c:pt>
                <c:pt idx="13">
                  <c:v>49.163426383133448</c:v>
                </c:pt>
                <c:pt idx="14">
                  <c:v>48.733150034103815</c:v>
                </c:pt>
                <c:pt idx="15">
                  <c:v>48.292960718825526</c:v>
                </c:pt>
                <c:pt idx="16">
                  <c:v>47.84361714113664</c:v>
                </c:pt>
                <c:pt idx="17">
                  <c:v>47.38585554185596</c:v>
                </c:pt>
                <c:pt idx="18">
                  <c:v>46.920382949759343</c:v>
                </c:pt>
                <c:pt idx="19">
                  <c:v>46.447872103386956</c:v>
                </c:pt>
                <c:pt idx="20">
                  <c:v>45.968957896851805</c:v>
                </c:pt>
                <c:pt idx="21">
                  <c:v>45.484235169619048</c:v>
                </c:pt>
                <c:pt idx="22">
                  <c:v>44.994257644757454</c:v>
                </c:pt>
                <c:pt idx="23">
                  <c:v>44.499537818710436</c:v>
                </c:pt>
                <c:pt idx="24">
                  <c:v>44.000547614428058</c:v>
                </c:pt>
                <c:pt idx="25">
                  <c:v>43.497719625344587</c:v>
                </c:pt>
                <c:pt idx="26">
                  <c:v>42.991448797292371</c:v>
                </c:pt>
                <c:pt idx="27">
                  <c:v>42.482094416750257</c:v>
                </c:pt>
                <c:pt idx="28">
                  <c:v>41.969982295165693</c:v>
                </c:pt>
                <c:pt idx="29">
                  <c:v>41.455407059318368</c:v>
                </c:pt>
                <c:pt idx="30">
                  <c:v>40.938634476106024</c:v>
                </c:pt>
                <c:pt idx="31">
                  <c:v>40.419903756360497</c:v>
                </c:pt>
                <c:pt idx="32">
                  <c:v>39.899429796222734</c:v>
                </c:pt>
                <c:pt idx="33">
                  <c:v>39.377405326273461</c:v>
                </c:pt>
                <c:pt idx="34">
                  <c:v>38.854002948175761</c:v>
                </c:pt>
                <c:pt idx="35">
                  <c:v>38.329377046273542</c:v>
                </c:pt>
                <c:pt idx="36">
                  <c:v>37.803665567628549</c:v>
                </c:pt>
                <c:pt idx="37">
                  <c:v>37.276991668625911</c:v>
                </c:pt>
                <c:pt idx="38">
                  <c:v>36.749465229764709</c:v>
                </c:pt>
                <c:pt idx="39">
                  <c:v>36.221184242783771</c:v>
                </c:pt>
                <c:pt idx="40">
                  <c:v>35.692236076045866</c:v>
                </c:pt>
                <c:pt idx="41">
                  <c:v>35.162698625269989</c:v>
                </c:pt>
                <c:pt idx="42">
                  <c:v>34.632641357405518</c:v>
                </c:pt>
                <c:pt idx="43">
                  <c:v>34.102126255784661</c:v>
                </c:pt>
                <c:pt idx="44">
                  <c:v>33.571208674772521</c:v>
                </c:pt>
                <c:pt idx="45">
                  <c:v>33.039938112023933</c:v>
                </c:pt>
                <c:pt idx="46">
                  <c:v>32.508358906215719</c:v>
                </c:pt>
                <c:pt idx="47">
                  <c:v>31.976510867792275</c:v>
                </c:pt>
                <c:pt idx="48">
                  <c:v>31.444429849887289</c:v>
                </c:pt>
                <c:pt idx="49">
                  <c:v>30.912148266177041</c:v>
                </c:pt>
                <c:pt idx="50">
                  <c:v>30.379695562018952</c:v>
                </c:pt>
                <c:pt idx="51">
                  <c:v>29.84709864482997</c:v>
                </c:pt>
                <c:pt idx="52">
                  <c:v>29.314382279292669</c:v>
                </c:pt>
                <c:pt idx="53">
                  <c:v>28.781569452632372</c:v>
                </c:pt>
                <c:pt idx="54">
                  <c:v>28.248681714907168</c:v>
                </c:pt>
                <c:pt idx="55">
                  <c:v>27.715739498987695</c:v>
                </c:pt>
                <c:pt idx="56">
                  <c:v>27.182762424682529</c:v>
                </c:pt>
                <c:pt idx="57">
                  <c:v>26.64976959128974</c:v>
                </c:pt>
                <c:pt idx="58">
                  <c:v>26.116779862722215</c:v>
                </c:pt>
                <c:pt idx="59">
                  <c:v>25.583812149271346</c:v>
                </c:pt>
                <c:pt idx="60">
                  <c:v>25.050885690033049</c:v>
                </c:pt>
                <c:pt idx="61">
                  <c:v>24.518020340028713</c:v>
                </c:pt>
                <c:pt idx="62">
                  <c:v>23.985236866108327</c:v>
                </c:pt>
                <c:pt idx="63">
                  <c:v>23.452557255821404</c:v>
                </c:pt>
                <c:pt idx="64">
                  <c:v>22.920005043589544</c:v>
                </c:pt>
                <c:pt idx="65">
                  <c:v>22.387605658704111</c:v>
                </c:pt>
                <c:pt idx="66">
                  <c:v>21.855386799909361</c:v>
                </c:pt>
                <c:pt idx="67">
                  <c:v>21.323378841606715</c:v>
                </c:pt>
                <c:pt idx="68">
                  <c:v>20.791615277034868</c:v>
                </c:pt>
                <c:pt idx="69">
                  <c:v>20.260133204129929</c:v>
                </c:pt>
                <c:pt idx="70">
                  <c:v>19.728973860150166</c:v>
                </c:pt>
                <c:pt idx="71">
                  <c:v>19.198183211551555</c:v>
                </c:pt>
                <c:pt idx="72">
                  <c:v>18.667812606003828</c:v>
                </c:pt>
                <c:pt idx="73">
                  <c:v>18.137919493838094</c:v>
                </c:pt>
                <c:pt idx="74">
                  <c:v>17.608568226579788</c:v>
                </c:pt>
                <c:pt idx="75">
                  <c:v>17.079830940526882</c:v>
                </c:pt>
                <c:pt idx="76">
                  <c:v>16.551788533535216</c:v>
                </c:pt>
                <c:pt idx="77">
                  <c:v>16.024531743227438</c:v>
                </c:pt>
                <c:pt idx="78">
                  <c:v>15.498162334683043</c:v>
                </c:pt>
                <c:pt idx="79">
                  <c:v>14.972794405214604</c:v>
                </c:pt>
                <c:pt idx="80">
                  <c:v>14.448555812992403</c:v>
                </c:pt>
                <c:pt idx="81">
                  <c:v>13.925589734932364</c:v>
                </c:pt>
                <c:pt idx="82">
                  <c:v>13.404056357252481</c:v>
                </c:pt>
                <c:pt idx="83">
                  <c:v>12.884134699280569</c:v>
                </c:pt>
                <c:pt idx="84">
                  <c:v>12.366024567251214</c:v>
                </c:pt>
                <c:pt idx="85">
                  <c:v>11.849948629749543</c:v>
                </c:pt>
                <c:pt idx="86">
                  <c:v>11.336154599902272</c:v>
                </c:pt>
                <c:pt idx="87">
                  <c:v>10.824917501144327</c:v>
                </c:pt>
                <c:pt idx="88">
                  <c:v>10.316541983148328</c:v>
                </c:pt>
                <c:pt idx="89">
                  <c:v>9.8113646421131495</c:v>
                </c:pt>
                <c:pt idx="90">
                  <c:v>9.3097562849214484</c:v>
                </c:pt>
                <c:pt idx="91">
                  <c:v>8.8121240597067327</c:v>
                </c:pt>
                <c:pt idx="92">
                  <c:v>8.3189133563019446</c:v>
                </c:pt>
                <c:pt idx="93">
                  <c:v>7.8306093593494239</c:v>
                </c:pt>
                <c:pt idx="94">
                  <c:v>7.3477381153731844</c:v>
                </c:pt>
                <c:pt idx="95">
                  <c:v>6.8708669541524836</c:v>
                </c:pt>
                <c:pt idx="96">
                  <c:v>6.4006040861573386</c:v>
                </c:pt>
                <c:pt idx="97">
                  <c:v>5.9375971840752069</c:v>
                </c:pt>
                <c:pt idx="98">
                  <c:v>5.4825307506398904</c:v>
                </c:pt>
                <c:pt idx="99">
                  <c:v>5.0361220806296823</c:v>
                </c:pt>
                <c:pt idx="100">
                  <c:v>4.5991156458147922</c:v>
                </c:pt>
                <c:pt idx="101">
                  <c:v>4.1722757714217078</c:v>
                </c:pt>
                <c:pt idx="102">
                  <c:v>3.7563775341448786</c:v>
                </c:pt>
                <c:pt idx="103">
                  <c:v>3.3521958961397336</c:v>
                </c:pt>
                <c:pt idx="104">
                  <c:v>2.9604931956068601</c:v>
                </c:pt>
                <c:pt idx="105">
                  <c:v>2.5820052382094261</c:v>
                </c:pt>
                <c:pt idx="106">
                  <c:v>2.2174263666397169</c:v>
                </c:pt>
                <c:pt idx="107">
                  <c:v>1.8673940165238647</c:v>
                </c:pt>
                <c:pt idx="108">
                  <c:v>1.5324733809681077</c:v>
                </c:pt>
                <c:pt idx="109">
                  <c:v>1.2131428875318471</c:v>
                </c:pt>
                <c:pt idx="110">
                  <c:v>0.90978122535609152</c:v>
                </c:pt>
                <c:pt idx="111">
                  <c:v>0.62265663539734695</c:v>
                </c:pt>
                <c:pt idx="112">
                  <c:v>0.35191908830818963</c:v>
                </c:pt>
                <c:pt idx="113">
                  <c:v>9.7595825697087135E-2</c:v>
                </c:pt>
                <c:pt idx="114">
                  <c:v>-0.14040945690315076</c:v>
                </c:pt>
                <c:pt idx="115">
                  <c:v>-0.36231373381937848</c:v>
                </c:pt>
                <c:pt idx="116">
                  <c:v>-0.56844826053588271</c:v>
                </c:pt>
                <c:pt idx="117">
                  <c:v>-0.75924906633123945</c:v>
                </c:pt>
                <c:pt idx="118">
                  <c:v>-0.9352448942243009</c:v>
                </c:pt>
                <c:pt idx="119">
                  <c:v>-1.0970432701094237</c:v>
                </c:pt>
                <c:pt idx="120">
                  <c:v>-1.2453154356081524</c:v>
                </c:pt>
                <c:pt idx="121">
                  <c:v>-1.3807808700104065</c:v>
                </c:pt>
                <c:pt idx="122">
                  <c:v>-1.5041920644464706</c:v>
                </c:pt>
                <c:pt idx="123">
                  <c:v>-1.6163201097304827</c:v>
                </c:pt>
                <c:pt idx="124">
                  <c:v>-1.7179415338996094</c:v>
                </c:pt>
                <c:pt idx="125">
                  <c:v>-1.8098266917410479</c:v>
                </c:pt>
                <c:pt idx="126">
                  <c:v>-1.8927298795971295</c:v>
                </c:pt>
                <c:pt idx="127">
                  <c:v>-1.9673812341378396</c:v>
                </c:pt>
                <c:pt idx="128">
                  <c:v>-2.0344803794878445</c:v>
                </c:pt>
                <c:pt idx="129">
                  <c:v>-2.0946917155629032</c:v>
                </c:pt>
                <c:pt idx="130">
                  <c:v>-2.1486411914208872</c:v>
                </c:pt>
                <c:pt idx="131">
                  <c:v>-2.1969143786188141</c:v>
                </c:pt>
                <c:pt idx="132">
                  <c:v>-2.2400556476730742</c:v>
                </c:pt>
                <c:pt idx="133">
                  <c:v>-2.2785682519427946</c:v>
                </c:pt>
                <c:pt idx="134">
                  <c:v>-2.312915133922246</c:v>
                </c:pt>
                <c:pt idx="135">
                  <c:v>-2.3435202857171573</c:v>
                </c:pt>
                <c:pt idx="136">
                  <c:v>-2.3707705156610266</c:v>
                </c:pt>
                <c:pt idx="137">
                  <c:v>-2.3950174944777385</c:v>
                </c:pt>
                <c:pt idx="138">
                  <c:v>-2.4165799755691046</c:v>
                </c:pt>
                <c:pt idx="139">
                  <c:v>-2.435746103877495</c:v>
                </c:pt>
                <c:pt idx="140">
                  <c:v>-2.4527757457096073</c:v>
                </c:pt>
                <c:pt idx="141">
                  <c:v>-2.4679027876209734</c:v>
                </c:pt>
                <c:pt idx="142">
                  <c:v>-2.4813373658635514</c:v>
                </c:pt>
                <c:pt idx="143">
                  <c:v>-2.4932679990746816</c:v>
                </c:pt>
                <c:pt idx="144">
                  <c:v>-2.503863606013538</c:v>
                </c:pt>
                <c:pt idx="145">
                  <c:v>-2.5132753974463107</c:v>
                </c:pt>
                <c:pt idx="146">
                  <c:v>-2.5216386370006427</c:v>
                </c:pt>
                <c:pt idx="147">
                  <c:v>-2.5290742701881546</c:v>
                </c:pt>
                <c:pt idx="148">
                  <c:v>-2.5356904240658156</c:v>
                </c:pt>
                <c:pt idx="149">
                  <c:v>-2.5415837823735883</c:v>
                </c:pt>
                <c:pt idx="150">
                  <c:v>-2.5468408426371609</c:v>
                </c:pt>
                <c:pt idx="151">
                  <c:v>-2.551539062800309</c:v>
                </c:pt>
                <c:pt idx="152">
                  <c:v>-2.5557479056050632</c:v>
                </c:pt>
                <c:pt idx="153">
                  <c:v>-2.5595297892449391</c:v>
                </c:pt>
                <c:pt idx="154">
                  <c:v>-2.5629409529031162</c:v>
                </c:pt>
                <c:pt idx="155">
                  <c:v>-2.5660322456827367</c:v>
                </c:pt>
                <c:pt idx="156">
                  <c:v>-2.5688498472364314</c:v>
                </c:pt>
                <c:pt idx="157">
                  <c:v>-2.5714359281123795</c:v>
                </c:pt>
                <c:pt idx="158">
                  <c:v>-2.5738292575277804</c:v>
                </c:pt>
                <c:pt idx="159">
                  <c:v>-2.5760657659407347</c:v>
                </c:pt>
                <c:pt idx="160">
                  <c:v>-2.5781790694831281</c:v>
                </c:pt>
                <c:pt idx="161">
                  <c:v>-2.5802009630151783</c:v>
                </c:pt>
                <c:pt idx="162">
                  <c:v>-2.582161888304995</c:v>
                </c:pt>
                <c:pt idx="163">
                  <c:v>-2.5840913836169892</c:v>
                </c:pt>
                <c:pt idx="164">
                  <c:v>-2.5860185208264337</c:v>
                </c:pt>
                <c:pt idx="165">
                  <c:v>-2.5879723360550946</c:v>
                </c:pt>
                <c:pt idx="166">
                  <c:v>-2.5899822597649438</c:v>
                </c:pt>
                <c:pt idx="167">
                  <c:v>-2.5920785522338226</c:v>
                </c:pt>
                <c:pt idx="168">
                  <c:v>-2.5942927503869924</c:v>
                </c:pt>
                <c:pt idx="169">
                  <c:v>-2.596658132056906</c:v>
                </c:pt>
                <c:pt idx="170">
                  <c:v>-2.5992102038963432</c:v>
                </c:pt>
                <c:pt idx="171">
                  <c:v>-2.6019872193683531</c:v>
                </c:pt>
                <c:pt idx="172">
                  <c:v>-2.6050307334775313</c:v>
                </c:pt>
                <c:pt idx="173">
                  <c:v>-2.6083862011798038</c:v>
                </c:pt>
                <c:pt idx="174">
                  <c:v>-2.6121036267039797</c:v>
                </c:pt>
                <c:pt idx="175">
                  <c:v>-2.6162382713208494</c:v>
                </c:pt>
                <c:pt idx="176">
                  <c:v>-2.6208514273837102</c:v>
                </c:pt>
                <c:pt idx="177">
                  <c:v>-2.6260112667129958</c:v>
                </c:pt>
                <c:pt idx="178">
                  <c:v>-2.6317937715729616</c:v>
                </c:pt>
                <c:pt idx="179">
                  <c:v>-2.6382837565413646</c:v>
                </c:pt>
                <c:pt idx="180">
                  <c:v>-2.6455759894550734</c:v>
                </c:pt>
                <c:pt idx="181">
                  <c:v>-2.6537764192457018</c:v>
                </c:pt>
                <c:pt idx="182">
                  <c:v>-2.6630035177782698</c:v>
                </c:pt>
                <c:pt idx="183">
                  <c:v>-2.6733897416609116</c:v>
                </c:pt>
                <c:pt idx="184">
                  <c:v>-2.6850831182742056</c:v>
                </c:pt>
                <c:pt idx="185">
                  <c:v>-2.6982489578171451</c:v>
                </c:pt>
                <c:pt idx="186">
                  <c:v>-2.7130716898081375</c:v>
                </c:pt>
                <c:pt idx="187">
                  <c:v>-2.7297568179913334</c:v>
                </c:pt>
                <c:pt idx="188">
                  <c:v>-2.7485329817705129</c:v>
                </c:pt>
                <c:pt idx="189">
                  <c:v>-2.7696541048586294</c:v>
                </c:pt>
                <c:pt idx="190">
                  <c:v>-2.7934016025648898</c:v>
                </c:pt>
                <c:pt idx="191">
                  <c:v>-2.8200866077942868</c:v>
                </c:pt>
                <c:pt idx="192">
                  <c:v>-2.8500521622560324</c:v>
                </c:pt>
                <c:pt idx="193">
                  <c:v>-2.883675303459194</c:v>
                </c:pt>
                <c:pt idx="194">
                  <c:v>-2.9213689599197776</c:v>
                </c:pt>
                <c:pt idx="195">
                  <c:v>-2.9635835468928509</c:v>
                </c:pt>
                <c:pt idx="196">
                  <c:v>-3.0108081335103281</c:v>
                </c:pt>
                <c:pt idx="197">
                  <c:v>-3.0635710304848058</c:v>
                </c:pt>
                <c:pt idx="198">
                  <c:v>-3.1224396270630277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662112"/>
        <c:axId val="80864192"/>
      </c:scatterChart>
      <c:valAx>
        <c:axId val="25766211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864192"/>
        <c:crosses val="autoZero"/>
        <c:crossBetween val="midCat"/>
      </c:valAx>
      <c:valAx>
        <c:axId val="8086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662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Phase of Vloop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'8. Loop Compensation'!$AT$1</c:f>
              <c:strCache>
                <c:ptCount val="1"/>
                <c:pt idx="0">
                  <c:v>°</c:v>
                </c:pt>
              </c:strCache>
            </c:strRef>
          </c:tx>
          <c:marker>
            <c:symbol val="none"/>
          </c:marker>
          <c:xVal>
            <c:numRef>
              <c:f>'8. Loop Compensation'!$Z$2:$Z$201</c:f>
              <c:numCache>
                <c:formatCode>General</c:formatCode>
                <c:ptCount val="200"/>
                <c:pt idx="0">
                  <c:v>1</c:v>
                </c:pt>
                <c:pt idx="1">
                  <c:v>1.0634378492473788</c:v>
                </c:pt>
                <c:pt idx="2">
                  <c:v>1.1309000592118907</c:v>
                </c:pt>
                <c:pt idx="3">
                  <c:v>1.2026419266820265</c:v>
                </c:pt>
                <c:pt idx="4">
                  <c:v>1.278934943925458</c:v>
                </c:pt>
                <c:pt idx="5">
                  <c:v>1.3600678260954062</c:v>
                </c:pt>
                <c:pt idx="6">
                  <c:v>1.4463476038134566</c:v>
                </c:pt>
                <c:pt idx="7">
                  <c:v>1.5381007850634825</c:v>
                </c:pt>
                <c:pt idx="8">
                  <c:v>1.6356745907936145</c:v>
                </c:pt>
                <c:pt idx="9">
                  <c:v>1.7394382689021479</c:v>
                </c:pt>
                <c:pt idx="10">
                  <c:v>1.849784491579884</c:v>
                </c:pt>
                <c:pt idx="11">
                  <c:v>1.967130841296868</c:v>
                </c:pt>
                <c:pt idx="12">
                  <c:v>2.0919213910569279</c:v>
                </c:pt>
                <c:pt idx="13">
                  <c:v>2.2246283849001642</c:v>
                </c:pt>
                <c:pt idx="14">
                  <c:v>2.365754025012901</c:v>
                </c:pt>
                <c:pt idx="15">
                  <c:v>2.5158323722080485</c:v>
                </c:pt>
                <c:pt idx="16">
                  <c:v>2.6754313669678584</c:v>
                </c:pt>
                <c:pt idx="17">
                  <c:v>2.8451549786972743</c:v>
                </c:pt>
                <c:pt idx="18">
                  <c:v>3.0256454913213009</c:v>
                </c:pt>
                <c:pt idx="19">
                  <c:v>3.2175859338757533</c:v>
                </c:pt>
                <c:pt idx="20">
                  <c:v>3.42170266528945</c:v>
                </c:pt>
                <c:pt idx="21">
                  <c:v>3.6387681231394358</c:v>
                </c:pt>
                <c:pt idx="22">
                  <c:v>3.8696037467813236</c:v>
                </c:pt>
                <c:pt idx="23">
                  <c:v>4.1150830859167291</c:v>
                </c:pt>
                <c:pt idx="24">
                  <c:v>4.376135106361553</c:v>
                </c:pt>
                <c:pt idx="25">
                  <c:v>4.6537477055250784</c:v>
                </c:pt>
                <c:pt idx="26">
                  <c:v>4.9489714509035139</c:v>
                </c:pt>
                <c:pt idx="27">
                  <c:v>5.2629235557355134</c:v>
                </c:pt>
                <c:pt idx="28">
                  <c:v>5.5967921068647417</c:v>
                </c:pt>
                <c:pt idx="29">
                  <c:v>5.9518405608089449</c:v>
                </c:pt>
                <c:pt idx="30">
                  <c:v>6.3294125250499764</c:v>
                </c:pt>
                <c:pt idx="31">
                  <c:v>6.7309368426385694</c:v>
                </c:pt>
                <c:pt idx="32">
                  <c:v>7.1579329993555039</c:v>
                </c:pt>
                <c:pt idx="33">
                  <c:v>7.6120168738914558</c:v>
                </c:pt>
                <c:pt idx="34">
                  <c:v>8.0949068528058863</c:v>
                </c:pt>
                <c:pt idx="35">
                  <c:v>8.6084303334057619</c:v>
                </c:pt>
                <c:pt idx="36">
                  <c:v>9.1545306391529166</c:v>
                </c:pt>
                <c:pt idx="37">
                  <c:v>9.7352743737700074</c:v>
                </c:pt>
                <c:pt idx="38">
                  <c:v>10.352859241875105</c:v>
                </c:pt>
                <c:pt idx="39">
                  <c:v>11.009622365740512</c:v>
                </c:pt>
                <c:pt idx="40">
                  <c:v>11.708049129648925</c:v>
                </c:pt>
                <c:pt idx="41">
                  <c:v>12.4507825853165</c:v>
                </c:pt>
                <c:pt idx="42">
                  <c:v>13.240633453975693</c:v>
                </c:pt>
                <c:pt idx="43">
                  <c:v>14.080590762968805</c:v>
                </c:pt>
                <c:pt idx="44">
                  <c:v>14.973833157104059</c:v>
                </c:pt>
                <c:pt idx="45">
                  <c:v>15.923740927579823</c:v>
                </c:pt>
                <c:pt idx="46">
                  <c:v>16.933908803997952</c:v>
                </c:pt>
                <c:pt idx="47">
                  <c:v>18.008159557874837</c:v>
                </c:pt>
                <c:pt idx="48">
                  <c:v>19.150558469130036</c:v>
                </c:pt>
                <c:pt idx="49">
                  <c:v>20.365428710297824</c:v>
                </c:pt>
                <c:pt idx="50">
                  <c:v>21.657367706679931</c:v>
                </c:pt>
                <c:pt idx="51">
                  <c:v>23.031264534351347</c:v>
                </c:pt>
                <c:pt idx="52">
                  <c:v>24.492318421858034</c:v>
                </c:pt>
                <c:pt idx="53">
                  <c:v>26.046058425622668</c:v>
                </c:pt>
                <c:pt idx="54">
                  <c:v>27.698364353515743</c:v>
                </c:pt>
                <c:pt idx="55">
                  <c:v>29.45548901577305</c:v>
                </c:pt>
                <c:pt idx="56">
                  <c:v>31.324081887463471</c:v>
                </c:pt>
                <c:pt idx="57">
                  <c:v>33.311214272052936</c:v>
                </c:pt>
                <c:pt idx="58">
                  <c:v>35.424406061290533</c:v>
                </c:pt>
                <c:pt idx="59">
                  <c:v>37.67165419268462</c:v>
                </c:pt>
                <c:pt idx="60">
                  <c:v>40.061462912259522</c:v>
                </c:pt>
                <c:pt idx="61">
                  <c:v>42.602875957116908</c:v>
                </c:pt>
                <c:pt idx="62">
                  <c:v>45.305510779589277</c:v>
                </c:pt>
                <c:pt idx="63">
                  <c:v>48.179594942500358</c:v>
                </c:pt>
                <c:pt idx="64">
                  <c:v>51.236004823262483</c:v>
                </c:pt>
                <c:pt idx="65">
                  <c:v>54.486306773278585</c:v>
                </c:pt>
                <c:pt idx="66">
                  <c:v>57.94280088840825</c:v>
                </c:pt>
                <c:pt idx="67">
                  <c:v>61.61856755613799</c:v>
                </c:pt>
                <c:pt idx="68">
                  <c:v>65.527516955603716</c:v>
                </c:pt>
                <c:pt idx="69">
                  <c:v>69.684441697788372</c:v>
                </c:pt>
                <c:pt idx="70">
                  <c:v>74.105072805100434</c:v>
                </c:pt>
                <c:pt idx="71">
                  <c:v>78.806139242176371</c:v>
                </c:pt>
                <c:pt idx="72">
                  <c:v>83.805431223189501</c:v>
                </c:pt>
                <c:pt idx="73">
                  <c:v>89.121867535237712</c:v>
                </c:pt>
                <c:pt idx="74">
                  <c:v>94.775567132582992</c:v>
                </c:pt>
                <c:pt idx="75">
                  <c:v>100.78792527267464</c:v>
                </c:pt>
                <c:pt idx="76">
                  <c:v>107.18169448207877</c:v>
                </c:pt>
                <c:pt idx="77">
                  <c:v>113.98107065871142</c:v>
                </c:pt>
                <c:pt idx="78">
                  <c:v>121.21178463621371</c:v>
                </c:pt>
                <c:pt idx="79">
                  <c:v>128.90119955697148</c:v>
                </c:pt>
                <c:pt idx="80">
                  <c:v>137.07841442227294</c:v>
                </c:pt>
                <c:pt idx="81">
                  <c:v>145.77437421146283</c:v>
                </c:pt>
                <c:pt idx="82">
                  <c:v>155.02198698682062</c:v>
                </c:pt>
                <c:pt idx="83">
                  <c:v>164.85624842731968</c:v>
                </c:pt>
                <c:pt idx="84">
                  <c:v>175.3143742625403</c:v>
                </c:pt>
                <c:pt idx="85">
                  <c:v>186.43594110790573</c:v>
                </c:pt>
                <c:pt idx="86">
                  <c:v>198.26303623420247</c:v>
                </c:pt>
                <c:pt idx="87">
                  <c:v>210.84041683815525</c:v>
                </c:pt>
                <c:pt idx="88">
                  <c:v>224.21567941678887</c:v>
                </c:pt>
                <c:pt idx="89">
                  <c:v>238.43943988652958</c:v>
                </c:pt>
                <c:pt idx="90">
                  <c:v>253.56552512868072</c:v>
                </c:pt>
                <c:pt idx="91">
                  <c:v>269.65117668612646</c:v>
                </c:pt>
                <c:pt idx="92">
                  <c:v>286.75726738211927</c:v>
                </c:pt>
                <c:pt idx="93">
                  <c:v>304.94853168089651</c:v>
                </c:pt>
                <c:pt idx="94">
                  <c:v>324.29381066187881</c:v>
                </c:pt>
                <c:pt idx="95">
                  <c:v>344.8663125345048</c:v>
                </c:pt>
                <c:pt idx="96">
                  <c:v>366.74388967956821</c:v>
                </c:pt>
                <c:pt idx="97">
                  <c:v>390.00933326545766</c:v>
                </c:pt>
                <c:pt idx="98">
                  <c:v>414.75068655422291</c:v>
                </c:pt>
                <c:pt idx="99">
                  <c:v>441.06157808309626</c:v>
                </c:pt>
                <c:pt idx="100">
                  <c:v>469.04157598234281</c:v>
                </c:pt>
                <c:pt idx="101">
                  <c:v>498.79656477026373</c:v>
                </c:pt>
                <c:pt idx="102">
                  <c:v>530.4391460512702</c:v>
                </c:pt>
                <c:pt idx="103">
                  <c:v>564.08906463337905</c:v>
                </c:pt>
                <c:pt idx="104">
                  <c:v>599.87366167768641</c:v>
                </c:pt>
                <c:pt idx="105">
                  <c:v>637.92835659466812</c:v>
                </c:pt>
                <c:pt idx="106">
                  <c:v>678.39715951094945</c:v>
                </c:pt>
                <c:pt idx="107">
                  <c:v>721.43321624585462</c:v>
                </c:pt>
                <c:pt idx="108">
                  <c:v>767.19938786011153</c:v>
                </c:pt>
                <c:pt idx="109">
                  <c:v>815.86886696986198</c:v>
                </c:pt>
                <c:pt idx="110">
                  <c:v>867.62583315832671</c:v>
                </c:pt>
                <c:pt idx="111">
                  <c:v>922.66614996535543</c:v>
                </c:pt>
                <c:pt idx="112">
                  <c:v>981.19810609251715</c:v>
                </c:pt>
                <c:pt idx="113">
                  <c:v>1043.443203628628</c:v>
                </c:pt>
                <c:pt idx="114">
                  <c:v>1109.6369962786232</c:v>
                </c:pt>
                <c:pt idx="115">
                  <c:v>1180.0299807678607</c:v>
                </c:pt>
                <c:pt idx="116">
                  <c:v>1254.8885447951977</c:v>
                </c:pt>
                <c:pt idx="117">
                  <c:v>1334.4959751221782</c:v>
                </c:pt>
                <c:pt idx="118">
                  <c:v>1419.1535296132129</c:v>
                </c:pt>
                <c:pt idx="119">
                  <c:v>1509.1815772837017</c:v>
                </c:pt>
                <c:pt idx="120">
                  <c:v>1604.9208106703452</c:v>
                </c:pt>
                <c:pt idx="121">
                  <c:v>1706.7335351116335</c:v>
                </c:pt>
                <c:pt idx="122">
                  <c:v>1815.0050398174897</c:v>
                </c:pt>
                <c:pt idx="123">
                  <c:v>1930.1450559166665</c:v>
                </c:pt>
                <c:pt idx="124">
                  <c:v>2052.58930699948</c:v>
                </c:pt>
                <c:pt idx="125">
                  <c:v>2182.8011580236971</c:v>
                </c:pt>
                <c:pt idx="126">
                  <c:v>2321.2733688234066</c:v>
                </c:pt>
                <c:pt idx="127">
                  <c:v>2468.5299588567814</c:v>
                </c:pt>
                <c:pt idx="128">
                  <c:v>2625.1281902493761</c:v>
                </c:pt>
                <c:pt idx="129">
                  <c:v>2791.6606766374607</c:v>
                </c:pt>
                <c:pt idx="130">
                  <c:v>2968.757625791824</c:v>
                </c:pt>
                <c:pt idx="131">
                  <c:v>3157.0892245088098</c:v>
                </c:pt>
                <c:pt idx="132">
                  <c:v>3357.3681747937244</c:v>
                </c:pt>
                <c:pt idx="133">
                  <c:v>3570.3523909342362</c:v>
                </c:pt>
                <c:pt idx="134">
                  <c:v>3796.8478676703417</c:v>
                </c:pt>
                <c:pt idx="135">
                  <c:v>4037.7117303148448</c:v>
                </c:pt>
                <c:pt idx="136">
                  <c:v>4293.8554783669315</c:v>
                </c:pt>
                <c:pt idx="137">
                  <c:v>4566.248434893605</c:v>
                </c:pt>
                <c:pt idx="138">
                  <c:v>4855.9214147324665</c:v>
                </c:pt>
                <c:pt idx="139">
                  <c:v>5163.9706253973836</c:v>
                </c:pt>
                <c:pt idx="140">
                  <c:v>5491.5618154492358</c:v>
                </c:pt>
                <c:pt idx="141">
                  <c:v>5839.9346860303567</c:v>
                </c:pt>
                <c:pt idx="142">
                  <c:v>6210.4075822572904</c:v>
                </c:pt>
                <c:pt idx="143">
                  <c:v>6604.3824822253073</c:v>
                </c:pt>
                <c:pt idx="144">
                  <c:v>7023.3503025047467</c:v>
                </c:pt>
                <c:pt idx="145">
                  <c:v>7468.8965402065769</c:v>
                </c:pt>
                <c:pt idx="146">
                  <c:v>7942.7072729684578</c:v>
                </c:pt>
                <c:pt idx="147">
                  <c:v>8446.5755395671058</c:v>
                </c:pt>
                <c:pt idx="148">
                  <c:v>8982.4081253027471</c:v>
                </c:pt>
                <c:pt idx="149">
                  <c:v>9552.2327778341514</c:v>
                </c:pt>
                <c:pt idx="150">
                  <c:v>10158.205880770249</c:v>
                </c:pt>
                <c:pt idx="151">
                  <c:v>10802.620614058389</c:v>
                </c:pt>
                <c:pt idx="152">
                  <c:v>11487.915632049675</c:v>
                </c:pt>
                <c:pt idx="153">
                  <c:v>12216.684292082227</c:v>
                </c:pt>
                <c:pt idx="154">
                  <c:v>12991.684468506162</c:v>
                </c:pt>
                <c:pt idx="155">
                  <c:v>13815.848989288772</c:v>
                </c:pt>
                <c:pt idx="156">
                  <c:v>14692.296734695852</c:v>
                </c:pt>
                <c:pt idx="157">
                  <c:v>15624.344440049217</c:v>
                </c:pt>
                <c:pt idx="158">
                  <c:v>16615.519247226184</c:v>
                </c:pt>
                <c:pt idx="159">
                  <c:v>17669.572052398642</c:v>
                </c:pt>
                <c:pt idx="160">
                  <c:v>18790.49170052441</c:v>
                </c:pt>
                <c:pt idx="161">
                  <c:v>19982.5200803064</c:v>
                </c:pt>
                <c:pt idx="162">
                  <c:v>21250.168176743602</c:v>
                </c:pt>
                <c:pt idx="163">
                  <c:v>22598.233142021272</c:v>
                </c:pt>
                <c:pt idx="164">
                  <c:v>24031.816449341983</c:v>
                </c:pt>
                <c:pt idx="165">
                  <c:v>25556.343198396022</c:v>
                </c:pt>
                <c:pt idx="166">
                  <c:v>27177.582645530147</c:v>
                </c:pt>
                <c:pt idx="167">
                  <c:v>28901.670036305419</c:v>
                </c:pt>
                <c:pt idx="168">
                  <c:v>30735.129823066054</c:v>
                </c:pt>
                <c:pt idx="169">
                  <c:v>32684.900355380338</c:v>
                </c:pt>
                <c:pt idx="170">
                  <c:v>34758.360136790499</c:v>
                </c:pt>
                <c:pt idx="171">
                  <c:v>36963.355747234389</c:v>
                </c:pt>
                <c:pt idx="172">
                  <c:v>39308.231536804677</c:v>
                </c:pt>
                <c:pt idx="173">
                  <c:v>41801.861203217486</c:v>
                </c:pt>
                <c:pt idx="174">
                  <c:v>44453.681372487059</c:v>
                </c:pt>
                <c:pt idx="175">
                  <c:v>47273.727309885995</c:v>
                </c:pt>
                <c:pt idx="176">
                  <c:v>50272.670896332245</c:v>
                </c:pt>
                <c:pt idx="177">
                  <c:v>53461.861013916772</c:v>
                </c:pt>
                <c:pt idx="178">
                  <c:v>56853.366493401947</c:v>
                </c:pt>
                <c:pt idx="179">
                  <c:v>60460.02178621637</c:v>
                </c:pt>
                <c:pt idx="180">
                  <c:v>64295.47553378361</c:v>
                </c:pt>
                <c:pt idx="181">
                  <c:v>68374.242217984312</c:v>
                </c:pt>
                <c:pt idx="182">
                  <c:v>72711.757088212587</c:v>
                </c:pt>
                <c:pt idx="183">
                  <c:v>77324.434572886516</c:v>
                </c:pt>
                <c:pt idx="184">
                  <c:v>82229.730396460247</c:v>
                </c:pt>
                <c:pt idx="185">
                  <c:v>87446.207637003507</c:v>
                </c:pt>
                <c:pt idx="186">
                  <c:v>92993.606974334747</c:v>
                </c:pt>
                <c:pt idx="187">
                  <c:v>98892.921394542427</c:v>
                </c:pt>
                <c:pt idx="188">
                  <c:v>105166.47563360249</c:v>
                </c:pt>
                <c:pt idx="189">
                  <c:v>111838.01066072512</c:v>
                </c:pt>
                <c:pt idx="190">
                  <c:v>118932.77352114675</c:v>
                </c:pt>
                <c:pt idx="191">
                  <c:v>126477.61287835392</c:v>
                </c:pt>
                <c:pt idx="192">
                  <c:v>134501.0806172993</c:v>
                </c:pt>
                <c:pt idx="193">
                  <c:v>143033.53989310883</c:v>
                </c:pt>
                <c:pt idx="194">
                  <c:v>152107.28003416685</c:v>
                </c:pt>
                <c:pt idx="195">
                  <c:v>161756.63873440344</c:v>
                </c:pt>
                <c:pt idx="196">
                  <c:v>172018.13199719929</c:v>
                </c:pt>
                <c:pt idx="197">
                  <c:v>182930.59232265301</c:v>
                </c:pt>
                <c:pt idx="198">
                  <c:v>194535.31566115122</c:v>
                </c:pt>
                <c:pt idx="199">
                  <c:v>206876.21768935499</c:v>
                </c:pt>
              </c:numCache>
            </c:numRef>
          </c:xVal>
          <c:yVal>
            <c:numRef>
              <c:f>'8. Loop Compensation'!$AT$2:$AT$201</c:f>
              <c:numCache>
                <c:formatCode>General</c:formatCode>
                <c:ptCount val="200"/>
                <c:pt idx="0">
                  <c:v>138.39930200504676</c:v>
                </c:pt>
                <c:pt idx="1">
                  <c:v>136.64268930251012</c:v>
                </c:pt>
                <c:pt idx="2">
                  <c:v>134.8796545442506</c:v>
                </c:pt>
                <c:pt idx="3">
                  <c:v>133.11682794454984</c:v>
                </c:pt>
                <c:pt idx="4">
                  <c:v>131.36083301925058</c:v>
                </c:pt>
                <c:pt idx="5">
                  <c:v>129.61816253038663</c:v>
                </c:pt>
                <c:pt idx="6">
                  <c:v>127.89506031678121</c:v>
                </c:pt>
                <c:pt idx="7">
                  <c:v>126.19741412555774</c:v>
                </c:pt>
                <c:pt idx="8">
                  <c:v>124.53066366941052</c:v>
                </c:pt>
                <c:pt idx="9">
                  <c:v>122.89972695657531</c:v>
                </c:pt>
                <c:pt idx="10">
                  <c:v>121.30894661628031</c:v>
                </c:pt>
                <c:pt idx="11">
                  <c:v>119.76205661786541</c:v>
                </c:pt>
                <c:pt idx="12">
                  <c:v>118.26216858487568</c:v>
                </c:pt>
                <c:pt idx="13">
                  <c:v>116.81177593075904</c:v>
                </c:pt>
                <c:pt idx="14">
                  <c:v>115.41277334373939</c:v>
                </c:pt>
                <c:pt idx="15">
                  <c:v>114.06648873789823</c:v>
                </c:pt>
                <c:pt idx="16">
                  <c:v>112.77372464470159</c:v>
                </c:pt>
                <c:pt idx="17">
                  <c:v>111.53480610012627</c:v>
                </c:pt>
                <c:pt idx="18">
                  <c:v>110.34963233101308</c:v>
                </c:pt>
                <c:pt idx="19">
                  <c:v>109.21772990185404</c:v>
                </c:pt>
                <c:pt idx="20">
                  <c:v>108.13830539647344</c:v>
                </c:pt>
                <c:pt idx="21">
                  <c:v>107.11029613406451</c:v>
                </c:pt>
                <c:pt idx="22">
                  <c:v>106.13241782315455</c:v>
                </c:pt>
                <c:pt idx="23">
                  <c:v>105.20320841885327</c:v>
                </c:pt>
                <c:pt idx="24">
                  <c:v>104.3210677564886</c:v>
                </c:pt>
                <c:pt idx="25">
                  <c:v>103.48429278449777</c:v>
                </c:pt>
                <c:pt idx="26">
                  <c:v>102.69110841275828</c:v>
                </c:pt>
                <c:pt idx="27">
                  <c:v>101.93969413457656</c:v>
                </c:pt>
                <c:pt idx="28">
                  <c:v>101.22820667831567</c:v>
                </c:pt>
                <c:pt idx="29">
                  <c:v>100.5547990059133</c:v>
                </c:pt>
                <c:pt idx="30">
                  <c:v>99.917636007894856</c:v>
                </c:pt>
                <c:pt idx="31">
                  <c:v>99.314907254876559</c:v>
                </c:pt>
                <c:pt idx="32">
                  <c:v>98.744837159965755</c:v>
                </c:pt>
                <c:pt idx="33">
                  <c:v>98.205692889880396</c:v>
                </c:pt>
                <c:pt idx="34">
                  <c:v>97.695790339000624</c:v>
                </c:pt>
                <c:pt idx="35">
                  <c:v>97.213498452985903</c:v>
                </c:pt>
                <c:pt idx="36">
                  <c:v>96.757242159332904</c:v>
                </c:pt>
                <c:pt idx="37">
                  <c:v>96.325504132938505</c:v>
                </c:pt>
                <c:pt idx="38">
                  <c:v>95.916825596480251</c:v>
                </c:pt>
                <c:pt idx="39">
                  <c:v>95.52980632895769</c:v>
                </c:pt>
                <c:pt idx="40">
                  <c:v>95.163104031448071</c:v>
                </c:pt>
                <c:pt idx="41">
                  <c:v>94.815433177224648</c:v>
                </c:pt>
                <c:pt idx="42">
                  <c:v>94.485563453886982</c:v>
                </c:pt>
                <c:pt idx="43">
                  <c:v>94.172317888002553</c:v>
                </c:pt>
                <c:pt idx="44">
                  <c:v>93.874570727813037</c:v>
                </c:pt>
                <c:pt idx="45">
                  <c:v>93.591245146650948</c:v>
                </c:pt>
                <c:pt idx="46">
                  <c:v>93.321310818647163</c:v>
                </c:pt>
                <c:pt idx="47">
                  <c:v>93.063781408894002</c:v>
                </c:pt>
                <c:pt idx="48">
                  <c:v>92.817712012276786</c:v>
                </c:pt>
                <c:pt idx="49">
                  <c:v>92.582196568517489</c:v>
                </c:pt>
                <c:pt idx="50">
                  <c:v>92.356365275430861</c:v>
                </c:pt>
                <c:pt idx="51">
                  <c:v>92.139382017830542</c:v>
                </c:pt>
                <c:pt idx="52">
                  <c:v>91.930441825815578</c:v>
                </c:pt>
                <c:pt idx="53">
                  <c:v>91.728768373208155</c:v>
                </c:pt>
                <c:pt idx="54">
                  <c:v>91.533611524610322</c:v>
                </c:pt>
                <c:pt idx="55">
                  <c:v>91.344244937827611</c:v>
                </c:pt>
                <c:pt idx="56">
                  <c:v>91.159963727212045</c:v>
                </c:pt>
                <c:pt idx="57">
                  <c:v>90.980082192758672</c:v>
                </c:pt>
                <c:pt idx="58">
                  <c:v>90.803931619523468</c:v>
                </c:pt>
                <c:pt idx="59">
                  <c:v>90.630858152090966</c:v>
                </c:pt>
                <c:pt idx="60">
                  <c:v>90.460220749412258</c:v>
                </c:pt>
                <c:pt idx="61">
                  <c:v>90.291389226349906</c:v>
                </c:pt>
                <c:pt idx="62">
                  <c:v>90.123742389743796</c:v>
                </c:pt>
                <c:pt idx="63">
                  <c:v>89.956666278763336</c:v>
                </c:pt>
                <c:pt idx="64">
                  <c:v>89.789552521785325</c:v>
                </c:pt>
                <c:pt idx="65">
                  <c:v>89.621796825090925</c:v>
                </c:pt>
                <c:pt idx="66">
                  <c:v>89.452797612357827</c:v>
                </c:pt>
                <c:pt idx="67">
                  <c:v>89.281954838315684</c:v>
                </c:pt>
                <c:pt idx="68">
                  <c:v>89.108669005109206</c:v>
                </c:pt>
                <c:pt idx="69">
                  <c:v>88.932340415946584</c:v>
                </c:pt>
                <c:pt idx="70">
                  <c:v>88.752368707591728</c:v>
                </c:pt>
                <c:pt idx="71">
                  <c:v>88.568152711238668</c:v>
                </c:pt>
                <c:pt idx="72">
                  <c:v>88.379090700353643</c:v>
                </c:pt>
                <c:pt idx="73">
                  <c:v>88.184581094179563</c:v>
                </c:pt>
                <c:pt idx="74">
                  <c:v>87.984023696742639</c:v>
                </c:pt>
                <c:pt idx="75">
                  <c:v>87.776821563254472</c:v>
                </c:pt>
                <c:pt idx="76">
                  <c:v>87.562383598524434</c:v>
                </c:pt>
                <c:pt idx="77">
                  <c:v>87.340128005001574</c:v>
                </c:pt>
                <c:pt idx="78">
                  <c:v>87.109486710714606</c:v>
                </c:pt>
                <c:pt idx="79">
                  <c:v>86.869910918816103</c:v>
                </c:pt>
                <c:pt idx="80">
                  <c:v>86.620877929360134</c:v>
                </c:pt>
                <c:pt idx="81">
                  <c:v>86.361899388693146</c:v>
                </c:pt>
                <c:pt idx="82">
                  <c:v>86.092531120153538</c:v>
                </c:pt>
                <c:pt idx="83">
                  <c:v>85.812384678821985</c:v>
                </c:pt>
                <c:pt idx="84">
                  <c:v>85.521140749312252</c:v>
                </c:pt>
                <c:pt idx="85">
                  <c:v>85.218564464871349</c:v>
                </c:pt>
                <c:pt idx="86">
                  <c:v>84.904522663571612</c:v>
                </c:pt>
                <c:pt idx="87">
                  <c:v>84.579003008001649</c:v>
                </c:pt>
                <c:pt idx="88">
                  <c:v>84.242134773491372</c:v>
                </c:pt>
                <c:pt idx="89">
                  <c:v>83.894210952151013</c:v>
                </c:pt>
                <c:pt idx="90">
                  <c:v>83.535711123187724</c:v>
                </c:pt>
                <c:pt idx="91">
                  <c:v>83.167324304364257</c:v>
                </c:pt>
                <c:pt idx="92">
                  <c:v>82.789970730105154</c:v>
                </c:pt>
                <c:pt idx="93">
                  <c:v>82.404821210060504</c:v>
                </c:pt>
                <c:pt idx="94">
                  <c:v>82.013312427783163</c:v>
                </c:pt>
                <c:pt idx="95">
                  <c:v>81.617156272108616</c:v>
                </c:pt>
                <c:pt idx="96">
                  <c:v>81.2183410935979</c:v>
                </c:pt>
                <c:pt idx="97">
                  <c:v>80.819122693616322</c:v>
                </c:pt>
                <c:pt idx="98">
                  <c:v>80.422002938032392</c:v>
                </c:pt>
                <c:pt idx="99">
                  <c:v>80.029694193387058</c:v>
                </c:pt>
                <c:pt idx="100">
                  <c:v>79.645068351841658</c:v>
                </c:pt>
                <c:pt idx="101">
                  <c:v>79.271090060461304</c:v>
                </c:pt>
                <c:pt idx="102">
                  <c:v>78.910734883386837</c:v>
                </c:pt>
                <c:pt idx="103">
                  <c:v>78.56689444019301</c:v>
                </c:pt>
                <c:pt idx="104">
                  <c:v>78.242271969127017</c:v>
                </c:pt>
                <c:pt idx="105">
                  <c:v>77.939273105022906</c:v>
                </c:pt>
                <c:pt idx="106">
                  <c:v>77.65989775585436</c:v>
                </c:pt>
                <c:pt idx="107">
                  <c:v>77.405639625307188</c:v>
                </c:pt>
                <c:pt idx="108">
                  <c:v>77.177400010086558</c:v>
                </c:pt>
                <c:pt idx="109">
                  <c:v>76.975421914305883</c:v>
                </c:pt>
                <c:pt idx="110">
                  <c:v>76.799249274998729</c:v>
                </c:pt>
                <c:pt idx="111">
                  <c:v>76.647714289227736</c:v>
                </c:pt>
                <c:pt idx="112">
                  <c:v>76.518953671880169</c:v>
                </c:pt>
                <c:pt idx="113">
                  <c:v>76.410452412208087</c:v>
                </c:pt>
                <c:pt idx="114">
                  <c:v>76.319111512096541</c:v>
                </c:pt>
                <c:pt idx="115">
                  <c:v>76.24133452522247</c:v>
                </c:pt>
                <c:pt idx="116">
                  <c:v>76.173126648295863</c:v>
                </c:pt>
                <c:pt idx="117">
                  <c:v>76.110199722435794</c:v>
                </c:pt>
                <c:pt idx="118">
                  <c:v>76.048076763223818</c:v>
                </c:pt>
                <c:pt idx="119">
                  <c:v>75.98219044539816</c:v>
                </c:pt>
                <c:pt idx="120">
                  <c:v>75.90797115878766</c:v>
                </c:pt>
                <c:pt idx="121">
                  <c:v>75.820921639506494</c:v>
                </c:pt>
                <c:pt idx="122">
                  <c:v>75.716676587544796</c:v>
                </c:pt>
                <c:pt idx="123">
                  <c:v>75.591046964891802</c:v>
                </c:pt>
                <c:pt idx="124">
                  <c:v>75.440049729871831</c:v>
                </c:pt>
                <c:pt idx="125">
                  <c:v>75.259924554616376</c:v>
                </c:pt>
                <c:pt idx="126">
                  <c:v>75.047139587513755</c:v>
                </c:pt>
                <c:pt idx="127">
                  <c:v>74.798388586741424</c:v>
                </c:pt>
                <c:pt idx="128">
                  <c:v>74.510581809675458</c:v>
                </c:pt>
                <c:pt idx="129">
                  <c:v>74.180832949129311</c:v>
                </c:pt>
                <c:pt idx="130">
                  <c:v>73.806444213014473</c:v>
                </c:pt>
                <c:pt idx="131">
                  <c:v>73.384891394327525</c:v>
                </c:pt>
                <c:pt idx="132">
                  <c:v>72.913810508486122</c:v>
                </c:pt>
                <c:pt idx="133">
                  <c:v>72.390987309302105</c:v>
                </c:pt>
                <c:pt idx="134">
                  <c:v>71.814350747294981</c:v>
                </c:pt>
                <c:pt idx="135">
                  <c:v>71.181971209908127</c:v>
                </c:pt>
                <c:pt idx="136">
                  <c:v>70.492064180704901</c:v>
                </c:pt>
                <c:pt idx="137">
                  <c:v>69.742999766869886</c:v>
                </c:pt>
                <c:pt idx="138">
                  <c:v>68.933318360884215</c:v>
                </c:pt>
                <c:pt idx="139">
                  <c:v>68.061752510671681</c:v>
                </c:pt>
                <c:pt idx="140">
                  <c:v>67.12725486002283</c:v>
                </c:pt>
                <c:pt idx="141">
                  <c:v>66.129031775870317</c:v>
                </c:pt>
                <c:pt idx="142">
                  <c:v>65.066581992009873</c:v>
                </c:pt>
                <c:pt idx="143">
                  <c:v>63.939739265772999</c:v>
                </c:pt>
                <c:pt idx="144">
                  <c:v>62.748717667354597</c:v>
                </c:pt>
                <c:pt idx="145">
                  <c:v>61.494157712388471</c:v>
                </c:pt>
                <c:pt idx="146">
                  <c:v>60.177171129121774</c:v>
                </c:pt>
                <c:pt idx="147">
                  <c:v>58.799381656318729</c:v>
                </c:pt>
                <c:pt idx="148">
                  <c:v>57.362958942540956</c:v>
                </c:pt>
                <c:pt idx="149">
                  <c:v>55.870642416473473</c:v>
                </c:pt>
                <c:pt idx="150">
                  <c:v>54.325751980125972</c:v>
                </c:pt>
                <c:pt idx="151">
                  <c:v>52.732182596469485</c:v>
                </c:pt>
                <c:pt idx="152">
                  <c:v>51.094380340223665</c:v>
                </c:pt>
                <c:pt idx="153">
                  <c:v>49.41729826923023</c:v>
                </c:pt>
                <c:pt idx="154">
                  <c:v>47.706331532627829</c:v>
                </c:pt>
                <c:pt idx="155">
                  <c:v>45.967232398332357</c:v>
                </c:pt>
                <c:pt idx="156">
                  <c:v>44.206007253513093</c:v>
                </c:pt>
                <c:pt idx="157">
                  <c:v>42.428798974958255</c:v>
                </c:pt>
                <c:pt idx="158">
                  <c:v>40.641759235549642</c:v>
                </c:pt>
                <c:pt idx="159">
                  <c:v>38.850916172474371</c:v>
                </c:pt>
                <c:pt idx="160">
                  <c:v>37.062043289227063</c:v>
                </c:pt>
                <c:pt idx="161">
                  <c:v>35.280535445411601</c:v>
                </c:pt>
                <c:pt idx="162">
                  <c:v>33.511297314599005</c:v>
                </c:pt>
                <c:pt idx="163">
                  <c:v>31.758648827317586</c:v>
                </c:pt>
                <c:pt idx="164">
                  <c:v>30.026250973217657</c:v>
                </c:pt>
                <c:pt idx="165">
                  <c:v>28.317054045044642</c:v>
                </c:pt>
                <c:pt idx="166">
                  <c:v>26.633269097205044</c:v>
                </c:pt>
                <c:pt idx="167">
                  <c:v>24.976362171835206</c:v>
                </c:pt>
                <c:pt idx="168">
                  <c:v>23.347069790101443</c:v>
                </c:pt>
                <c:pt idx="169">
                  <c:v>21.745433353864968</c:v>
                </c:pt>
                <c:pt idx="170">
                  <c:v>20.170849459675424</c:v>
                </c:pt>
                <c:pt idx="171">
                  <c:v>18.622132680063544</c:v>
                </c:pt>
                <c:pt idx="172">
                  <c:v>17.097587096380749</c:v>
                </c:pt>
                <c:pt idx="173">
                  <c:v>15.595082757153591</c:v>
                </c:pt>
                <c:pt idx="174">
                  <c:v>14.11213328065665</c:v>
                </c:pt>
                <c:pt idx="175">
                  <c:v>12.645971024561504</c:v>
                </c:pt>
                <c:pt idx="176">
                  <c:v>11.19361661711784</c:v>
                </c:pt>
                <c:pt idx="177">
                  <c:v>9.7519401850157124</c:v>
                </c:pt>
                <c:pt idx="178">
                  <c:v>8.31771230809656</c:v>
                </c:pt>
                <c:pt idx="179">
                  <c:v>6.8876435429139349</c:v>
                </c:pt>
                <c:pt idx="180">
                  <c:v>5.4584122254311751</c:v>
                </c:pt>
                <c:pt idx="181">
                  <c:v>4.0266811118368082</c:v>
                </c:pt>
                <c:pt idx="182">
                  <c:v>2.5891041664703209</c:v>
                </c:pt>
                <c:pt idx="183">
                  <c:v>1.1423253894505763</c:v>
                </c:pt>
                <c:pt idx="184">
                  <c:v>-0.31702804983686406</c:v>
                </c:pt>
                <c:pt idx="185">
                  <c:v>-1.7923559565305993</c:v>
                </c:pt>
                <c:pt idx="186">
                  <c:v>-3.2870961685950988</c:v>
                </c:pt>
                <c:pt idx="187">
                  <c:v>-4.8047343831953526</c:v>
                </c:pt>
                <c:pt idx="188">
                  <c:v>-6.3488109269551956</c:v>
                </c:pt>
                <c:pt idx="189">
                  <c:v>-7.9229230151036063</c:v>
                </c:pt>
                <c:pt idx="190">
                  <c:v>-9.5307214093359676</c:v>
                </c:pt>
                <c:pt idx="191">
                  <c:v>-11.175900707059299</c:v>
                </c:pt>
                <c:pt idx="192">
                  <c:v>347.13781724526018</c:v>
                </c:pt>
                <c:pt idx="193">
                  <c:v>345.40670712969012</c:v>
                </c:pt>
                <c:pt idx="194">
                  <c:v>343.62707130765824</c:v>
                </c:pt>
                <c:pt idx="195">
                  <c:v>341.79527843556446</c:v>
                </c:pt>
                <c:pt idx="196">
                  <c:v>339.90780956508127</c:v>
                </c:pt>
                <c:pt idx="197">
                  <c:v>337.96131167082433</c:v>
                </c:pt>
                <c:pt idx="198">
                  <c:v>335.95265844160053</c:v>
                </c:pt>
                <c:pt idx="199">
                  <c:v>333.87901801531018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717664"/>
        <c:axId val="257718056"/>
      </c:scatterChart>
      <c:valAx>
        <c:axId val="257717664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7718056"/>
        <c:crosses val="autoZero"/>
        <c:crossBetween val="midCat"/>
      </c:valAx>
      <c:valAx>
        <c:axId val="257718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7176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|Vloop</a:t>
            </a:r>
            <a:r>
              <a:rPr lang="en-US" baseline="0"/>
              <a:t>|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'8. Loop Compensation'!$AS$1</c:f>
              <c:strCache>
                <c:ptCount val="1"/>
                <c:pt idx="0">
                  <c:v>db</c:v>
                </c:pt>
              </c:strCache>
            </c:strRef>
          </c:tx>
          <c:marker>
            <c:symbol val="none"/>
          </c:marker>
          <c:xVal>
            <c:numRef>
              <c:f>'8. Loop Compensation'!$Z$2:$Z$200</c:f>
              <c:numCache>
                <c:formatCode>General</c:formatCode>
                <c:ptCount val="199"/>
                <c:pt idx="0">
                  <c:v>1</c:v>
                </c:pt>
                <c:pt idx="1">
                  <c:v>1.0634378492473788</c:v>
                </c:pt>
                <c:pt idx="2">
                  <c:v>1.1309000592118907</c:v>
                </c:pt>
                <c:pt idx="3">
                  <c:v>1.2026419266820265</c:v>
                </c:pt>
                <c:pt idx="4">
                  <c:v>1.278934943925458</c:v>
                </c:pt>
                <c:pt idx="5">
                  <c:v>1.3600678260954062</c:v>
                </c:pt>
                <c:pt idx="6">
                  <c:v>1.4463476038134566</c:v>
                </c:pt>
                <c:pt idx="7">
                  <c:v>1.5381007850634825</c:v>
                </c:pt>
                <c:pt idx="8">
                  <c:v>1.6356745907936145</c:v>
                </c:pt>
                <c:pt idx="9">
                  <c:v>1.7394382689021479</c:v>
                </c:pt>
                <c:pt idx="10">
                  <c:v>1.849784491579884</c:v>
                </c:pt>
                <c:pt idx="11">
                  <c:v>1.967130841296868</c:v>
                </c:pt>
                <c:pt idx="12">
                  <c:v>2.0919213910569279</c:v>
                </c:pt>
                <c:pt idx="13">
                  <c:v>2.2246283849001642</c:v>
                </c:pt>
                <c:pt idx="14">
                  <c:v>2.365754025012901</c:v>
                </c:pt>
                <c:pt idx="15">
                  <c:v>2.5158323722080485</c:v>
                </c:pt>
                <c:pt idx="16">
                  <c:v>2.6754313669678584</c:v>
                </c:pt>
                <c:pt idx="17">
                  <c:v>2.8451549786972743</c:v>
                </c:pt>
                <c:pt idx="18">
                  <c:v>3.0256454913213009</c:v>
                </c:pt>
                <c:pt idx="19">
                  <c:v>3.2175859338757533</c:v>
                </c:pt>
                <c:pt idx="20">
                  <c:v>3.42170266528945</c:v>
                </c:pt>
                <c:pt idx="21">
                  <c:v>3.6387681231394358</c:v>
                </c:pt>
                <c:pt idx="22">
                  <c:v>3.8696037467813236</c:v>
                </c:pt>
                <c:pt idx="23">
                  <c:v>4.1150830859167291</c:v>
                </c:pt>
                <c:pt idx="24">
                  <c:v>4.376135106361553</c:v>
                </c:pt>
                <c:pt idx="25">
                  <c:v>4.6537477055250784</c:v>
                </c:pt>
                <c:pt idx="26">
                  <c:v>4.9489714509035139</c:v>
                </c:pt>
                <c:pt idx="27">
                  <c:v>5.2629235557355134</c:v>
                </c:pt>
                <c:pt idx="28">
                  <c:v>5.5967921068647417</c:v>
                </c:pt>
                <c:pt idx="29">
                  <c:v>5.9518405608089449</c:v>
                </c:pt>
                <c:pt idx="30">
                  <c:v>6.3294125250499764</c:v>
                </c:pt>
                <c:pt idx="31">
                  <c:v>6.7309368426385694</c:v>
                </c:pt>
                <c:pt idx="32">
                  <c:v>7.1579329993555039</c:v>
                </c:pt>
                <c:pt idx="33">
                  <c:v>7.6120168738914558</c:v>
                </c:pt>
                <c:pt idx="34">
                  <c:v>8.0949068528058863</c:v>
                </c:pt>
                <c:pt idx="35">
                  <c:v>8.6084303334057619</c:v>
                </c:pt>
                <c:pt idx="36">
                  <c:v>9.1545306391529166</c:v>
                </c:pt>
                <c:pt idx="37">
                  <c:v>9.7352743737700074</c:v>
                </c:pt>
                <c:pt idx="38">
                  <c:v>10.352859241875105</c:v>
                </c:pt>
                <c:pt idx="39">
                  <c:v>11.009622365740512</c:v>
                </c:pt>
                <c:pt idx="40">
                  <c:v>11.708049129648925</c:v>
                </c:pt>
                <c:pt idx="41">
                  <c:v>12.4507825853165</c:v>
                </c:pt>
                <c:pt idx="42">
                  <c:v>13.240633453975693</c:v>
                </c:pt>
                <c:pt idx="43">
                  <c:v>14.080590762968805</c:v>
                </c:pt>
                <c:pt idx="44">
                  <c:v>14.973833157104059</c:v>
                </c:pt>
                <c:pt idx="45">
                  <c:v>15.923740927579823</c:v>
                </c:pt>
                <c:pt idx="46">
                  <c:v>16.933908803997952</c:v>
                </c:pt>
                <c:pt idx="47">
                  <c:v>18.008159557874837</c:v>
                </c:pt>
                <c:pt idx="48">
                  <c:v>19.150558469130036</c:v>
                </c:pt>
                <c:pt idx="49">
                  <c:v>20.365428710297824</c:v>
                </c:pt>
                <c:pt idx="50">
                  <c:v>21.657367706679931</c:v>
                </c:pt>
                <c:pt idx="51">
                  <c:v>23.031264534351347</c:v>
                </c:pt>
                <c:pt idx="52">
                  <c:v>24.492318421858034</c:v>
                </c:pt>
                <c:pt idx="53">
                  <c:v>26.046058425622668</c:v>
                </c:pt>
                <c:pt idx="54">
                  <c:v>27.698364353515743</c:v>
                </c:pt>
                <c:pt idx="55">
                  <c:v>29.45548901577305</c:v>
                </c:pt>
                <c:pt idx="56">
                  <c:v>31.324081887463471</c:v>
                </c:pt>
                <c:pt idx="57">
                  <c:v>33.311214272052936</c:v>
                </c:pt>
                <c:pt idx="58">
                  <c:v>35.424406061290533</c:v>
                </c:pt>
                <c:pt idx="59">
                  <c:v>37.67165419268462</c:v>
                </c:pt>
                <c:pt idx="60">
                  <c:v>40.061462912259522</c:v>
                </c:pt>
                <c:pt idx="61">
                  <c:v>42.602875957116908</c:v>
                </c:pt>
                <c:pt idx="62">
                  <c:v>45.305510779589277</c:v>
                </c:pt>
                <c:pt idx="63">
                  <c:v>48.179594942500358</c:v>
                </c:pt>
                <c:pt idx="64">
                  <c:v>51.236004823262483</c:v>
                </c:pt>
                <c:pt idx="65">
                  <c:v>54.486306773278585</c:v>
                </c:pt>
                <c:pt idx="66">
                  <c:v>57.94280088840825</c:v>
                </c:pt>
                <c:pt idx="67">
                  <c:v>61.61856755613799</c:v>
                </c:pt>
                <c:pt idx="68">
                  <c:v>65.527516955603716</c:v>
                </c:pt>
                <c:pt idx="69">
                  <c:v>69.684441697788372</c:v>
                </c:pt>
                <c:pt idx="70">
                  <c:v>74.105072805100434</c:v>
                </c:pt>
                <c:pt idx="71">
                  <c:v>78.806139242176371</c:v>
                </c:pt>
                <c:pt idx="72">
                  <c:v>83.805431223189501</c:v>
                </c:pt>
                <c:pt idx="73">
                  <c:v>89.121867535237712</c:v>
                </c:pt>
                <c:pt idx="74">
                  <c:v>94.775567132582992</c:v>
                </c:pt>
                <c:pt idx="75">
                  <c:v>100.78792527267464</c:v>
                </c:pt>
                <c:pt idx="76">
                  <c:v>107.18169448207877</c:v>
                </c:pt>
                <c:pt idx="77">
                  <c:v>113.98107065871142</c:v>
                </c:pt>
                <c:pt idx="78">
                  <c:v>121.21178463621371</c:v>
                </c:pt>
                <c:pt idx="79">
                  <c:v>128.90119955697148</c:v>
                </c:pt>
                <c:pt idx="80">
                  <c:v>137.07841442227294</c:v>
                </c:pt>
                <c:pt idx="81">
                  <c:v>145.77437421146283</c:v>
                </c:pt>
                <c:pt idx="82">
                  <c:v>155.02198698682062</c:v>
                </c:pt>
                <c:pt idx="83">
                  <c:v>164.85624842731968</c:v>
                </c:pt>
                <c:pt idx="84">
                  <c:v>175.3143742625403</c:v>
                </c:pt>
                <c:pt idx="85">
                  <c:v>186.43594110790573</c:v>
                </c:pt>
                <c:pt idx="86">
                  <c:v>198.26303623420247</c:v>
                </c:pt>
                <c:pt idx="87">
                  <c:v>210.84041683815525</c:v>
                </c:pt>
                <c:pt idx="88">
                  <c:v>224.21567941678887</c:v>
                </c:pt>
                <c:pt idx="89">
                  <c:v>238.43943988652958</c:v>
                </c:pt>
                <c:pt idx="90">
                  <c:v>253.56552512868072</c:v>
                </c:pt>
                <c:pt idx="91">
                  <c:v>269.65117668612646</c:v>
                </c:pt>
                <c:pt idx="92">
                  <c:v>286.75726738211927</c:v>
                </c:pt>
                <c:pt idx="93">
                  <c:v>304.94853168089651</c:v>
                </c:pt>
                <c:pt idx="94">
                  <c:v>324.29381066187881</c:v>
                </c:pt>
                <c:pt idx="95">
                  <c:v>344.8663125345048</c:v>
                </c:pt>
                <c:pt idx="96">
                  <c:v>366.74388967956821</c:v>
                </c:pt>
                <c:pt idx="97">
                  <c:v>390.00933326545766</c:v>
                </c:pt>
                <c:pt idx="98">
                  <c:v>414.75068655422291</c:v>
                </c:pt>
                <c:pt idx="99">
                  <c:v>441.06157808309626</c:v>
                </c:pt>
                <c:pt idx="100">
                  <c:v>469.04157598234281</c:v>
                </c:pt>
                <c:pt idx="101">
                  <c:v>498.79656477026373</c:v>
                </c:pt>
                <c:pt idx="102">
                  <c:v>530.4391460512702</c:v>
                </c:pt>
                <c:pt idx="103">
                  <c:v>564.08906463337905</c:v>
                </c:pt>
                <c:pt idx="104">
                  <c:v>599.87366167768641</c:v>
                </c:pt>
                <c:pt idx="105">
                  <c:v>637.92835659466812</c:v>
                </c:pt>
                <c:pt idx="106">
                  <c:v>678.39715951094945</c:v>
                </c:pt>
                <c:pt idx="107">
                  <c:v>721.43321624585462</c:v>
                </c:pt>
                <c:pt idx="108">
                  <c:v>767.19938786011153</c:v>
                </c:pt>
                <c:pt idx="109">
                  <c:v>815.86886696986198</c:v>
                </c:pt>
                <c:pt idx="110">
                  <c:v>867.62583315832671</c:v>
                </c:pt>
                <c:pt idx="111">
                  <c:v>922.66614996535543</c:v>
                </c:pt>
                <c:pt idx="112">
                  <c:v>981.19810609251715</c:v>
                </c:pt>
                <c:pt idx="113">
                  <c:v>1043.443203628628</c:v>
                </c:pt>
                <c:pt idx="114">
                  <c:v>1109.6369962786232</c:v>
                </c:pt>
                <c:pt idx="115">
                  <c:v>1180.0299807678607</c:v>
                </c:pt>
                <c:pt idx="116">
                  <c:v>1254.8885447951977</c:v>
                </c:pt>
                <c:pt idx="117">
                  <c:v>1334.4959751221782</c:v>
                </c:pt>
                <c:pt idx="118">
                  <c:v>1419.1535296132129</c:v>
                </c:pt>
                <c:pt idx="119">
                  <c:v>1509.1815772837017</c:v>
                </c:pt>
                <c:pt idx="120">
                  <c:v>1604.9208106703452</c:v>
                </c:pt>
                <c:pt idx="121">
                  <c:v>1706.7335351116335</c:v>
                </c:pt>
                <c:pt idx="122">
                  <c:v>1815.0050398174897</c:v>
                </c:pt>
                <c:pt idx="123">
                  <c:v>1930.1450559166665</c:v>
                </c:pt>
                <c:pt idx="124">
                  <c:v>2052.58930699948</c:v>
                </c:pt>
                <c:pt idx="125">
                  <c:v>2182.8011580236971</c:v>
                </c:pt>
                <c:pt idx="126">
                  <c:v>2321.2733688234066</c:v>
                </c:pt>
                <c:pt idx="127">
                  <c:v>2468.5299588567814</c:v>
                </c:pt>
                <c:pt idx="128">
                  <c:v>2625.1281902493761</c:v>
                </c:pt>
                <c:pt idx="129">
                  <c:v>2791.6606766374607</c:v>
                </c:pt>
                <c:pt idx="130">
                  <c:v>2968.757625791824</c:v>
                </c:pt>
                <c:pt idx="131">
                  <c:v>3157.0892245088098</c:v>
                </c:pt>
                <c:pt idx="132">
                  <c:v>3357.3681747937244</c:v>
                </c:pt>
                <c:pt idx="133">
                  <c:v>3570.3523909342362</c:v>
                </c:pt>
                <c:pt idx="134">
                  <c:v>3796.8478676703417</c:v>
                </c:pt>
                <c:pt idx="135">
                  <c:v>4037.7117303148448</c:v>
                </c:pt>
                <c:pt idx="136">
                  <c:v>4293.8554783669315</c:v>
                </c:pt>
                <c:pt idx="137">
                  <c:v>4566.248434893605</c:v>
                </c:pt>
                <c:pt idx="138">
                  <c:v>4855.9214147324665</c:v>
                </c:pt>
                <c:pt idx="139">
                  <c:v>5163.9706253973836</c:v>
                </c:pt>
                <c:pt idx="140">
                  <c:v>5491.5618154492358</c:v>
                </c:pt>
                <c:pt idx="141">
                  <c:v>5839.9346860303567</c:v>
                </c:pt>
                <c:pt idx="142">
                  <c:v>6210.4075822572904</c:v>
                </c:pt>
                <c:pt idx="143">
                  <c:v>6604.3824822253073</c:v>
                </c:pt>
                <c:pt idx="144">
                  <c:v>7023.3503025047467</c:v>
                </c:pt>
                <c:pt idx="145">
                  <c:v>7468.8965402065769</c:v>
                </c:pt>
                <c:pt idx="146">
                  <c:v>7942.7072729684578</c:v>
                </c:pt>
                <c:pt idx="147">
                  <c:v>8446.5755395671058</c:v>
                </c:pt>
                <c:pt idx="148">
                  <c:v>8982.4081253027471</c:v>
                </c:pt>
                <c:pt idx="149">
                  <c:v>9552.2327778341514</c:v>
                </c:pt>
                <c:pt idx="150">
                  <c:v>10158.205880770249</c:v>
                </c:pt>
                <c:pt idx="151">
                  <c:v>10802.620614058389</c:v>
                </c:pt>
                <c:pt idx="152">
                  <c:v>11487.915632049675</c:v>
                </c:pt>
                <c:pt idx="153">
                  <c:v>12216.684292082227</c:v>
                </c:pt>
                <c:pt idx="154">
                  <c:v>12991.684468506162</c:v>
                </c:pt>
                <c:pt idx="155">
                  <c:v>13815.848989288772</c:v>
                </c:pt>
                <c:pt idx="156">
                  <c:v>14692.296734695852</c:v>
                </c:pt>
                <c:pt idx="157">
                  <c:v>15624.344440049217</c:v>
                </c:pt>
                <c:pt idx="158">
                  <c:v>16615.519247226184</c:v>
                </c:pt>
                <c:pt idx="159">
                  <c:v>17669.572052398642</c:v>
                </c:pt>
                <c:pt idx="160">
                  <c:v>18790.49170052441</c:v>
                </c:pt>
                <c:pt idx="161">
                  <c:v>19982.5200803064</c:v>
                </c:pt>
                <c:pt idx="162">
                  <c:v>21250.168176743602</c:v>
                </c:pt>
                <c:pt idx="163">
                  <c:v>22598.233142021272</c:v>
                </c:pt>
                <c:pt idx="164">
                  <c:v>24031.816449341983</c:v>
                </c:pt>
                <c:pt idx="165">
                  <c:v>25556.343198396022</c:v>
                </c:pt>
                <c:pt idx="166">
                  <c:v>27177.582645530147</c:v>
                </c:pt>
                <c:pt idx="167">
                  <c:v>28901.670036305419</c:v>
                </c:pt>
                <c:pt idx="168">
                  <c:v>30735.129823066054</c:v>
                </c:pt>
                <c:pt idx="169">
                  <c:v>32684.900355380338</c:v>
                </c:pt>
                <c:pt idx="170">
                  <c:v>34758.360136790499</c:v>
                </c:pt>
                <c:pt idx="171">
                  <c:v>36963.355747234389</c:v>
                </c:pt>
                <c:pt idx="172">
                  <c:v>39308.231536804677</c:v>
                </c:pt>
                <c:pt idx="173">
                  <c:v>41801.861203217486</c:v>
                </c:pt>
                <c:pt idx="174">
                  <c:v>44453.681372487059</c:v>
                </c:pt>
                <c:pt idx="175">
                  <c:v>47273.727309885995</c:v>
                </c:pt>
                <c:pt idx="176">
                  <c:v>50272.670896332245</c:v>
                </c:pt>
                <c:pt idx="177">
                  <c:v>53461.861013916772</c:v>
                </c:pt>
                <c:pt idx="178">
                  <c:v>56853.366493401947</c:v>
                </c:pt>
                <c:pt idx="179">
                  <c:v>60460.02178621637</c:v>
                </c:pt>
                <c:pt idx="180">
                  <c:v>64295.47553378361</c:v>
                </c:pt>
                <c:pt idx="181">
                  <c:v>68374.242217984312</c:v>
                </c:pt>
                <c:pt idx="182">
                  <c:v>72711.757088212587</c:v>
                </c:pt>
                <c:pt idx="183">
                  <c:v>77324.434572886516</c:v>
                </c:pt>
                <c:pt idx="184">
                  <c:v>82229.730396460247</c:v>
                </c:pt>
                <c:pt idx="185">
                  <c:v>87446.207637003507</c:v>
                </c:pt>
                <c:pt idx="186">
                  <c:v>92993.606974334747</c:v>
                </c:pt>
                <c:pt idx="187">
                  <c:v>98892.921394542427</c:v>
                </c:pt>
                <c:pt idx="188">
                  <c:v>105166.47563360249</c:v>
                </c:pt>
                <c:pt idx="189">
                  <c:v>111838.01066072512</c:v>
                </c:pt>
                <c:pt idx="190">
                  <c:v>118932.77352114675</c:v>
                </c:pt>
                <c:pt idx="191">
                  <c:v>126477.61287835392</c:v>
                </c:pt>
                <c:pt idx="192">
                  <c:v>134501.0806172993</c:v>
                </c:pt>
                <c:pt idx="193">
                  <c:v>143033.53989310883</c:v>
                </c:pt>
                <c:pt idx="194">
                  <c:v>152107.28003416685</c:v>
                </c:pt>
                <c:pt idx="195">
                  <c:v>161756.63873440344</c:v>
                </c:pt>
                <c:pt idx="196">
                  <c:v>172018.13199719929</c:v>
                </c:pt>
                <c:pt idx="197">
                  <c:v>182930.59232265301</c:v>
                </c:pt>
                <c:pt idx="198">
                  <c:v>194535.31566115122</c:v>
                </c:pt>
              </c:numCache>
            </c:numRef>
          </c:xVal>
          <c:yVal>
            <c:numRef>
              <c:f>'8. Loop Compensation'!$AS$2:$AS$200</c:f>
              <c:numCache>
                <c:formatCode>General</c:formatCode>
                <c:ptCount val="199"/>
                <c:pt idx="0">
                  <c:v>79.011447440748583</c:v>
                </c:pt>
                <c:pt idx="1">
                  <c:v>78.768081675262039</c:v>
                </c:pt>
                <c:pt idx="2">
                  <c:v>78.508352230962061</c:v>
                </c:pt>
                <c:pt idx="3">
                  <c:v>78.232203400664474</c:v>
                </c:pt>
                <c:pt idx="4">
                  <c:v>77.939703158286122</c:v>
                </c:pt>
                <c:pt idx="5">
                  <c:v>77.631041124121467</c:v>
                </c:pt>
                <c:pt idx="6">
                  <c:v>77.306522955998219</c:v>
                </c:pt>
                <c:pt idx="7">
                  <c:v>76.966561514031582</c:v>
                </c:pt>
                <c:pt idx="8">
                  <c:v>76.611665329882797</c:v>
                </c:pt>
                <c:pt idx="9">
                  <c:v>76.242425041213281</c:v>
                </c:pt>
                <c:pt idx="10">
                  <c:v>75.859498519392673</c:v>
                </c:pt>
                <c:pt idx="11">
                  <c:v>75.463595423037319</c:v>
                </c:pt>
                <c:pt idx="12">
                  <c:v>75.055461858867432</c:v>
                </c:pt>
                <c:pt idx="13">
                  <c:v>74.635865737378239</c:v>
                </c:pt>
                <c:pt idx="14">
                  <c:v>74.205583289451525</c:v>
                </c:pt>
                <c:pt idx="15">
                  <c:v>73.765387076940456</c:v>
                </c:pt>
                <c:pt idx="16">
                  <c:v>73.316035699183914</c:v>
                </c:pt>
                <c:pt idx="17">
                  <c:v>72.858265278823154</c:v>
                </c:pt>
                <c:pt idx="18">
                  <c:v>72.392782710988243</c:v>
                </c:pt>
                <c:pt idx="19">
                  <c:v>71.920260583080577</c:v>
                </c:pt>
                <c:pt idx="20">
                  <c:v>71.441333618291921</c:v>
                </c:pt>
                <c:pt idx="21">
                  <c:v>70.956596462794849</c:v>
                </c:pt>
                <c:pt idx="22">
                  <c:v>70.466602621066301</c:v>
                </c:pt>
                <c:pt idx="23">
                  <c:v>69.971864342347629</c:v>
                </c:pt>
                <c:pt idx="24">
                  <c:v>69.47285327003263</c:v>
                </c:pt>
                <c:pt idx="25">
                  <c:v>68.970001681411134</c:v>
                </c:pt>
                <c:pt idx="26">
                  <c:v>68.463704164795033</c:v>
                </c:pt>
                <c:pt idx="27">
                  <c:v>67.954319602352882</c:v>
                </c:pt>
                <c:pt idx="28">
                  <c:v>67.442173348309524</c:v>
                </c:pt>
                <c:pt idx="29">
                  <c:v>66.927559512386978</c:v>
                </c:pt>
                <c:pt idx="30">
                  <c:v>66.41074327676229</c:v>
                </c:pt>
                <c:pt idx="31">
                  <c:v>65.891963191031834</c:v>
                </c:pt>
                <c:pt idx="32">
                  <c:v>65.371433403577555</c:v>
                </c:pt>
                <c:pt idx="33">
                  <c:v>64.849345799380785</c:v>
                </c:pt>
                <c:pt idx="34">
                  <c:v>64.325872023869096</c:v>
                </c:pt>
                <c:pt idx="35">
                  <c:v>63.801165380046974</c:v>
                </c:pt>
                <c:pt idx="36">
                  <c:v>63.275362592175725</c:v>
                </c:pt>
                <c:pt idx="37">
                  <c:v>62.7485854338859</c:v>
                </c:pt>
                <c:pt idx="38">
                  <c:v>62.220942222060543</c:v>
                </c:pt>
                <c:pt idx="39">
                  <c:v>61.692529180325394</c:v>
                </c:pt>
                <c:pt idx="40">
                  <c:v>61.163431677715138</c:v>
                </c:pt>
                <c:pt idx="41">
                  <c:v>60.633725349203786</c:v>
                </c:pt>
                <c:pt idx="42">
                  <c:v>60.103477105441584</c:v>
                </c:pt>
                <c:pt idx="43">
                  <c:v>59.572746039324798</c:v>
                </c:pt>
                <c:pt idx="44">
                  <c:v>59.041584237041604</c:v>
                </c:pt>
                <c:pt idx="45">
                  <c:v>58.510037501055002</c:v>
                </c:pt>
                <c:pt idx="46">
                  <c:v>57.978145992158204</c:v>
                </c:pt>
                <c:pt idx="47">
                  <c:v>57.445944797317466</c:v>
                </c:pt>
                <c:pt idx="48">
                  <c:v>56.913464429534713</c:v>
                </c:pt>
                <c:pt idx="49">
                  <c:v>56.380731265440055</c:v>
                </c:pt>
                <c:pt idx="50">
                  <c:v>55.847767925791928</c:v>
                </c:pt>
                <c:pt idx="51">
                  <c:v>55.314593603514929</c:v>
                </c:pt>
                <c:pt idx="52">
                  <c:v>54.781224343378028</c:v>
                </c:pt>
                <c:pt idx="53">
                  <c:v>54.247673276887781</c:v>
                </c:pt>
                <c:pt idx="54">
                  <c:v>53.713950815467456</c:v>
                </c:pt>
                <c:pt idx="55">
                  <c:v>53.180064804503445</c:v>
                </c:pt>
                <c:pt idx="56">
                  <c:v>52.646020640371887</c:v>
                </c:pt>
                <c:pt idx="57">
                  <c:v>52.111821352108088</c:v>
                </c:pt>
                <c:pt idx="58">
                  <c:v>51.577467648949465</c:v>
                </c:pt>
                <c:pt idx="59">
                  <c:v>51.042957934569493</c:v>
                </c:pt>
                <c:pt idx="60">
                  <c:v>50.508288288425362</c:v>
                </c:pt>
                <c:pt idx="61">
                  <c:v>49.973452414263029</c:v>
                </c:pt>
                <c:pt idx="62">
                  <c:v>49.438441555468074</c:v>
                </c:pt>
                <c:pt idx="63">
                  <c:v>48.903244376611909</c:v>
                </c:pt>
                <c:pt idx="64">
                  <c:v>48.367846810234255</c:v>
                </c:pt>
                <c:pt idx="65">
                  <c:v>47.832231867624039</c:v>
                </c:pt>
                <c:pt idx="66">
                  <c:v>47.29637941212615</c:v>
                </c:pt>
                <c:pt idx="67">
                  <c:v>46.760265893315008</c:v>
                </c:pt>
                <c:pt idx="68">
                  <c:v>46.223864040269333</c:v>
                </c:pt>
                <c:pt idx="69">
                  <c:v>45.687142512161714</c:v>
                </c:pt>
                <c:pt idx="70">
                  <c:v>45.150065504481198</c:v>
                </c:pt>
                <c:pt idx="71">
                  <c:v>44.61259230947438</c:v>
                </c:pt>
                <c:pt idx="72">
                  <c:v>44.074676829857061</c:v>
                </c:pt>
                <c:pt idx="73">
                  <c:v>43.536267045584282</c:v>
                </c:pt>
                <c:pt idx="74">
                  <c:v>42.997304434530299</c:v>
                </c:pt>
                <c:pt idx="75">
                  <c:v>42.457723349412717</c:v>
                </c:pt>
                <c:pt idx="76">
                  <c:v>41.917450355285794</c:v>
                </c:pt>
                <c:pt idx="77">
                  <c:v>41.376403534550178</c:v>
                </c:pt>
                <c:pt idx="78">
                  <c:v>40.834491769791008</c:v>
                </c:pt>
                <c:pt idx="79">
                  <c:v>40.291614019010595</c:v>
                </c:pt>
                <c:pt idx="80">
                  <c:v>39.747658603087743</c:v>
                </c:pt>
                <c:pt idx="81">
                  <c:v>39.202502531716654</c:v>
                </c:pt>
                <c:pt idx="82">
                  <c:v>38.656010901730802</c:v>
                </c:pt>
                <c:pt idx="83">
                  <c:v>38.10803641067038</c:v>
                </c:pt>
                <c:pt idx="84">
                  <c:v>37.558419038646285</c:v>
                </c:pt>
                <c:pt idx="85">
                  <c:v>37.006985962821481</c:v>
                </c:pt>
                <c:pt idx="86">
                  <c:v>36.453551780797675</c:v>
                </c:pt>
                <c:pt idx="87">
                  <c:v>35.897919131245672</c:v>
                </c:pt>
                <c:pt idx="88">
                  <c:v>35.339879811266449</c:v>
                </c:pt>
                <c:pt idx="89">
                  <c:v>34.779216498881084</c:v>
                </c:pt>
                <c:pt idx="90">
                  <c:v>34.215705193870313</c:v>
                </c:pt>
                <c:pt idx="91">
                  <c:v>33.649118488643197</c:v>
                </c:pt>
                <c:pt idx="92">
                  <c:v>33.079229770190565</c:v>
                </c:pt>
                <c:pt idx="93">
                  <c:v>32.505818431507798</c:v>
                </c:pt>
                <c:pt idx="94">
                  <c:v>31.928676133238596</c:v>
                </c:pt>
                <c:pt idx="95">
                  <c:v>31.347614101280129</c:v>
                </c:pt>
                <c:pt idx="96">
                  <c:v>30.762471372465512</c:v>
                </c:pt>
                <c:pt idx="97">
                  <c:v>30.17312380888287</c:v>
                </c:pt>
                <c:pt idx="98">
                  <c:v>29.57949359536078</c:v>
                </c:pt>
                <c:pt idx="99">
                  <c:v>28.981558821073094</c:v>
                </c:pt>
                <c:pt idx="100">
                  <c:v>28.379362635814722</c:v>
                </c:pt>
                <c:pt idx="101">
                  <c:v>27.773021378555988</c:v>
                </c:pt>
                <c:pt idx="102">
                  <c:v>27.162731017048433</c:v>
                </c:pt>
                <c:pt idx="103">
                  <c:v>26.548771229513669</c:v>
                </c:pt>
                <c:pt idx="104">
                  <c:v>25.931506517068676</c:v>
                </c:pt>
                <c:pt idx="105">
                  <c:v>25.311383866736357</c:v>
                </c:pt>
                <c:pt idx="106">
                  <c:v>24.688926688556403</c:v>
                </c:pt>
                <c:pt idx="107">
                  <c:v>24.064725013994813</c:v>
                </c:pt>
                <c:pt idx="108">
                  <c:v>23.439422242572171</c:v>
                </c:pt>
                <c:pt idx="109">
                  <c:v>22.8136990261813</c:v>
                </c:pt>
                <c:pt idx="110">
                  <c:v>22.188255148139625</c:v>
                </c:pt>
                <c:pt idx="111">
                  <c:v>21.563790450520006</c:v>
                </c:pt>
                <c:pt idx="112">
                  <c:v>20.940985960892011</c:v>
                </c:pt>
                <c:pt idx="113">
                  <c:v>20.320486354135191</c:v>
                </c:pt>
                <c:pt idx="114">
                  <c:v>19.702884758782396</c:v>
                </c:pt>
                <c:pt idx="115">
                  <c:v>19.088710698756103</c:v>
                </c:pt>
                <c:pt idx="116">
                  <c:v>18.478421681109012</c:v>
                </c:pt>
                <c:pt idx="117">
                  <c:v>17.87239863570672</c:v>
                </c:pt>
                <c:pt idx="118">
                  <c:v>17.270945120792202</c:v>
                </c:pt>
                <c:pt idx="119">
                  <c:v>16.674289960060456</c:v>
                </c:pt>
                <c:pt idx="120">
                  <c:v>16.082592793119026</c:v>
                </c:pt>
                <c:pt idx="121">
                  <c:v>15.495951911197713</c:v>
                </c:pt>
                <c:pt idx="122">
                  <c:v>14.91441371189071</c:v>
                </c:pt>
                <c:pt idx="123">
                  <c:v>14.337983130279545</c:v>
                </c:pt>
                <c:pt idx="124">
                  <c:v>13.766634473571944</c:v>
                </c:pt>
                <c:pt idx="125">
                  <c:v>13.200322185135702</c:v>
                </c:pt>
                <c:pt idx="126">
                  <c:v>12.638991175238633</c:v>
                </c:pt>
                <c:pt idx="127">
                  <c:v>12.08258646640844</c:v>
                </c:pt>
                <c:pt idx="128">
                  <c:v>11.531062001266717</c:v>
                </c:pt>
                <c:pt idx="129">
                  <c:v>10.984388543872761</c:v>
                </c:pt>
                <c:pt idx="130">
                  <c:v>10.442560669193528</c:v>
                </c:pt>
                <c:pt idx="131">
                  <c:v>9.9056028790087893</c:v>
                </c:pt>
                <c:pt idx="132">
                  <c:v>9.3735749077364918</c:v>
                </c:pt>
                <c:pt idx="133">
                  <c:v>8.8465762907107219</c:v>
                </c:pt>
                <c:pt idx="134">
                  <c:v>8.3247502631103032</c:v>
                </c:pt>
                <c:pt idx="135">
                  <c:v>7.8082870428117799</c:v>
                </c:pt>
                <c:pt idx="136">
                  <c:v>7.2974265275130517</c:v>
                </c:pt>
                <c:pt idx="137">
                  <c:v>6.7924604078735324</c:v>
                </c:pt>
                <c:pt idx="138">
                  <c:v>6.2937336662869736</c:v>
                </c:pt>
                <c:pt idx="139">
                  <c:v>5.8016453972697111</c:v>
                </c:pt>
                <c:pt idx="140">
                  <c:v>5.3166488524552058</c:v>
                </c:pt>
                <c:pt idx="141">
                  <c:v>4.8392505831549872</c:v>
                </c:pt>
                <c:pt idx="142">
                  <c:v>4.3700085291143598</c:v>
                </c:pt>
                <c:pt idx="143">
                  <c:v>3.9095288865828182</c:v>
                </c:pt>
                <c:pt idx="144">
                  <c:v>3.458461585644641</c:v>
                </c:pt>
                <c:pt idx="145">
                  <c:v>3.0174942196221766</c:v>
                </c:pt>
                <c:pt idx="146">
                  <c:v>2.5873443017612665</c:v>
                </c:pt>
                <c:pt idx="147">
                  <c:v>2.1687497790815899</c:v>
                </c:pt>
                <c:pt idx="148">
                  <c:v>1.7624578114480358</c:v>
                </c:pt>
                <c:pt idx="149">
                  <c:v>1.3692119245003829</c:v>
                </c:pt>
                <c:pt idx="150">
                  <c:v>0.9897377638398166</c:v>
                </c:pt>
                <c:pt idx="151">
                  <c:v>0.62472780699966624</c:v>
                </c:pt>
                <c:pt idx="152">
                  <c:v>0.2748255177083645</c:v>
                </c:pt>
                <c:pt idx="153">
                  <c:v>-5.9390460601474349E-2</c:v>
                </c:pt>
                <c:pt idx="154">
                  <c:v>-0.37742139407158026</c:v>
                </c:pt>
                <c:pt idx="155">
                  <c:v>-0.67886211789796214</c:v>
                </c:pt>
                <c:pt idx="156">
                  <c:v>-0.96341257667274771</c:v>
                </c:pt>
                <c:pt idx="157">
                  <c:v>-1.2308866425270502</c:v>
                </c:pt>
                <c:pt idx="158">
                  <c:v>-1.4812177544379319</c:v>
                </c:pt>
                <c:pt idx="159">
                  <c:v>-1.7144611169027328</c:v>
                </c:pt>
                <c:pt idx="160">
                  <c:v>-1.9307924201219979</c:v>
                </c:pt>
                <c:pt idx="161">
                  <c:v>-2.1305032724303405</c:v>
                </c:pt>
                <c:pt idx="162">
                  <c:v>-2.3139937433485818</c:v>
                </c:pt>
                <c:pt idx="163">
                  <c:v>-2.4817625794636049</c:v>
                </c:pt>
                <c:pt idx="164">
                  <c:v>-2.6343957589310647</c:v>
                </c:pt>
                <c:pt idx="165">
                  <c:v>-2.7725540858487503</c:v>
                </c:pt>
                <c:pt idx="166">
                  <c:v>-2.8969604944476273</c:v>
                </c:pt>
                <c:pt idx="167">
                  <c:v>-3.0083876445924211</c:v>
                </c:pt>
                <c:pt idx="168">
                  <c:v>-3.1076462603255828</c:v>
                </c:pt>
                <c:pt idx="169">
                  <c:v>-3.1955745114396694</c:v>
                </c:pt>
                <c:pt idx="170">
                  <c:v>-3.2730285844095106</c:v>
                </c:pt>
                <c:pt idx="171">
                  <c:v>-3.3408744517911506</c:v>
                </c:pt>
                <c:pt idx="172">
                  <c:v>-3.3999807430614473</c:v>
                </c:pt>
                <c:pt idx="173">
                  <c:v>-3.4512125543375411</c:v>
                </c:pt>
                <c:pt idx="174">
                  <c:v>-3.4954260130304036</c:v>
                </c:pt>
                <c:pt idx="175">
                  <c:v>-3.5334634335938264</c:v>
                </c:pt>
                <c:pt idx="176">
                  <c:v>-3.5661489537578612</c:v>
                </c:pt>
                <c:pt idx="177">
                  <c:v>-3.5942846141869929</c:v>
                </c:pt>
                <c:pt idx="178">
                  <c:v>-3.6186469231778031</c:v>
                </c:pt>
                <c:pt idx="179">
                  <c:v>-3.6399840167107866</c:v>
                </c:pt>
                <c:pt idx="180">
                  <c:v>-3.6590135705297229</c:v>
                </c:pt>
                <c:pt idx="181">
                  <c:v>-3.6764216373546157</c:v>
                </c:pt>
                <c:pt idx="182">
                  <c:v>-3.6928625671709963</c:v>
                </c:pt>
                <c:pt idx="183">
                  <c:v>-3.7089601258415978</c:v>
                </c:pt>
                <c:pt idx="184">
                  <c:v>-3.7253098655081827</c:v>
                </c:pt>
                <c:pt idx="185">
                  <c:v>-3.7424827300979215</c:v>
                </c:pt>
                <c:pt idx="186">
                  <c:v>-3.7610298113307365</c:v>
                </c:pt>
                <c:pt idx="187">
                  <c:v>-3.7814881134563678</c:v>
                </c:pt>
                <c:pt idx="188">
                  <c:v>-3.8043871437879</c:v>
                </c:pt>
                <c:pt idx="189">
                  <c:v>-3.830256122515137</c:v>
                </c:pt>
                <c:pt idx="190">
                  <c:v>-3.8596315977392592</c:v>
                </c:pt>
                <c:pt idx="191">
                  <c:v>-3.8930652563258068</c:v>
                </c:pt>
                <c:pt idx="192">
                  <c:v>-3.931131733137021</c:v>
                </c:pt>
                <c:pt idx="193">
                  <c:v>-3.9744362354394926</c:v>
                </c:pt>
                <c:pt idx="194">
                  <c:v>-4.0236218115195452</c:v>
                </c:pt>
                <c:pt idx="195">
                  <c:v>-4.0793760996414541</c:v>
                </c:pt>
                <c:pt idx="196">
                  <c:v>-4.1424373937696046</c:v>
                </c:pt>
                <c:pt idx="197">
                  <c:v>-4.2135998556720065</c:v>
                </c:pt>
                <c:pt idx="198">
                  <c:v>-4.2937176901819054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718840"/>
        <c:axId val="257719232"/>
      </c:scatterChart>
      <c:valAx>
        <c:axId val="257718840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7719232"/>
        <c:crosses val="autoZero"/>
        <c:crossBetween val="midCat"/>
      </c:valAx>
      <c:valAx>
        <c:axId val="25771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7718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Radio" checked="Checked" firstButton="1" fmlaLink="$F$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38100</xdr:rowOff>
    </xdr:from>
    <xdr:to>
      <xdr:col>0</xdr:col>
      <xdr:colOff>7400925</xdr:colOff>
      <xdr:row>3</xdr:row>
      <xdr:rowOff>2781300</xdr:rowOff>
    </xdr:to>
    <xdr:pic>
      <xdr:nvPicPr>
        <xdr:cNvPr id="2" name="Picture 1" descr="ONHoriz-2DGreen-Lg.tif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609600"/>
          <a:ext cx="7315200" cy="274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95250</xdr:rowOff>
        </xdr:from>
        <xdr:to>
          <xdr:col>7</xdr:col>
          <xdr:colOff>47625</xdr:colOff>
          <xdr:row>2</xdr:row>
          <xdr:rowOff>123825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Upper Feedback Resistor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9525</xdr:rowOff>
        </xdr:from>
        <xdr:to>
          <xdr:col>7</xdr:col>
          <xdr:colOff>47625</xdr:colOff>
          <xdr:row>4</xdr:row>
          <xdr:rowOff>38100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Lower Feedback Resistor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145676</xdr:rowOff>
    </xdr:from>
    <xdr:to>
      <xdr:col>4</xdr:col>
      <xdr:colOff>717178</xdr:colOff>
      <xdr:row>40</xdr:row>
      <xdr:rowOff>33617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10</xdr:row>
      <xdr:rowOff>156882</xdr:rowOff>
    </xdr:from>
    <xdr:to>
      <xdr:col>4</xdr:col>
      <xdr:colOff>750794</xdr:colOff>
      <xdr:row>25</xdr:row>
      <xdr:rowOff>44823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829238</xdr:colOff>
      <xdr:row>25</xdr:row>
      <xdr:rowOff>145676</xdr:rowOff>
    </xdr:from>
    <xdr:to>
      <xdr:col>9</xdr:col>
      <xdr:colOff>11211</xdr:colOff>
      <xdr:row>40</xdr:row>
      <xdr:rowOff>33617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862855</xdr:colOff>
      <xdr:row>10</xdr:row>
      <xdr:rowOff>156882</xdr:rowOff>
    </xdr:from>
    <xdr:to>
      <xdr:col>9</xdr:col>
      <xdr:colOff>44827</xdr:colOff>
      <xdr:row>25</xdr:row>
      <xdr:rowOff>44823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145679</xdr:colOff>
      <xdr:row>25</xdr:row>
      <xdr:rowOff>145677</xdr:rowOff>
    </xdr:from>
    <xdr:to>
      <xdr:col>15</xdr:col>
      <xdr:colOff>481853</xdr:colOff>
      <xdr:row>40</xdr:row>
      <xdr:rowOff>33618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179296</xdr:colOff>
      <xdr:row>10</xdr:row>
      <xdr:rowOff>156883</xdr:rowOff>
    </xdr:from>
    <xdr:to>
      <xdr:col>15</xdr:col>
      <xdr:colOff>481853</xdr:colOff>
      <xdr:row>25</xdr:row>
      <xdr:rowOff>44824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28"/>
  <sheetViews>
    <sheetView tabSelected="1" workbookViewId="0"/>
  </sheetViews>
  <sheetFormatPr defaultRowHeight="15" x14ac:dyDescent="0.25"/>
  <cols>
    <col min="1" max="1" width="111.42578125" customWidth="1"/>
  </cols>
  <sheetData>
    <row r="1" spans="1:1" x14ac:dyDescent="0.25">
      <c r="A1" s="6" t="s">
        <v>155</v>
      </c>
    </row>
    <row r="2" spans="1:1" x14ac:dyDescent="0.25">
      <c r="A2" t="s">
        <v>147</v>
      </c>
    </row>
    <row r="3" spans="1:1" x14ac:dyDescent="0.25">
      <c r="A3" t="s">
        <v>112</v>
      </c>
    </row>
    <row r="4" spans="1:1" ht="276.75" customHeight="1" x14ac:dyDescent="0.25"/>
    <row r="5" spans="1:1" x14ac:dyDescent="0.25">
      <c r="A5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154</v>
      </c>
    </row>
    <row r="28" spans="1:1" x14ac:dyDescent="0.25">
      <c r="A28" t="s">
        <v>156</v>
      </c>
    </row>
  </sheetData>
  <sheetProtection algorithmName="SHA-512" hashValue="3qW/VQbb5yD7d0NXpH49XWX6FONHEGShTMgkwJMAA29ZRYDSI8mbQh9RxKFqgOgwn8xb+P2pXxcD7CXeph+D3A==" saltValue="ihNJXNailZR0yo1MhOoTbA==" spinCount="100000" sheet="1" objects="1" scenarios="1" selectLockedCells="1"/>
  <customSheetViews>
    <customSheetView guid="{25ED444C-8CCE-464F-9E26-1EDA12EA830D}">
      <selection activeCell="A6" sqref="A6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T202"/>
  <sheetViews>
    <sheetView zoomScale="85" zoomScaleNormal="85" workbookViewId="0">
      <selection activeCell="B8" sqref="B8"/>
    </sheetView>
  </sheetViews>
  <sheetFormatPr defaultRowHeight="15" x14ac:dyDescent="0.25"/>
  <cols>
    <col min="1" max="1" width="27.42578125" customWidth="1"/>
    <col min="2" max="2" width="12.28515625" bestFit="1" customWidth="1"/>
    <col min="5" max="5" width="44.5703125" customWidth="1"/>
    <col min="9" max="9" width="9.140625" style="5" customWidth="1"/>
    <col min="10" max="10" width="9.140625" style="5"/>
    <col min="11" max="11" width="12.28515625" style="5" bestFit="1" customWidth="1"/>
    <col min="12" max="12" width="12.28515625" style="5" customWidth="1"/>
    <col min="13" max="16" width="9.140625" style="5"/>
    <col min="17" max="17" width="8.7109375" style="5" customWidth="1"/>
    <col min="18" max="18" width="15.7109375" style="9" customWidth="1"/>
    <col min="19" max="46" width="0.140625" style="9" customWidth="1"/>
    <col min="47" max="47" width="15.7109375" customWidth="1"/>
    <col min="48" max="48" width="8.7109375" customWidth="1"/>
  </cols>
  <sheetData>
    <row r="1" spans="1:46" x14ac:dyDescent="0.25">
      <c r="A1" t="s">
        <v>102</v>
      </c>
      <c r="B1" s="2">
        <v>10000</v>
      </c>
      <c r="C1" t="s">
        <v>92</v>
      </c>
      <c r="E1" t="s">
        <v>89</v>
      </c>
      <c r="S1" s="9" t="s">
        <v>62</v>
      </c>
      <c r="T1" s="9">
        <f>(2*Rout*Vf*Vin_nominal-(Rsw_eq+Rout*(Vin_nominal/Vout-2))*Vout^2-Vout*(Rout*(Rout*Vin_nominal^2+2*Rsw_eq*Vin_nominal*Vout-4*Vf*Rsw_eq*Vin_nominal-4*Rsw_eq*Vout^2-4*rL*Vf*Vin_nominal-4*rL*Vout^2)+Rsw_eq^2*Vout^2)^0.5)/(2*Rout*(Vout^2+Vf*Vin_nominal))</f>
        <v>0.66950870136942797</v>
      </c>
      <c r="Z1" s="9" t="s">
        <v>26</v>
      </c>
      <c r="AA1" s="9" t="s">
        <v>19</v>
      </c>
      <c r="AB1" s="9" t="s">
        <v>20</v>
      </c>
      <c r="AC1" s="9" t="s">
        <v>21</v>
      </c>
      <c r="AD1" s="9" t="s">
        <v>22</v>
      </c>
      <c r="AE1" s="9" t="s">
        <v>23</v>
      </c>
      <c r="AF1" s="9" t="s">
        <v>18</v>
      </c>
      <c r="AG1" s="9" t="s">
        <v>24</v>
      </c>
      <c r="AH1" s="9" t="s">
        <v>25</v>
      </c>
      <c r="AI1" s="10" t="s">
        <v>27</v>
      </c>
      <c r="AJ1" s="10" t="s">
        <v>28</v>
      </c>
      <c r="AK1" s="10" t="s">
        <v>96</v>
      </c>
      <c r="AL1" s="10" t="s">
        <v>97</v>
      </c>
      <c r="AM1" s="10" t="s">
        <v>98</v>
      </c>
      <c r="AN1" s="10" t="s">
        <v>99</v>
      </c>
      <c r="AO1" s="10" t="s">
        <v>101</v>
      </c>
      <c r="AP1" s="9" t="s">
        <v>25</v>
      </c>
      <c r="AQ1" s="10" t="s">
        <v>27</v>
      </c>
      <c r="AR1" s="10" t="s">
        <v>28</v>
      </c>
      <c r="AS1" s="10" t="s">
        <v>28</v>
      </c>
      <c r="AT1" s="10" t="s">
        <v>27</v>
      </c>
    </row>
    <row r="2" spans="1:46" x14ac:dyDescent="0.25">
      <c r="A2" t="s">
        <v>108</v>
      </c>
      <c r="B2" s="3">
        <f>INDEX(AG2:AG202,MATCH(B1,Z2:Z202,1))</f>
        <v>1.5686995983180994</v>
      </c>
      <c r="E2" t="s">
        <v>90</v>
      </c>
      <c r="F2" s="2">
        <v>1</v>
      </c>
      <c r="G2" t="s">
        <v>92</v>
      </c>
      <c r="S2" s="9" t="s">
        <v>6</v>
      </c>
      <c r="T2" s="9">
        <f>1-D_</f>
        <v>0.33049129863057203</v>
      </c>
      <c r="V2" s="9" t="s">
        <v>9</v>
      </c>
      <c r="W2" s="9">
        <f>PI()/T3</f>
        <v>1382300.7675795089</v>
      </c>
      <c r="Y2" s="9">
        <v>0</v>
      </c>
      <c r="Z2" s="9">
        <f>10^(LOG($F$3/$F$2,10)*Y2/200)</f>
        <v>1</v>
      </c>
      <c r="AA2" s="9" t="str">
        <f>IMPRODUCT(COMPLEX(0,1),2*PI()*Z2)</f>
        <v>6.28318530717959i</v>
      </c>
      <c r="AB2" s="9">
        <f>(Assumed_Efficiency/100)*Rout/'4. Current Sense Resistor'!$B$11</f>
        <v>135.14141414141415</v>
      </c>
      <c r="AC2" s="9">
        <f>1/(2*M_IC+Rout*Tsw/(Lo*M_IC^2)*(0.5+Se/Sn))</f>
        <v>0.13894273332106225</v>
      </c>
      <c r="AD2" s="9" t="str">
        <f t="shared" ref="AD2:AD65" si="0">IMDIV(IMSUM(1,IMDIV(AA2,$W$4)),IMSUM(1,IMDIV(AA2,$W$6)))</f>
        <v>0.999997856895318-0.00145414853081469i</v>
      </c>
      <c r="AE2" s="9" t="str">
        <f>IMDIV(IMSUM(1,IMDIV(IMPRODUCT(-1,AA2),$W$5)),IMSUM(1,IMDIV(AA2,$W$2*$W$3),IMDIV(IMPOWER(AA2,2),$W$2^2)))</f>
        <v>0.99999999840751-0.0000840036841346584i</v>
      </c>
      <c r="AF2" s="9" t="str">
        <f t="shared" ref="AF2:AF65" si="1">IF(D_&lt;Dmax,IMPRODUCT(AB2,AC$2,AD2,AE2),0)</f>
        <v>18.7768749012076-0.0288817537658936i</v>
      </c>
      <c r="AG2" s="9">
        <f>IMABS(AF2)</f>
        <v>18.776897113508941</v>
      </c>
      <c r="AH2" s="9">
        <f t="shared" ref="AH2:AH56" si="2">IMARGUMENT(AF2)</f>
        <v>-1.5381543063238414E-3</v>
      </c>
      <c r="AI2" s="9">
        <f t="shared" ref="AI2:AI56" si="3">AH2/(PI())*180</f>
        <v>-8.812974999222889E-2</v>
      </c>
      <c r="AJ2" s="9">
        <f t="shared" ref="AJ2:AJ56" si="4">20*LOG(AG2,10)</f>
        <v>25.472476531958883</v>
      </c>
      <c r="AK2" s="9">
        <f>-1.2/Vout*gm*R0</f>
        <v>-635.2941176470589</v>
      </c>
      <c r="AL2" s="9" t="str">
        <f t="shared" ref="AL2:AL65" si="5">IMDIV(IMSUM(1,IMDIV(AA2,wz1e)),IMSUM(1,IMDIV(AA2,wp1e)))</f>
        <v>0.560203958784871-0.495844092211294i</v>
      </c>
      <c r="AM2" s="9" t="str">
        <f t="shared" ref="AM2:AM65" si="6">IMDIV(IMSUM(1,IMDIV(AA2,wz2e)),IMSUM(1,IMDIV(AA2,wp2e)))</f>
        <v>0.999999999996941-1.61894615095719E-06i</v>
      </c>
      <c r="AN2" s="9" t="str">
        <f>IMPRODUCT($AK$2,AL2,AM2)</f>
        <v>-355.893769718432+315.007411224592i</v>
      </c>
      <c r="AO2" s="9">
        <f>IMABS(AN2)</f>
        <v>475.27891227237876</v>
      </c>
      <c r="AP2" s="9">
        <f>IMARGUMENT(AN2)</f>
        <v>2.4170616567563794</v>
      </c>
      <c r="AQ2" s="9">
        <f>AP2/(PI())*180</f>
        <v>138.48743175503898</v>
      </c>
      <c r="AR2" s="9">
        <f>20*LOG(AO2,10)</f>
        <v>53.538970908789693</v>
      </c>
      <c r="AS2" s="9">
        <f>AR2+AJ2</f>
        <v>79.011447440748583</v>
      </c>
      <c r="AT2" s="9">
        <f>AQ2+AI2</f>
        <v>138.39930200504676</v>
      </c>
    </row>
    <row r="3" spans="1:46" x14ac:dyDescent="0.25">
      <c r="A3" t="s">
        <v>104</v>
      </c>
      <c r="B3" s="2">
        <v>1000</v>
      </c>
      <c r="C3" t="s">
        <v>92</v>
      </c>
      <c r="E3" t="s">
        <v>91</v>
      </c>
      <c r="F3" s="2">
        <v>220000</v>
      </c>
      <c r="G3" t="s">
        <v>92</v>
      </c>
      <c r="S3" s="9" t="s">
        <v>8</v>
      </c>
      <c r="T3" s="9">
        <f>1/('2. Design Parameters'!C$7*1000)</f>
        <v>2.2727272727272728E-6</v>
      </c>
      <c r="U3" s="9" t="s">
        <v>19</v>
      </c>
      <c r="V3" s="9" t="s">
        <v>10</v>
      </c>
      <c r="W3" s="9">
        <f>1/(PI()*(T7*T2-0.5))</f>
        <v>0.23670122369817545</v>
      </c>
      <c r="Y3" s="9">
        <v>1</v>
      </c>
      <c r="Z3" s="9">
        <f t="shared" ref="Z3:Z66" si="7">10^(LOG($F$3/$F$2,10)*Y3/200)</f>
        <v>1.0634378492473788</v>
      </c>
      <c r="AA3" s="9" t="str">
        <f>IMPRODUCT(COMPLEX(0,1),2*PI()*Z3)</f>
        <v>6.68177706948979i</v>
      </c>
      <c r="AB3" s="9">
        <f>(Assumed_Efficiency/100)*Rout/'4. Current Sense Resistor'!$B$11</f>
        <v>135.14141414141415</v>
      </c>
      <c r="AD3" s="9" t="str">
        <f t="shared" si="0"/>
        <v>0.999997576363477-0.00154639614642372i</v>
      </c>
      <c r="AE3" s="9" t="str">
        <f t="shared" ref="AE3:AE66" si="8">IMDIV(IMSUM(1,IMDIV(IMPRODUCT(-1,AA3),$W$5)),IMSUM(1,IMDIV(AA3,$W$2*$W$3),IMDIV(IMPOWER(AA3,2),$W$2^2)))</f>
        <v>0.999999998199053-0.0000893326971810018i</v>
      </c>
      <c r="AF3" s="9" t="str">
        <f t="shared" si="1"/>
        <v>18.776869329529-0.0307139413749174i</v>
      </c>
      <c r="AG3" s="9">
        <f t="shared" ref="AG3:AG56" si="9">IMABS(AF3)</f>
        <v>18.776894449413131</v>
      </c>
      <c r="AH3" s="9">
        <f t="shared" si="2"/>
        <v>-1.6357313587785183E-3</v>
      </c>
      <c r="AI3" s="9">
        <f t="shared" si="3"/>
        <v>-9.3720503275208533E-2</v>
      </c>
      <c r="AJ3" s="9">
        <f t="shared" si="4"/>
        <v>25.472475299591053</v>
      </c>
      <c r="AL3" s="9" t="str">
        <f t="shared" si="5"/>
        <v>0.529738929486969-0.498563800357504i</v>
      </c>
      <c r="AM3" s="9" t="str">
        <f t="shared" si="6"/>
        <v>0.999999999996541-1.72164861282043E-06i</v>
      </c>
      <c r="AN3" s="9" t="str">
        <f t="shared" ref="AN3:AN66" si="10">IMPRODUCT($AK$2,AL3,AM3)</f>
        <v>-336.539480484787+316.735229041458i</v>
      </c>
      <c r="AO3" s="9">
        <f t="shared" ref="AO3:AO66" si="11">IMABS(AN3)</f>
        <v>462.14719218114402</v>
      </c>
      <c r="AP3" s="9">
        <f t="shared" ref="AP3:AP66" si="12">IMARGUMENT(AN3)</f>
        <v>2.3865005584672141</v>
      </c>
      <c r="AQ3" s="9">
        <f t="shared" ref="AQ3:AQ66" si="13">AP3/(PI())*180</f>
        <v>136.73640980578534</v>
      </c>
      <c r="AR3" s="9">
        <f t="shared" ref="AR3:AR66" si="14">20*LOG(AO3,10)</f>
        <v>53.295606375670992</v>
      </c>
      <c r="AS3" s="9">
        <f t="shared" ref="AS3:AS66" si="15">AR3+AJ3</f>
        <v>78.768081675262039</v>
      </c>
      <c r="AT3" s="9">
        <f t="shared" ref="AT3:AT66" si="16">AQ3+AI3</f>
        <v>136.64268930251012</v>
      </c>
    </row>
    <row r="4" spans="1:46" x14ac:dyDescent="0.25">
      <c r="A4" t="s">
        <v>103</v>
      </c>
      <c r="B4" s="2">
        <v>200000</v>
      </c>
      <c r="C4" t="s">
        <v>92</v>
      </c>
      <c r="E4" t="str">
        <f>IF(OR(B1&lt;F2,(B1&gt;F3)),"Crossover frequency needs to be on the graph","")</f>
        <v/>
      </c>
      <c r="S4" s="9" t="s">
        <v>126</v>
      </c>
      <c r="T4" s="9">
        <f>'2. Design Parameters'!C$5/'2. Design Parameters'!C$4</f>
        <v>2.6153846153846154</v>
      </c>
      <c r="V4" s="9" t="s">
        <v>11</v>
      </c>
      <c r="W4" s="9">
        <f>1/('5. Output Capacitors'!C15*'5. Output Capacitors'!C14)</f>
        <v>320000</v>
      </c>
      <c r="Y4" s="9">
        <v>2</v>
      </c>
      <c r="Z4" s="9">
        <f t="shared" si="7"/>
        <v>1.1309000592118907</v>
      </c>
      <c r="AA4" s="9" t="str">
        <f t="shared" ref="AA4:AA67" si="17">IMPRODUCT(COMPLEX(0,1),2*PI()*Z4)</f>
        <v>7.10565463592868i</v>
      </c>
      <c r="AB4" s="9">
        <f>(Assumed_Efficiency/100)*Rout/'4. Current Sense Resistor'!$B$11</f>
        <v>135.14141414141415</v>
      </c>
      <c r="AD4" s="9" t="str">
        <f t="shared" si="0"/>
        <v>0.999997259110194-0.00164449566326952i</v>
      </c>
      <c r="AE4" s="9" t="str">
        <f t="shared" si="8"/>
        <v>0.999999997963308-0.0000949997713528028i</v>
      </c>
      <c r="AF4" s="9" t="str">
        <f t="shared" si="1"/>
        <v>18.7768630285213-0.0326623572557363i</v>
      </c>
      <c r="AG4" s="9">
        <f t="shared" si="9"/>
        <v>18.776891436588528</v>
      </c>
      <c r="AH4" s="9">
        <f t="shared" si="2"/>
        <v>-1.7394984594746071E-3</v>
      </c>
      <c r="AI4" s="9">
        <f t="shared" si="3"/>
        <v>-9.9665920197403446E-2</v>
      </c>
      <c r="AJ4" s="9">
        <f t="shared" si="4"/>
        <v>25.472473905906696</v>
      </c>
      <c r="AL4" s="9" t="str">
        <f t="shared" si="5"/>
        <v>0.499054614075231-0.499413158992301i</v>
      </c>
      <c r="AM4" s="9" t="str">
        <f t="shared" si="6"/>
        <v>0.999999999996088-1.83086629797652E-06i</v>
      </c>
      <c r="AN4" s="9" t="str">
        <f t="shared" si="10"/>
        <v>-317.04587981866+317.274822651783i</v>
      </c>
      <c r="AO4" s="9">
        <f t="shared" si="11"/>
        <v>448.53249937848267</v>
      </c>
      <c r="AP4" s="9">
        <f t="shared" si="12"/>
        <v>2.355833564209179</v>
      </c>
      <c r="AQ4" s="9">
        <f t="shared" si="13"/>
        <v>134.97932046444799</v>
      </c>
      <c r="AR4" s="9">
        <f t="shared" si="14"/>
        <v>53.035878325055364</v>
      </c>
      <c r="AS4" s="9">
        <f t="shared" si="15"/>
        <v>78.508352230962061</v>
      </c>
      <c r="AT4" s="9">
        <f t="shared" si="16"/>
        <v>134.8796545442506</v>
      </c>
    </row>
    <row r="5" spans="1:46" x14ac:dyDescent="0.25">
      <c r="A5" t="s">
        <v>109</v>
      </c>
      <c r="B5" s="3">
        <f>B4/(B2*(B4-B3)*gm)*(Vout/1.2)*SQRT(1+(B1/B4)^2)/SQRT(1+(B3/B1)^2)</f>
        <v>3014.15136708107</v>
      </c>
      <c r="C5" s="1" t="s">
        <v>41</v>
      </c>
      <c r="S5" s="9" t="s">
        <v>14</v>
      </c>
      <c r="T5" s="9">
        <f>1/(1-D_)</f>
        <v>3.0257982710698066</v>
      </c>
      <c r="V5" s="9" t="s">
        <v>12</v>
      </c>
      <c r="W5" s="9">
        <f>Dp^2/Lo*(Rout-rCf*Rout/(rCf+Rout))-rL/Lo</f>
        <v>96962.224200318247</v>
      </c>
      <c r="Y5" s="9">
        <v>3</v>
      </c>
      <c r="Z5" s="9">
        <f t="shared" si="7"/>
        <v>1.2026419266820265</v>
      </c>
      <c r="AA5" s="9" t="str">
        <f t="shared" si="17"/>
        <v>7.55642208352666i</v>
      </c>
      <c r="AB5" s="9">
        <f>(Assumed_Efficiency/100)*Rout/'4. Current Sense Resistor'!$B$11</f>
        <v>135.14141414141415</v>
      </c>
      <c r="AD5" s="9" t="str">
        <f t="shared" si="0"/>
        <v>0.999996900328683-0.00174881829532613i</v>
      </c>
      <c r="AE5" s="9" t="str">
        <f t="shared" si="8"/>
        <v>0.999999997696705-0.00010102635252061i</v>
      </c>
      <c r="AF5" s="9" t="str">
        <f t="shared" si="1"/>
        <v>18.7768559027162-0.0347343743213538i</v>
      </c>
      <c r="AG5" s="9">
        <f t="shared" si="9"/>
        <v>18.776888029386757</v>
      </c>
      <c r="AH5" s="9">
        <f t="shared" si="2"/>
        <v>-1.8498482856593261E-3</v>
      </c>
      <c r="AI5" s="9">
        <f t="shared" si="3"/>
        <v>-0.10598849950779007</v>
      </c>
      <c r="AJ5" s="9">
        <f t="shared" si="4"/>
        <v>25.472472329789518</v>
      </c>
      <c r="AL5" s="9" t="str">
        <f t="shared" si="5"/>
        <v>0.468381844831171-0.498376196327255i</v>
      </c>
      <c r="AM5" s="9" t="str">
        <f t="shared" si="6"/>
        <v>0.999999999995576-0.0000019470125181785i</v>
      </c>
      <c r="AN5" s="9" t="str">
        <f t="shared" si="10"/>
        <v>-297.559614378328+316.616045254114i</v>
      </c>
      <c r="AO5" s="9">
        <f t="shared" si="11"/>
        <v>434.49677124385448</v>
      </c>
      <c r="AP5" s="9">
        <f t="shared" si="12"/>
        <v>2.3251767857288494</v>
      </c>
      <c r="AQ5" s="9">
        <f t="shared" si="13"/>
        <v>133.22281644405763</v>
      </c>
      <c r="AR5" s="9">
        <f t="shared" si="14"/>
        <v>52.759731070874949</v>
      </c>
      <c r="AS5" s="9">
        <f t="shared" si="15"/>
        <v>78.232203400664474</v>
      </c>
      <c r="AT5" s="9">
        <f t="shared" si="16"/>
        <v>133.11682794454984</v>
      </c>
    </row>
    <row r="6" spans="1:46" x14ac:dyDescent="0.25">
      <c r="A6" t="s">
        <v>110</v>
      </c>
      <c r="B6" s="3">
        <f>1/(B5*B3*2*PI())*10^9</f>
        <v>52.802571506560525</v>
      </c>
      <c r="C6" t="s">
        <v>100</v>
      </c>
      <c r="S6" s="9" t="s">
        <v>16</v>
      </c>
      <c r="T6" s="9">
        <f>('2. Design Parameters'!C$4-IavgL*(rL+Rsw_eq))/'3. Boost Inductor'!B$12*Ri</f>
        <v>11567.210889979926</v>
      </c>
      <c r="U6" s="9" t="s">
        <v>46</v>
      </c>
      <c r="V6" s="9" t="s">
        <v>13</v>
      </c>
      <c r="W6" s="9">
        <f>(2/Rout+Tsw/(Lo*M_IC^3)*mc)/('5. Output Capacitors'!B$2*10^-6)</f>
        <v>4263.2936968239119</v>
      </c>
      <c r="Y6" s="9">
        <v>4</v>
      </c>
      <c r="Z6" s="9">
        <f t="shared" si="7"/>
        <v>1.278934943925458</v>
      </c>
      <c r="AA6" s="9" t="str">
        <f t="shared" si="17"/>
        <v>8.03578524851099i</v>
      </c>
      <c r="AB6" s="9">
        <f>(Assumed_Efficiency/100)*Rout/'4. Current Sense Resistor'!$B$11</f>
        <v>135.14141414141415</v>
      </c>
      <c r="AD6" s="9" t="str">
        <f t="shared" si="0"/>
        <v>0.999996494582966-0.00185975880192523i</v>
      </c>
      <c r="AE6" s="9" t="str">
        <f t="shared" si="8"/>
        <v>0.999999997395204-0.00010743524703484i</v>
      </c>
      <c r="AF6" s="9" t="str">
        <f t="shared" si="1"/>
        <v>18.776847844149-0.0369378331338551i</v>
      </c>
      <c r="AG6" s="9">
        <f t="shared" si="9"/>
        <v>18.776884176184279</v>
      </c>
      <c r="AH6" s="9">
        <f t="shared" si="2"/>
        <v>-1.9671984239438369E-3</v>
      </c>
      <c r="AI6" s="9">
        <f t="shared" si="3"/>
        <v>-0.11271216715676913</v>
      </c>
      <c r="AJ6" s="9">
        <f t="shared" si="4"/>
        <v>25.472470547359176</v>
      </c>
      <c r="AL6" s="9" t="str">
        <f t="shared" si="5"/>
        <v>0.437951107441166-0.495472403208235i</v>
      </c>
      <c r="AM6" s="9" t="str">
        <f t="shared" si="6"/>
        <v>0.999999999994997-2.07052680478807E-06i</v>
      </c>
      <c r="AN6" s="9" t="str">
        <f t="shared" si="10"/>
        <v>-278.227110631817+314.771279291108i</v>
      </c>
      <c r="AO6" s="9">
        <f t="shared" si="11"/>
        <v>420.10865660813278</v>
      </c>
      <c r="AP6" s="9">
        <f t="shared" si="12"/>
        <v>2.29464624277235</v>
      </c>
      <c r="AQ6" s="9">
        <f t="shared" si="13"/>
        <v>131.47354518640734</v>
      </c>
      <c r="AR6" s="9">
        <f t="shared" si="14"/>
        <v>52.467232610926942</v>
      </c>
      <c r="AS6" s="9">
        <f t="shared" si="15"/>
        <v>77.939703158286122</v>
      </c>
      <c r="AT6" s="9">
        <f t="shared" si="16"/>
        <v>131.36083301925058</v>
      </c>
    </row>
    <row r="7" spans="1:46" x14ac:dyDescent="0.25">
      <c r="A7" t="s">
        <v>111</v>
      </c>
      <c r="B7" s="3">
        <f>(1.2/Vout)*gm/(2*PI()*B4)*10^9</f>
        <v>0.16851699856788921</v>
      </c>
      <c r="C7" t="s">
        <v>100</v>
      </c>
      <c r="S7" s="9" t="s">
        <v>15</v>
      </c>
      <c r="T7" s="9">
        <f>1+(T$9/T$6)</f>
        <v>5.5819169810339631</v>
      </c>
      <c r="Y7" s="9">
        <v>5</v>
      </c>
      <c r="Z7" s="9">
        <f t="shared" si="7"/>
        <v>1.3600678260954062</v>
      </c>
      <c r="AA7" s="9" t="str">
        <f t="shared" si="17"/>
        <v>8.54555818169034i</v>
      </c>
      <c r="AB7" s="9">
        <f>(Assumed_Efficiency/100)*Rout/'4. Current Sense Resistor'!$B$11</f>
        <v>135.14141414141415</v>
      </c>
      <c r="AD7" s="9" t="str">
        <f t="shared" si="0"/>
        <v>0.999996035725512-0.00197773698068151i</v>
      </c>
      <c r="AE7" s="9" t="str">
        <f t="shared" si="8"/>
        <v>0.999999997054236-0.000114250708031691i</v>
      </c>
      <c r="AF7" s="9" t="str">
        <f t="shared" si="1"/>
        <v>18.7768387307228-0.0392810715563334i</v>
      </c>
      <c r="AG7" s="9">
        <f t="shared" si="9"/>
        <v>18.776879818600172</v>
      </c>
      <c r="AH7" s="9">
        <f t="shared" si="2"/>
        <v>-2.0919929502491719E-3</v>
      </c>
      <c r="AI7" s="9">
        <f t="shared" si="3"/>
        <v>-0.11986236682039915</v>
      </c>
      <c r="AJ7" s="9">
        <f t="shared" si="4"/>
        <v>25.472468531609454</v>
      </c>
      <c r="AL7" s="9" t="str">
        <f t="shared" si="5"/>
        <v>0.407985666907701-0.490755846069125i</v>
      </c>
      <c r="AM7" s="9" t="str">
        <f t="shared" si="6"/>
        <v>0.999999999994342-2.20187657209119E-06i</v>
      </c>
      <c r="AN7" s="9" t="str">
        <f t="shared" si="10"/>
        <v>-259.190207780776+311.774872913214i</v>
      </c>
      <c r="AO7" s="9">
        <f t="shared" si="11"/>
        <v>405.44190112702034</v>
      </c>
      <c r="AP7" s="9">
        <f t="shared" si="12"/>
        <v>2.2643556994906402</v>
      </c>
      <c r="AQ7" s="9">
        <f t="shared" si="13"/>
        <v>129.73802489720703</v>
      </c>
      <c r="AR7" s="9">
        <f t="shared" si="14"/>
        <v>52.158572592512016</v>
      </c>
      <c r="AS7" s="9">
        <f t="shared" si="15"/>
        <v>77.631041124121467</v>
      </c>
      <c r="AT7" s="9">
        <f t="shared" si="16"/>
        <v>129.61816253038663</v>
      </c>
    </row>
    <row r="8" spans="1:46" x14ac:dyDescent="0.25">
      <c r="A8" t="s">
        <v>105</v>
      </c>
      <c r="B8" s="2">
        <v>3010</v>
      </c>
      <c r="C8" s="1" t="s">
        <v>41</v>
      </c>
      <c r="D8" s="19" t="s">
        <v>148</v>
      </c>
      <c r="E8" s="20"/>
      <c r="F8" s="20"/>
      <c r="G8" s="20"/>
      <c r="H8" s="21"/>
      <c r="I8" s="21"/>
      <c r="J8" s="21"/>
      <c r="K8" s="21"/>
      <c r="L8" s="21"/>
      <c r="M8" s="21"/>
      <c r="N8" s="21"/>
      <c r="O8" s="21"/>
      <c r="P8" s="28"/>
      <c r="S8" s="9" t="s">
        <v>17</v>
      </c>
      <c r="T8" s="9">
        <f>'2. Design Parameters'!C$5/'2. Design Parameters'!D$6</f>
        <v>1.8888888888888888</v>
      </c>
      <c r="U8" s="10" t="s">
        <v>41</v>
      </c>
      <c r="Y8" s="9">
        <v>6</v>
      </c>
      <c r="Z8" s="9">
        <f t="shared" si="7"/>
        <v>1.4463476038134566</v>
      </c>
      <c r="AA8" s="9" t="str">
        <f t="shared" si="17"/>
        <v>9.08767001335511i</v>
      </c>
      <c r="AB8" s="9">
        <f>(Assumed_Efficiency/100)*Rout/'4. Current Sense Resistor'!$B$11</f>
        <v>135.14141414141415</v>
      </c>
      <c r="AD8" s="9" t="str">
        <f t="shared" si="0"/>
        <v>0.999995516804105-0.00210319925497605i</v>
      </c>
      <c r="AE8" s="9" t="str">
        <f t="shared" si="8"/>
        <v>0.999999996668636-0.00012149852721411i</v>
      </c>
      <c r="AF8" s="9" t="str">
        <f t="shared" si="1"/>
        <v>18.7768284243589-0.0417729562828901i</v>
      </c>
      <c r="AG8" s="9">
        <f t="shared" si="9"/>
        <v>18.776874890611829</v>
      </c>
      <c r="AH8" s="9">
        <f t="shared" si="2"/>
        <v>-2.2247041099299034E-3</v>
      </c>
      <c r="AI8" s="9">
        <f t="shared" si="3"/>
        <v>-0.1274661561643918</v>
      </c>
      <c r="AJ8" s="9">
        <f t="shared" si="4"/>
        <v>25.472466251999162</v>
      </c>
      <c r="AL8" s="9" t="str">
        <f t="shared" si="5"/>
        <v>0.378695146365094-0.484312739812994i</v>
      </c>
      <c r="AM8" s="9" t="str">
        <f t="shared" si="6"/>
        <v>0.999999999993601-2.34155888613082E-06i</v>
      </c>
      <c r="AN8" s="9" t="str">
        <f t="shared" si="10"/>
        <v>-240.582078412436+307.681598041547i</v>
      </c>
      <c r="AO8" s="9">
        <f t="shared" si="11"/>
        <v>390.57355546253712</v>
      </c>
      <c r="AP8" s="9">
        <f t="shared" si="12"/>
        <v>2.2344146036745038</v>
      </c>
      <c r="AQ8" s="9">
        <f t="shared" si="13"/>
        <v>128.0225264729456</v>
      </c>
      <c r="AR8" s="9">
        <f t="shared" si="14"/>
        <v>51.83405670399906</v>
      </c>
      <c r="AS8" s="9">
        <f t="shared" si="15"/>
        <v>77.306522955998219</v>
      </c>
      <c r="AT8" s="9">
        <f t="shared" si="16"/>
        <v>127.89506031678121</v>
      </c>
    </row>
    <row r="9" spans="1:46" x14ac:dyDescent="0.25">
      <c r="A9" t="s">
        <v>106</v>
      </c>
      <c r="B9" s="2">
        <v>47</v>
      </c>
      <c r="C9" t="s">
        <v>100</v>
      </c>
      <c r="D9" s="22" t="s">
        <v>149</v>
      </c>
      <c r="E9" s="23"/>
      <c r="F9" s="23"/>
      <c r="G9" s="23"/>
      <c r="H9" s="24"/>
      <c r="I9" s="24"/>
      <c r="J9" s="24"/>
      <c r="K9" s="24"/>
      <c r="L9" s="24"/>
      <c r="M9" s="24"/>
      <c r="N9" s="24"/>
      <c r="O9" s="24"/>
      <c r="P9" s="29"/>
      <c r="S9" s="9" t="s">
        <v>127</v>
      </c>
      <c r="T9" s="9">
        <f>SC_nom/0.001</f>
        <v>53000</v>
      </c>
      <c r="U9" s="9" t="s">
        <v>46</v>
      </c>
      <c r="Y9" s="9">
        <v>7</v>
      </c>
      <c r="Z9" s="9">
        <f t="shared" si="7"/>
        <v>1.5381007850634825</v>
      </c>
      <c r="AA9" s="9" t="str">
        <f t="shared" si="17"/>
        <v>9.66417225367226i</v>
      </c>
      <c r="AB9" s="9">
        <f>(Assumed_Efficiency/100)*Rout/'4. Current Sense Resistor'!$B$11</f>
        <v>135.14141414141415</v>
      </c>
      <c r="AD9" s="9" t="str">
        <f t="shared" si="0"/>
        <v>0.999994929956512-0.00223662036196528i</v>
      </c>
      <c r="AE9" s="9" t="str">
        <f t="shared" si="8"/>
        <v>0.999999996232559-0.000129206132455148i</v>
      </c>
      <c r="AF9" s="9" t="str">
        <f t="shared" si="1"/>
        <v>18.7768167689043-0.0444229163652385i</v>
      </c>
      <c r="AG9" s="9">
        <f t="shared" si="9"/>
        <v>18.776869317554091</v>
      </c>
      <c r="AH9" s="9">
        <f t="shared" si="2"/>
        <v>-2.3658341044201E-3</v>
      </c>
      <c r="AI9" s="9">
        <f t="shared" si="3"/>
        <v>-0.13555230921138461</v>
      </c>
      <c r="AJ9" s="9">
        <f t="shared" si="4"/>
        <v>25.472463673989139</v>
      </c>
      <c r="AL9" s="9" t="str">
        <f t="shared" si="5"/>
        <v>0.350269941685864-0.476257680424378i</v>
      </c>
      <c r="AM9" s="9" t="str">
        <f t="shared" si="6"/>
        <v>0.999999999992764-2.49010234575062E-06i</v>
      </c>
      <c r="AN9" s="9" t="str">
        <f t="shared" si="10"/>
        <v>-222.523680125411+302.564256964265i</v>
      </c>
      <c r="AO9" s="9">
        <f t="shared" si="11"/>
        <v>375.58210528311122</v>
      </c>
      <c r="AP9" s="9">
        <f t="shared" si="12"/>
        <v>2.2049262180982034</v>
      </c>
      <c r="AQ9" s="9">
        <f t="shared" si="13"/>
        <v>126.33296643476913</v>
      </c>
      <c r="AR9" s="9">
        <f t="shared" si="14"/>
        <v>51.49409784004245</v>
      </c>
      <c r="AS9" s="9">
        <f t="shared" si="15"/>
        <v>76.966561514031582</v>
      </c>
      <c r="AT9" s="9">
        <f t="shared" si="16"/>
        <v>126.19741412555774</v>
      </c>
    </row>
    <row r="10" spans="1:46" x14ac:dyDescent="0.25">
      <c r="A10" t="s">
        <v>107</v>
      </c>
      <c r="B10" s="2">
        <v>0.1</v>
      </c>
      <c r="C10" t="s">
        <v>100</v>
      </c>
      <c r="D10" s="25" t="s">
        <v>150</v>
      </c>
      <c r="E10" s="26"/>
      <c r="F10" s="26"/>
      <c r="G10" s="26"/>
      <c r="H10" s="27"/>
      <c r="I10" s="27"/>
      <c r="J10" s="27"/>
      <c r="K10" s="27"/>
      <c r="L10" s="27"/>
      <c r="M10" s="27"/>
      <c r="N10" s="27"/>
      <c r="O10" s="27"/>
      <c r="P10" s="30"/>
      <c r="S10" s="9" t="s">
        <v>33</v>
      </c>
      <c r="T10" s="9">
        <v>0.83</v>
      </c>
      <c r="Y10" s="9">
        <v>8</v>
      </c>
      <c r="Z10" s="9">
        <f t="shared" si="7"/>
        <v>1.6356745907936145</v>
      </c>
      <c r="AA10" s="9" t="str">
        <f t="shared" si="17"/>
        <v>10.2772465562014i</v>
      </c>
      <c r="AB10" s="9">
        <f>(Assumed_Efficiency/100)*Rout/'4. Current Sense Resistor'!$B$11</f>
        <v>135.14141414141415</v>
      </c>
      <c r="AD10" s="9" t="str">
        <f t="shared" si="0"/>
        <v>0.999994266291376-0.0023785051474566i</v>
      </c>
      <c r="AE10" s="9" t="str">
        <f t="shared" si="8"/>
        <v>0.999999995739402-0.000137402691593063i</v>
      </c>
      <c r="AF10" s="9" t="str">
        <f t="shared" si="1"/>
        <v>18.7768035877668-0.0472409788618521i</v>
      </c>
      <c r="AG10" s="9">
        <f t="shared" si="9"/>
        <v>18.776863014988848</v>
      </c>
      <c r="AH10" s="9">
        <f t="shared" si="2"/>
        <v>-2.5159169911469141E-3</v>
      </c>
      <c r="AI10" s="9">
        <f t="shared" si="3"/>
        <v>-0.14415142519797108</v>
      </c>
      <c r="AJ10" s="9">
        <f t="shared" si="4"/>
        <v>25.472460758519347</v>
      </c>
      <c r="AL10" s="9" t="str">
        <f t="shared" si="5"/>
        <v>0.322876768597666-0.466728836616283i</v>
      </c>
      <c r="AM10" s="9" t="str">
        <f t="shared" si="6"/>
        <v>0.999999999991817-2.64806908296795E-06i</v>
      </c>
      <c r="AN10" s="9" t="str">
        <f t="shared" si="10"/>
        <v>-205.120926634122+296.510627612617i</v>
      </c>
      <c r="AO10" s="9">
        <f t="shared" si="11"/>
        <v>360.54562378493642</v>
      </c>
      <c r="AP10" s="9">
        <f t="shared" si="12"/>
        <v>2.1759860177160437</v>
      </c>
      <c r="AQ10" s="9">
        <f t="shared" si="13"/>
        <v>124.67481509460849</v>
      </c>
      <c r="AR10" s="9">
        <f t="shared" si="14"/>
        <v>51.13920457136345</v>
      </c>
      <c r="AS10" s="9">
        <f t="shared" si="15"/>
        <v>76.611665329882797</v>
      </c>
      <c r="AT10" s="9">
        <f t="shared" si="16"/>
        <v>124.53066366941052</v>
      </c>
    </row>
    <row r="11" spans="1:46" x14ac:dyDescent="0.25">
      <c r="S11" s="9" t="s">
        <v>123</v>
      </c>
      <c r="T11" s="9">
        <f>Ri+Rfet</f>
        <v>3.1E-2</v>
      </c>
      <c r="U11" s="10" t="s">
        <v>41</v>
      </c>
      <c r="Y11" s="9">
        <v>9</v>
      </c>
      <c r="Z11" s="9">
        <f t="shared" si="7"/>
        <v>1.7394382689021479</v>
      </c>
      <c r="AA11" s="9" t="str">
        <f t="shared" si="17"/>
        <v>10.9292129739119i</v>
      </c>
      <c r="AB11" s="9">
        <f>(Assumed_Efficiency/100)*Rout/'4. Current Sense Resistor'!$B$11</f>
        <v>135.14141414141415</v>
      </c>
      <c r="AD11" s="9" t="str">
        <f t="shared" si="0"/>
        <v>0.99999351575351-0.00252939047438556i</v>
      </c>
      <c r="AE11" s="9" t="str">
        <f t="shared" si="8"/>
        <v>0.999999995181688-0.000146119222810957i</v>
      </c>
      <c r="AF11" s="9" t="str">
        <f t="shared" si="1"/>
        <v>18.7767886812389-0.0502378067434251i</v>
      </c>
      <c r="AG11" s="9">
        <f t="shared" si="9"/>
        <v>18.776855887425022</v>
      </c>
      <c r="AH11" s="9">
        <f t="shared" si="2"/>
        <v>-2.675520703882316E-3</v>
      </c>
      <c r="AI11" s="9">
        <f t="shared" si="3"/>
        <v>-0.15329604433232799</v>
      </c>
      <c r="AJ11" s="9">
        <f t="shared" si="4"/>
        <v>25.47245746141671</v>
      </c>
      <c r="AL11" s="9" t="str">
        <f t="shared" si="5"/>
        <v>0.296655528068339-0.455882462106049i</v>
      </c>
      <c r="AM11" s="9" t="str">
        <f t="shared" si="6"/>
        <v>0.999999999990745-2.81605689024641E-06i</v>
      </c>
      <c r="AN11" s="9" t="str">
        <f t="shared" si="10"/>
        <v>-188.462696362716+289.619977235722i</v>
      </c>
      <c r="AO11" s="9">
        <f t="shared" si="11"/>
        <v>345.54003984245503</v>
      </c>
      <c r="AP11" s="9">
        <f t="shared" si="12"/>
        <v>2.1476804058981513</v>
      </c>
      <c r="AQ11" s="9">
        <f t="shared" si="13"/>
        <v>123.05302300090763</v>
      </c>
      <c r="AR11" s="9">
        <f t="shared" si="14"/>
        <v>50.769967579796571</v>
      </c>
      <c r="AS11" s="9">
        <f t="shared" si="15"/>
        <v>76.242425041213281</v>
      </c>
      <c r="AT11" s="9">
        <f t="shared" si="16"/>
        <v>122.89972695657531</v>
      </c>
    </row>
    <row r="12" spans="1:46" x14ac:dyDescent="0.25">
      <c r="A12" t="s">
        <v>93</v>
      </c>
      <c r="B12">
        <f>B8</f>
        <v>3010</v>
      </c>
      <c r="C12" s="1" t="s">
        <v>41</v>
      </c>
      <c r="D12" s="1"/>
      <c r="Y12" s="9">
        <v>10</v>
      </c>
      <c r="Z12" s="9">
        <f t="shared" si="7"/>
        <v>1.849784491579884</v>
      </c>
      <c r="AA12" s="9" t="str">
        <f t="shared" si="17"/>
        <v>11.6225387389434i</v>
      </c>
      <c r="AB12" s="9">
        <f>(Assumed_Efficiency/100)*Rout/'4. Current Sense Resistor'!$B$11</f>
        <v>135.14141414141415</v>
      </c>
      <c r="AD12" s="9" t="str">
        <f t="shared" si="0"/>
        <v>0.999992666971569-0.00268984725204851i</v>
      </c>
      <c r="AE12" s="9" t="str">
        <f t="shared" si="8"/>
        <v>0.999999994550971-0.000155388712018649i</v>
      </c>
      <c r="AF12" s="9" t="str">
        <f t="shared" si="1"/>
        <v>18.776771823473-0.0534247391967329i</v>
      </c>
      <c r="AG12" s="9">
        <f t="shared" si="9"/>
        <v>18.776847826872533</v>
      </c>
      <c r="AH12" s="9">
        <f t="shared" si="2"/>
        <v>-2.8452492011552598E-3</v>
      </c>
      <c r="AI12" s="9">
        <f t="shared" si="3"/>
        <v>-0.16302077088916539</v>
      </c>
      <c r="AJ12" s="9">
        <f t="shared" si="4"/>
        <v>25.472453732726201</v>
      </c>
      <c r="AL12" s="9" t="str">
        <f t="shared" si="5"/>
        <v>0.271717555994987-0.44388711054113i</v>
      </c>
      <c r="AM12" s="9" t="str">
        <f t="shared" si="6"/>
        <v>0.999999999989534-2.99470148271767E-06i</v>
      </c>
      <c r="AN12" s="9" t="str">
        <f t="shared" si="10"/>
        <v>-172.619720480809+281.99938717024i</v>
      </c>
      <c r="AO12" s="9">
        <f t="shared" si="11"/>
        <v>330.63759959094727</v>
      </c>
      <c r="AP12" s="9">
        <f t="shared" si="12"/>
        <v>2.1200857797812809</v>
      </c>
      <c r="AQ12" s="9">
        <f t="shared" si="13"/>
        <v>121.47196738716947</v>
      </c>
      <c r="AR12" s="9">
        <f t="shared" si="14"/>
        <v>50.387044786666465</v>
      </c>
      <c r="AS12" s="9">
        <f t="shared" si="15"/>
        <v>75.859498519392673</v>
      </c>
      <c r="AT12" s="9">
        <f t="shared" si="16"/>
        <v>121.30894661628031</v>
      </c>
    </row>
    <row r="13" spans="1:46" x14ac:dyDescent="0.25">
      <c r="A13" t="s">
        <v>94</v>
      </c>
      <c r="B13">
        <f>B9</f>
        <v>47</v>
      </c>
      <c r="C13" t="s">
        <v>100</v>
      </c>
      <c r="Y13" s="9">
        <v>11</v>
      </c>
      <c r="Z13" s="9">
        <f t="shared" si="7"/>
        <v>1.967130841296868</v>
      </c>
      <c r="AA13" s="9" t="str">
        <f t="shared" si="17"/>
        <v>12.3598475993363i</v>
      </c>
      <c r="AB13" s="9">
        <f>(Assumed_Efficiency/100)*Rout/'4. Current Sense Resistor'!$B$11</f>
        <v>135.14141414141415</v>
      </c>
      <c r="AD13" s="9" t="str">
        <f t="shared" si="0"/>
        <v>0.999991707085781-0.00286048259368765i</v>
      </c>
      <c r="AE13" s="9" t="str">
        <f t="shared" si="8"/>
        <v>0.999999993837693-0.000165246237681017i</v>
      </c>
      <c r="AF13" s="9" t="str">
        <f t="shared" si="1"/>
        <v>18.7767527590595-0.0568138344777808i</v>
      </c>
      <c r="AG13" s="9">
        <f t="shared" si="9"/>
        <v>18.776838711205798</v>
      </c>
      <c r="AH13" s="9">
        <f t="shared" si="2"/>
        <v>-3.0257447508271556E-3</v>
      </c>
      <c r="AI13" s="9">
        <f t="shared" si="3"/>
        <v>-0.17336240410625892</v>
      </c>
      <c r="AJ13" s="9">
        <f t="shared" si="4"/>
        <v>25.472449515953759</v>
      </c>
      <c r="AL13" s="9" t="str">
        <f t="shared" si="5"/>
        <v>0.248145210395609-0.430917915773197i</v>
      </c>
      <c r="AM13" s="9" t="str">
        <f t="shared" si="6"/>
        <v>0.999999999988164-3.18467890391412E-06i</v>
      </c>
      <c r="AN13" s="9" t="str">
        <f t="shared" si="10"/>
        <v>-157.644320648279+273.760119125521i</v>
      </c>
      <c r="AO13" s="9">
        <f t="shared" si="11"/>
        <v>315.90557870394889</v>
      </c>
      <c r="AP13" s="9">
        <f t="shared" si="12"/>
        <v>2.0932679516924431</v>
      </c>
      <c r="AQ13" s="9">
        <f t="shared" si="13"/>
        <v>119.93541902197167</v>
      </c>
      <c r="AR13" s="9">
        <f t="shared" si="14"/>
        <v>49.991145907083563</v>
      </c>
      <c r="AS13" s="9">
        <f t="shared" si="15"/>
        <v>75.463595423037319</v>
      </c>
      <c r="AT13" s="9">
        <f t="shared" si="16"/>
        <v>119.76205661786541</v>
      </c>
    </row>
    <row r="14" spans="1:46" x14ac:dyDescent="0.25">
      <c r="A14" t="s">
        <v>95</v>
      </c>
      <c r="B14">
        <f>B10</f>
        <v>0.1</v>
      </c>
      <c r="C14" t="s">
        <v>100</v>
      </c>
      <c r="S14" s="14" t="s">
        <v>130</v>
      </c>
      <c r="Y14" s="9">
        <v>12</v>
      </c>
      <c r="Z14" s="9">
        <f t="shared" si="7"/>
        <v>2.0919213910569279</v>
      </c>
      <c r="AA14" s="9" t="str">
        <f t="shared" si="17"/>
        <v>13.1439297480636i</v>
      </c>
      <c r="AB14" s="9">
        <f>(Assumed_Efficiency/100)*Rout/'4. Current Sense Resistor'!$B$11</f>
        <v>135.14141414141415</v>
      </c>
      <c r="AD14" s="9" t="str">
        <f t="shared" si="0"/>
        <v>0.999990621553137-0.00304194211049389i</v>
      </c>
      <c r="AE14" s="9" t="str">
        <f t="shared" si="8"/>
        <v>0.999999993031047-0.000175729103565157i</v>
      </c>
      <c r="AF14" s="9" t="str">
        <f t="shared" si="1"/>
        <v>18.7767311991579-0.0604179154744316i</v>
      </c>
      <c r="AG14" s="9">
        <f t="shared" si="9"/>
        <v>18.776828402313846</v>
      </c>
      <c r="AH14" s="9">
        <f t="shared" si="2"/>
        <v>-3.2176903594419034E-3</v>
      </c>
      <c r="AI14" s="9">
        <f t="shared" si="3"/>
        <v>-0.18436007737595392</v>
      </c>
      <c r="AJ14" s="9">
        <f t="shared" si="4"/>
        <v>25.472444747210538</v>
      </c>
      <c r="AL14" s="9" t="str">
        <f t="shared" si="5"/>
        <v>0.225992655907955-0.417151248744959i</v>
      </c>
      <c r="AM14" s="9" t="str">
        <f t="shared" si="6"/>
        <v>0.999999999986614-3.38670808411581E-06i</v>
      </c>
      <c r="AN14" s="9" t="str">
        <f t="shared" si="10"/>
        <v>-143.570907403681+265.014220729042i</v>
      </c>
      <c r="AO14" s="9">
        <f t="shared" si="11"/>
        <v>301.40527971709076</v>
      </c>
      <c r="AP14" s="9">
        <f t="shared" si="12"/>
        <v>2.0672819127141255</v>
      </c>
      <c r="AQ14" s="9">
        <f t="shared" si="13"/>
        <v>118.44652866225164</v>
      </c>
      <c r="AR14" s="9">
        <f t="shared" si="14"/>
        <v>49.583017111656893</v>
      </c>
      <c r="AS14" s="9">
        <f t="shared" si="15"/>
        <v>75.055461858867432</v>
      </c>
      <c r="AT14" s="9">
        <f t="shared" si="16"/>
        <v>118.26216858487568</v>
      </c>
    </row>
    <row r="15" spans="1:46" x14ac:dyDescent="0.25">
      <c r="S15" s="9" t="s">
        <v>128</v>
      </c>
      <c r="T15" s="9">
        <f>1*10^-12</f>
        <v>9.9999999999999998E-13</v>
      </c>
      <c r="U15" s="9" t="s">
        <v>129</v>
      </c>
      <c r="Y15" s="9">
        <v>13</v>
      </c>
      <c r="Z15" s="9">
        <f t="shared" si="7"/>
        <v>2.2246283849001642</v>
      </c>
      <c r="AA15" s="9" t="str">
        <f t="shared" si="17"/>
        <v>13.9777523819394i</v>
      </c>
      <c r="AB15" s="9">
        <f>(Assumed_Efficiency/100)*Rout/'4. Current Sense Resistor'!$B$11</f>
        <v>135.14141414141415</v>
      </c>
      <c r="AD15" s="9" t="str">
        <f t="shared" si="0"/>
        <v>0.999989393927083-0.00323491235059i</v>
      </c>
      <c r="AE15" s="9" t="str">
        <f t="shared" si="8"/>
        <v>0.99999999211881-0.000186876979908741i</v>
      </c>
      <c r="AF15" s="9" t="str">
        <f t="shared" si="1"/>
        <v>18.7767068171209-0.0642506181485783i</v>
      </c>
      <c r="AG15" s="9">
        <f t="shared" si="9"/>
        <v>18.776816744007675</v>
      </c>
      <c r="AH15" s="9">
        <f t="shared" si="2"/>
        <v>-3.4218123555043822E-3</v>
      </c>
      <c r="AI15" s="9">
        <f t="shared" si="3"/>
        <v>-0.19605540625611997</v>
      </c>
      <c r="AJ15" s="9">
        <f t="shared" si="4"/>
        <v>25.472439354244795</v>
      </c>
      <c r="AL15" s="9" t="str">
        <f t="shared" si="5"/>
        <v>0.205287639266077-0.402759989704162i</v>
      </c>
      <c r="AM15" s="9" t="str">
        <f t="shared" si="6"/>
        <v>0.999999999984862-3.60155356099347E-06i</v>
      </c>
      <c r="AN15" s="9" t="str">
        <f t="shared" si="10"/>
        <v>-130.417108116116+255.87152198629i</v>
      </c>
      <c r="AO15" s="9">
        <f t="shared" si="11"/>
        <v>287.19132621468771</v>
      </c>
      <c r="AP15" s="9">
        <f t="shared" si="12"/>
        <v>2.0421719074491134</v>
      </c>
      <c r="AQ15" s="9">
        <f t="shared" si="13"/>
        <v>117.00783133701516</v>
      </c>
      <c r="AR15" s="9">
        <f t="shared" si="14"/>
        <v>49.163426383133448</v>
      </c>
      <c r="AS15" s="9">
        <f t="shared" si="15"/>
        <v>74.635865737378239</v>
      </c>
      <c r="AT15" s="9">
        <f t="shared" si="16"/>
        <v>116.81177593075904</v>
      </c>
    </row>
    <row r="16" spans="1:46" x14ac:dyDescent="0.25">
      <c r="S16" s="9" t="s">
        <v>131</v>
      </c>
      <c r="T16" s="9">
        <f>3*10^6</f>
        <v>3000000</v>
      </c>
      <c r="U16" s="10" t="s">
        <v>41</v>
      </c>
      <c r="Y16" s="9">
        <v>14</v>
      </c>
      <c r="Z16" s="9">
        <f t="shared" si="7"/>
        <v>2.365754025012901</v>
      </c>
      <c r="AA16" s="9" t="str">
        <f t="shared" si="17"/>
        <v>14.864470930362i</v>
      </c>
      <c r="AB16" s="9">
        <f>(Assumed_Efficiency/100)*Rout/'4. Current Sense Resistor'!$B$11</f>
        <v>135.14141414141415</v>
      </c>
      <c r="AD16" s="9" t="str">
        <f t="shared" si="0"/>
        <v>0.999988005608388-0.00344012339208006i</v>
      </c>
      <c r="AE16" s="9" t="str">
        <f t="shared" si="8"/>
        <v>0.999999991087163-0.000198732053543789i</v>
      </c>
      <c r="AF16" s="9" t="str">
        <f t="shared" si="1"/>
        <v>18.7766792435471-0.0683264430383253i</v>
      </c>
      <c r="AG16" s="9">
        <f t="shared" si="9"/>
        <v>18.776803559654947</v>
      </c>
      <c r="AH16" s="9">
        <f t="shared" si="2"/>
        <v>-3.6388831364140661E-3</v>
      </c>
      <c r="AI16" s="9">
        <f t="shared" si="3"/>
        <v>-0.20849264585785379</v>
      </c>
      <c r="AJ16" s="9">
        <f t="shared" si="4"/>
        <v>25.47243325534771</v>
      </c>
      <c r="AL16" s="9" t="str">
        <f t="shared" si="5"/>
        <v>0.186034013194537-0.387909572715201i</v>
      </c>
      <c r="AM16" s="9" t="str">
        <f t="shared" si="6"/>
        <v>0.999999999982881-3.83002837284326E-06i</v>
      </c>
      <c r="AN16" s="9" t="str">
        <f t="shared" si="10"/>
        <v>-118.185370403304+246.437122377669i</v>
      </c>
      <c r="AO16" s="9">
        <f t="shared" si="11"/>
        <v>273.31124576781025</v>
      </c>
      <c r="AP16" s="9">
        <f t="shared" si="12"/>
        <v>2.0179717768426118</v>
      </c>
      <c r="AQ16" s="9">
        <f t="shared" si="13"/>
        <v>115.62126598959725</v>
      </c>
      <c r="AR16" s="9">
        <f t="shared" si="14"/>
        <v>48.733150034103815</v>
      </c>
      <c r="AS16" s="9">
        <f t="shared" si="15"/>
        <v>74.205583289451525</v>
      </c>
      <c r="AT16" s="9">
        <f t="shared" si="16"/>
        <v>115.41277334373939</v>
      </c>
    </row>
    <row r="17" spans="19:46" x14ac:dyDescent="0.25">
      <c r="S17" s="9" t="s">
        <v>136</v>
      </c>
      <c r="T17" s="9">
        <v>502</v>
      </c>
      <c r="U17" s="10" t="s">
        <v>41</v>
      </c>
      <c r="Y17" s="9">
        <v>15</v>
      </c>
      <c r="Z17" s="9">
        <f t="shared" si="7"/>
        <v>2.5158323722080485</v>
      </c>
      <c r="AA17" s="9" t="str">
        <f t="shared" si="17"/>
        <v>15.8074409963844i</v>
      </c>
      <c r="AB17" s="9">
        <f>(Assumed_Efficiency/100)*Rout/'4. Current Sense Resistor'!$B$11</f>
        <v>135.14141414141415</v>
      </c>
      <c r="AD17" s="9" t="str">
        <f t="shared" si="0"/>
        <v>0.9999864355634-0.0036583515998062i</v>
      </c>
      <c r="AE17" s="9" t="str">
        <f t="shared" si="8"/>
        <v>0.999999989920472-0.000211339187543955i</v>
      </c>
      <c r="AF17" s="9" t="str">
        <f t="shared" si="1"/>
        <v>18.7766480606842-0.072660810011661i</v>
      </c>
      <c r="AG17" s="9">
        <f t="shared" si="9"/>
        <v>18.776788649503068</v>
      </c>
      <c r="AH17" s="9">
        <f t="shared" si="2"/>
        <v>-3.8697240893916579E-3</v>
      </c>
      <c r="AI17" s="9">
        <f t="shared" si="3"/>
        <v>-0.22171885820224768</v>
      </c>
      <c r="AJ17" s="9">
        <f t="shared" si="4"/>
        <v>25.472426358114927</v>
      </c>
      <c r="AL17" s="9" t="str">
        <f t="shared" si="5"/>
        <v>0.168214757943824-0.37275487924432i</v>
      </c>
      <c r="AM17" s="9" t="str">
        <f t="shared" si="6"/>
        <v>0.99999999998064-4.07299713536224E-06i</v>
      </c>
      <c r="AN17" s="9" t="str">
        <f t="shared" si="10"/>
        <v>-106.864881698761+236.809417367857i</v>
      </c>
      <c r="AO17" s="9">
        <f t="shared" si="11"/>
        <v>259.80531767959269</v>
      </c>
      <c r="AP17" s="9">
        <f t="shared" si="12"/>
        <v>1.9947055187547469</v>
      </c>
      <c r="AQ17" s="9">
        <f t="shared" si="13"/>
        <v>114.28820759610048</v>
      </c>
      <c r="AR17" s="9">
        <f t="shared" si="14"/>
        <v>48.292960718825526</v>
      </c>
      <c r="AS17" s="9">
        <f t="shared" si="15"/>
        <v>73.765387076940456</v>
      </c>
      <c r="AT17" s="9">
        <f t="shared" si="16"/>
        <v>114.06648873789823</v>
      </c>
    </row>
    <row r="18" spans="19:46" x14ac:dyDescent="0.25">
      <c r="S18" s="9" t="s">
        <v>139</v>
      </c>
      <c r="T18" s="9">
        <v>1.1999999999999999E-3</v>
      </c>
      <c r="Y18" s="9">
        <v>16</v>
      </c>
      <c r="Z18" s="9">
        <f t="shared" si="7"/>
        <v>2.6754313669678584</v>
      </c>
      <c r="AA18" s="9" t="str">
        <f t="shared" si="17"/>
        <v>16.8102310552998i</v>
      </c>
      <c r="AB18" s="9">
        <f>(Assumed_Efficiency/100)*Rout/'4. Current Sense Resistor'!$B$11</f>
        <v>135.14141414141415</v>
      </c>
      <c r="AD18" s="9" t="str">
        <f t="shared" si="0"/>
        <v>0.999984660005451-0.00389042255603695i</v>
      </c>
      <c r="AE18" s="9" t="str">
        <f t="shared" si="8"/>
        <v>0.999999988601061-0.000224746090999491i</v>
      </c>
      <c r="AF18" s="9" t="str">
        <f t="shared" si="1"/>
        <v>18.7766127961024-0.0772701164746981i</v>
      </c>
      <c r="AG18" s="9">
        <f t="shared" si="9"/>
        <v>18.776771787654457</v>
      </c>
      <c r="AH18" s="9">
        <f t="shared" si="2"/>
        <v>-4.1152086973810014E-3</v>
      </c>
      <c r="AI18" s="9">
        <f t="shared" si="3"/>
        <v>-0.23578409017546059</v>
      </c>
      <c r="AJ18" s="9">
        <f t="shared" si="4"/>
        <v>25.472418558047266</v>
      </c>
      <c r="AL18" s="9" t="str">
        <f t="shared" si="5"/>
        <v>0.151795264389927-0.357437987114388i</v>
      </c>
      <c r="AM18" s="9" t="str">
        <f t="shared" si="6"/>
        <v>0.999999999978106-4.33137931360753E-06i</v>
      </c>
      <c r="AN18" s="9" t="str">
        <f t="shared" si="10"/>
        <v>-96.433654989452+227.078668327403i</v>
      </c>
      <c r="AO18" s="9">
        <f t="shared" si="11"/>
        <v>246.70665054669962</v>
      </c>
      <c r="AP18" s="9">
        <f t="shared" si="12"/>
        <v>1.9723880134848961</v>
      </c>
      <c r="AQ18" s="9">
        <f t="shared" si="13"/>
        <v>113.00950873487704</v>
      </c>
      <c r="AR18" s="9">
        <f t="shared" si="14"/>
        <v>47.84361714113664</v>
      </c>
      <c r="AS18" s="9">
        <f t="shared" si="15"/>
        <v>73.316035699183914</v>
      </c>
      <c r="AT18" s="9">
        <f t="shared" si="16"/>
        <v>112.77372464470159</v>
      </c>
    </row>
    <row r="19" spans="19:46" x14ac:dyDescent="0.25">
      <c r="S19" s="9" t="s">
        <v>132</v>
      </c>
      <c r="T19" s="9">
        <f>0.5*(comp_R2+Rotaesd)/(comp_R2*Rotaesd*comp_C2)*(1-(1-4*comp_R2*Rotaesd*comp_C2/((comp_R2+Rotaesd)^2*comp_C1))^0.5)</f>
        <v>6059.8361201502748</v>
      </c>
      <c r="Y19" s="9">
        <v>17</v>
      </c>
      <c r="Z19" s="9">
        <f t="shared" si="7"/>
        <v>2.8451549786972743</v>
      </c>
      <c r="AA19" s="9" t="str">
        <f t="shared" si="17"/>
        <v>17.8766359587996i</v>
      </c>
      <c r="AB19" s="9">
        <f>(Assumed_Efficiency/100)*Rout/'4. Current Sense Resistor'!$B$11</f>
        <v>135.14141414141415</v>
      </c>
      <c r="AD19" s="9" t="str">
        <f t="shared" si="0"/>
        <v>0.999982652034561-0.00413721417592948i</v>
      </c>
      <c r="AE19" s="9" t="str">
        <f t="shared" si="8"/>
        <v>0.999999987108939-0.000239003499562357i</v>
      </c>
      <c r="AF19" s="9" t="str">
        <f t="shared" si="1"/>
        <v>18.7765729155376-0.0821717992498227i</v>
      </c>
      <c r="AG19" s="9">
        <f t="shared" si="9"/>
        <v>18.776752718643664</v>
      </c>
      <c r="AH19" s="9">
        <f t="shared" si="2"/>
        <v>-4.3762658415973568E-3</v>
      </c>
      <c r="AI19" s="9">
        <f t="shared" si="3"/>
        <v>-0.25074156275079579</v>
      </c>
      <c r="AJ19" s="9">
        <f t="shared" si="4"/>
        <v>25.472409736967197</v>
      </c>
      <c r="AL19" s="9" t="str">
        <f t="shared" si="5"/>
        <v>0.136726673488458-0.342086725356137i</v>
      </c>
      <c r="AM19" s="9" t="str">
        <f t="shared" si="6"/>
        <v>0.99999999997524-4.60615270152199E-06i</v>
      </c>
      <c r="AN19" s="9" t="str">
        <f t="shared" si="10"/>
        <v>-86.8606503552287+217.326084436548i</v>
      </c>
      <c r="AO19" s="9">
        <f t="shared" si="11"/>
        <v>234.04144837326334</v>
      </c>
      <c r="AP19" s="9">
        <f t="shared" si="12"/>
        <v>1.951025862862257</v>
      </c>
      <c r="AQ19" s="9">
        <f t="shared" si="13"/>
        <v>111.78554766287706</v>
      </c>
      <c r="AR19" s="9">
        <f t="shared" si="14"/>
        <v>47.38585554185596</v>
      </c>
      <c r="AS19" s="9">
        <f t="shared" si="15"/>
        <v>72.858265278823154</v>
      </c>
      <c r="AT19" s="9">
        <f t="shared" si="16"/>
        <v>111.53480610012627</v>
      </c>
    </row>
    <row r="20" spans="19:46" x14ac:dyDescent="0.25">
      <c r="S20" s="9" t="s">
        <v>133</v>
      </c>
      <c r="T20" s="9">
        <f>0.5*(comp_R2+Rotaesd)/(comp_R2*Rotaesd*comp_C2)*(1+(1-4*comp_R2*Rotaesd*comp_C2/((comp_R2+Rotaesd)^2*comp_C1))^0.5)</f>
        <v>23236518.025192074</v>
      </c>
      <c r="Y20" s="9">
        <v>18</v>
      </c>
      <c r="Z20" s="9">
        <f t="shared" si="7"/>
        <v>3.0256454913213009</v>
      </c>
      <c r="AA20" s="9" t="str">
        <f t="shared" si="17"/>
        <v>19.0106912958042i</v>
      </c>
      <c r="AB20" s="9">
        <f>(Assumed_Efficiency/100)*Rout/'4. Current Sense Resistor'!$B$11</f>
        <v>135.14141414141415</v>
      </c>
      <c r="AD20" s="9" t="str">
        <f t="shared" si="0"/>
        <v>0.999980381230011-0.00439966001925468i</v>
      </c>
      <c r="AE20" s="9" t="str">
        <f t="shared" si="8"/>
        <v>0.999999985421498-0.000254165367444711i</v>
      </c>
      <c r="AF20" s="9" t="str">
        <f t="shared" si="1"/>
        <v>18.7765278148001-0.0873844003519445i</v>
      </c>
      <c r="AG20" s="9">
        <f t="shared" si="9"/>
        <v>18.776731153568416</v>
      </c>
      <c r="AH20" s="9">
        <f t="shared" si="2"/>
        <v>-4.6538833131168035E-3</v>
      </c>
      <c r="AI20" s="9">
        <f t="shared" si="3"/>
        <v>-0.26664787218795344</v>
      </c>
      <c r="AJ20" s="9">
        <f t="shared" si="4"/>
        <v>25.4723997612289</v>
      </c>
      <c r="AL20" s="9" t="str">
        <f t="shared" si="5"/>
        <v>0.122949106927965-0.326813946368225i</v>
      </c>
      <c r="AM20" s="9" t="str">
        <f t="shared" si="6"/>
        <v>0.999999999971999-4.89835712219302E-06i</v>
      </c>
      <c r="AN20" s="9" t="str">
        <f t="shared" si="10"/>
        <v>-78.1078273876168+207.623360291955i</v>
      </c>
      <c r="AO20" s="9">
        <f t="shared" si="11"/>
        <v>221.82942193977945</v>
      </c>
      <c r="AP20" s="9">
        <f t="shared" si="12"/>
        <v>1.9306182958544804</v>
      </c>
      <c r="AQ20" s="9">
        <f t="shared" si="13"/>
        <v>110.61628020320104</v>
      </c>
      <c r="AR20" s="9">
        <f t="shared" si="14"/>
        <v>46.920382949759343</v>
      </c>
      <c r="AS20" s="9">
        <f t="shared" si="15"/>
        <v>72.392782710988243</v>
      </c>
      <c r="AT20" s="9">
        <f t="shared" si="16"/>
        <v>110.34963233101308</v>
      </c>
    </row>
    <row r="21" spans="19:46" x14ac:dyDescent="0.25">
      <c r="S21" s="9" t="s">
        <v>134</v>
      </c>
      <c r="T21" s="9">
        <f>0.5*(R0+comp_R2+Rotaesd)/(comp_R2*(R0+Rotaesd)*comp_C2)*(1-(1-4*comp_R2*(R0++Rotaesd)*comp_C2/((R0+comp_R2+Rotaesd)^2*comp_C1))^0.5)</f>
        <v>7.0839207788817964</v>
      </c>
      <c r="Y21" s="9">
        <v>19</v>
      </c>
      <c r="Z21" s="9">
        <f t="shared" si="7"/>
        <v>3.2175859338757533</v>
      </c>
      <c r="AA21" s="9" t="str">
        <f t="shared" si="17"/>
        <v>20.2166886643158i</v>
      </c>
      <c r="AB21" s="9">
        <f>(Assumed_Efficiency/100)*Rout/'4. Current Sense Resistor'!$B$11</f>
        <v>135.14141414141415</v>
      </c>
      <c r="AD21" s="9" t="str">
        <f t="shared" si="0"/>
        <v>0.999977813189605-0.00467875281055792i</v>
      </c>
      <c r="AE21" s="9" t="str">
        <f t="shared" si="8"/>
        <v>0.999999983513172-0.000270289071597352i</v>
      </c>
      <c r="AF21" s="9" t="str">
        <f t="shared" si="1"/>
        <v>18.7764768106236-0.0929276369046195i</v>
      </c>
      <c r="AG21" s="9">
        <f t="shared" si="9"/>
        <v>18.776706765713378</v>
      </c>
      <c r="AH21" s="9">
        <f t="shared" si="2"/>
        <v>-4.9491115466751721E-3</v>
      </c>
      <c r="AI21" s="9">
        <f t="shared" si="3"/>
        <v>-0.28356320396395052</v>
      </c>
      <c r="AJ21" s="9">
        <f t="shared" si="4"/>
        <v>25.47238847969362</v>
      </c>
      <c r="AL21" s="9" t="str">
        <f t="shared" si="5"/>
        <v>0.110394666896261-0.311717403815049i</v>
      </c>
      <c r="AM21" s="9" t="str">
        <f t="shared" si="6"/>
        <v>0.999999999968333-5.20909836284822E-06i</v>
      </c>
      <c r="AN21" s="9" t="str">
        <f t="shared" si="10"/>
        <v>-70.1320509271994+198.032598335768i</v>
      </c>
      <c r="AO21" s="9">
        <f t="shared" si="11"/>
        <v>210.08430348522214</v>
      </c>
      <c r="AP21" s="9">
        <f t="shared" si="12"/>
        <v>1.9111580998878914</v>
      </c>
      <c r="AQ21" s="9">
        <f t="shared" si="13"/>
        <v>109.50129310581799</v>
      </c>
      <c r="AR21" s="9">
        <f t="shared" si="14"/>
        <v>46.447872103386956</v>
      </c>
      <c r="AS21" s="9">
        <f t="shared" si="15"/>
        <v>71.920260583080577</v>
      </c>
      <c r="AT21" s="9">
        <f t="shared" si="16"/>
        <v>109.21772990185404</v>
      </c>
    </row>
    <row r="22" spans="19:46" x14ac:dyDescent="0.25">
      <c r="S22" s="9" t="s">
        <v>135</v>
      </c>
      <c r="T22" s="9">
        <f>0.5*(R0+comp_R2+Rotaesd)/(comp_R2*(R0+Rotaesd)*comp_C2)*(1+(1-4*comp_R2*(R0++Rotaesd)*comp_C2/((R0+comp_R2+Rotaesd)^2*comp_C1))^0.5)</f>
        <v>3325584.8279407201</v>
      </c>
      <c r="Y22" s="9">
        <v>20</v>
      </c>
      <c r="Z22" s="9">
        <f t="shared" si="7"/>
        <v>3.42170266528945</v>
      </c>
      <c r="AA22" s="9" t="str">
        <f t="shared" si="17"/>
        <v>21.4991919120839i</v>
      </c>
      <c r="AB22" s="9">
        <f>(Assumed_Efficiency/100)*Rout/'4. Current Sense Resistor'!$B$11</f>
        <v>135.14141414141415</v>
      </c>
      <c r="AD22" s="9" t="str">
        <f t="shared" si="0"/>
        <v>0.999974909008665-0.00497554818064287i</v>
      </c>
      <c r="AE22" s="9" t="str">
        <f t="shared" si="8"/>
        <v>0.999999981355045-0.000287435628840801i</v>
      </c>
      <c r="AF22" s="9" t="str">
        <f t="shared" si="1"/>
        <v>18.7764191303172-0.0988224754520093i</v>
      </c>
      <c r="AG22" s="9">
        <f t="shared" si="9"/>
        <v>18.776679185601381</v>
      </c>
      <c r="AH22" s="9">
        <f t="shared" si="2"/>
        <v>-5.2630675906591672E-3</v>
      </c>
      <c r="AI22" s="9">
        <f t="shared" si="3"/>
        <v>-0.30155156023685703</v>
      </c>
      <c r="AJ22" s="9">
        <f t="shared" si="4"/>
        <v>25.472375721440113</v>
      </c>
      <c r="AL22" s="9" t="str">
        <f t="shared" si="5"/>
        <v>0.0989901241894788-0.296880115649574i</v>
      </c>
      <c r="AM22" s="9" t="str">
        <f t="shared" si="6"/>
        <v>0.999999999964188-5.53955235947857E-06i</v>
      </c>
      <c r="AN22" s="9" t="str">
        <f t="shared" si="10"/>
        <v>-62.8867988066046+188.606539482301i</v>
      </c>
      <c r="AO22" s="9">
        <f t="shared" si="11"/>
        <v>198.81442653799331</v>
      </c>
      <c r="AP22" s="9">
        <f t="shared" si="12"/>
        <v>1.8926325442862728</v>
      </c>
      <c r="AQ22" s="9">
        <f t="shared" si="13"/>
        <v>108.4398569567103</v>
      </c>
      <c r="AR22" s="9">
        <f t="shared" si="14"/>
        <v>45.968957896851805</v>
      </c>
      <c r="AS22" s="9">
        <f t="shared" si="15"/>
        <v>71.441333618291921</v>
      </c>
      <c r="AT22" s="9">
        <f t="shared" si="16"/>
        <v>108.13830539647344</v>
      </c>
    </row>
    <row r="23" spans="19:46" x14ac:dyDescent="0.25">
      <c r="S23" s="9" t="s">
        <v>137</v>
      </c>
      <c r="T23" s="9">
        <f>$B$9*10^-9</f>
        <v>4.7000000000000004E-8</v>
      </c>
      <c r="U23" s="9" t="s">
        <v>129</v>
      </c>
      <c r="Y23" s="9">
        <v>21</v>
      </c>
      <c r="Z23" s="9">
        <f t="shared" si="7"/>
        <v>3.6387681231394358</v>
      </c>
      <c r="AA23" s="9" t="str">
        <f t="shared" si="17"/>
        <v>22.8630544075431i</v>
      </c>
      <c r="AB23" s="9">
        <f>(Assumed_Efficiency/100)*Rout/'4. Current Sense Resistor'!$B$11</f>
        <v>135.14141414141415</v>
      </c>
      <c r="AD23" s="9" t="str">
        <f t="shared" si="0"/>
        <v>0.999971624690869-0.00529116864301564i</v>
      </c>
      <c r="AE23" s="9" t="str">
        <f t="shared" si="8"/>
        <v>0.99999997891442-0.000305669926770665i</v>
      </c>
      <c r="AF23" s="9" t="str">
        <f t="shared" si="1"/>
        <v>18.7763539000644-0.105091210937538i</v>
      </c>
      <c r="AG23" s="9">
        <f t="shared" si="9"/>
        <v>18.776647995397902</v>
      </c>
      <c r="AH23" s="9">
        <f t="shared" si="2"/>
        <v>-5.596939328136809E-3</v>
      </c>
      <c r="AI23" s="9">
        <f t="shared" si="3"/>
        <v>-0.32068100169302571</v>
      </c>
      <c r="AJ23" s="9">
        <f t="shared" si="4"/>
        <v>25.472361293175801</v>
      </c>
      <c r="AL23" s="9" t="str">
        <f t="shared" si="5"/>
        <v>0.0886592502778401-0.282371093490841i</v>
      </c>
      <c r="AM23" s="9" t="str">
        <f t="shared" si="6"/>
        <v>0.9999999999595-5.89096964692489E-06i</v>
      </c>
      <c r="AN23" s="9" t="str">
        <f t="shared" si="10"/>
        <v>-56.3236434008736+179.389026488133i</v>
      </c>
      <c r="AO23" s="9">
        <f t="shared" si="11"/>
        <v>188.02333799374176</v>
      </c>
      <c r="AP23" s="9">
        <f t="shared" si="12"/>
        <v>1.8750242696537165</v>
      </c>
      <c r="AQ23" s="9">
        <f t="shared" si="13"/>
        <v>107.43097713575754</v>
      </c>
      <c r="AR23" s="9">
        <f t="shared" si="14"/>
        <v>45.484235169619048</v>
      </c>
      <c r="AS23" s="9">
        <f t="shared" si="15"/>
        <v>70.956596462794849</v>
      </c>
      <c r="AT23" s="9">
        <f t="shared" si="16"/>
        <v>107.11029613406451</v>
      </c>
    </row>
    <row r="24" spans="19:46" x14ac:dyDescent="0.25">
      <c r="S24" s="9" t="s">
        <v>138</v>
      </c>
      <c r="T24" s="9">
        <f>$B$10*10^-9</f>
        <v>1.0000000000000002E-10</v>
      </c>
      <c r="U24" s="9" t="s">
        <v>129</v>
      </c>
      <c r="Y24" s="9">
        <v>22</v>
      </c>
      <c r="Z24" s="9">
        <f t="shared" si="7"/>
        <v>3.8696037467813236</v>
      </c>
      <c r="AA24" s="9" t="str">
        <f t="shared" si="17"/>
        <v>24.3134374063835i</v>
      </c>
      <c r="AB24" s="9">
        <f>(Assumed_Efficiency/100)*Rout/'4. Current Sense Resistor'!$B$11</f>
        <v>135.14141414141415</v>
      </c>
      <c r="AD24" s="9" t="str">
        <f t="shared" si="0"/>
        <v>0.999967910482024-0.00562680781971094i</v>
      </c>
      <c r="AE24" s="9" t="str">
        <f t="shared" si="8"/>
        <v>0.999999976154316-0.000325060969311139i</v>
      </c>
      <c r="AF24" s="9" t="str">
        <f t="shared" si="1"/>
        <v>18.776280131691-0.111757550635679i</v>
      </c>
      <c r="AG24" s="9">
        <f t="shared" si="9"/>
        <v>18.776612722582797</v>
      </c>
      <c r="AH24" s="9">
        <f t="shared" si="2"/>
        <v>-5.9519899646895526E-3</v>
      </c>
      <c r="AI24" s="9">
        <f t="shared" si="3"/>
        <v>-0.34102390468093124</v>
      </c>
      <c r="AJ24" s="9">
        <f t="shared" si="4"/>
        <v>25.472344976308854</v>
      </c>
      <c r="AL24" s="9" t="str">
        <f t="shared" si="5"/>
        <v>0.0793247786963085-0.268246329047758i</v>
      </c>
      <c r="AM24" s="9" t="str">
        <f t="shared" si="6"/>
        <v>0.999999999954199-6.26468009126866E-06i</v>
      </c>
      <c r="AN24" s="9" t="str">
        <f t="shared" si="10"/>
        <v>-50.3934976896807+170.415630622483i</v>
      </c>
      <c r="AO24" s="9">
        <f t="shared" si="11"/>
        <v>177.71041547939279</v>
      </c>
      <c r="AP24" s="9">
        <f t="shared" si="12"/>
        <v>1.8583121240810496</v>
      </c>
      <c r="AQ24" s="9">
        <f t="shared" si="13"/>
        <v>106.47344172783549</v>
      </c>
      <c r="AR24" s="9">
        <f t="shared" si="14"/>
        <v>44.994257644757454</v>
      </c>
      <c r="AS24" s="9">
        <f t="shared" si="15"/>
        <v>70.466602621066301</v>
      </c>
      <c r="AT24" s="9">
        <f t="shared" si="16"/>
        <v>106.13241782315455</v>
      </c>
    </row>
    <row r="25" spans="19:46" x14ac:dyDescent="0.25">
      <c r="Y25" s="9">
        <v>23</v>
      </c>
      <c r="Z25" s="9">
        <f t="shared" si="7"/>
        <v>4.1150830859167291</v>
      </c>
      <c r="AA25" s="9" t="str">
        <f t="shared" si="17"/>
        <v>25.8558295832552i</v>
      </c>
      <c r="AB25" s="9">
        <f>(Assumed_Efficiency/100)*Rout/'4. Current Sense Resistor'!$B$11</f>
        <v>135.14141414141415</v>
      </c>
      <c r="AD25" s="9" t="str">
        <f t="shared" si="0"/>
        <v>0.999963710116715-0.00598373493173737i</v>
      </c>
      <c r="AE25" s="9" t="str">
        <f t="shared" si="8"/>
        <v>0.999999973032914-0.000345682137845841i</v>
      </c>
      <c r="AF25" s="9" t="str">
        <f t="shared" si="1"/>
        <v>18.7761967077023-0.118846703339518i</v>
      </c>
      <c r="AG25" s="9">
        <f t="shared" si="9"/>
        <v>18.776572832794205</v>
      </c>
      <c r="AH25" s="9">
        <f t="shared" si="2"/>
        <v>-6.32956279977434E-3</v>
      </c>
      <c r="AI25" s="9">
        <f t="shared" si="3"/>
        <v>-0.36265723459007859</v>
      </c>
      <c r="AJ25" s="9">
        <f t="shared" si="4"/>
        <v>25.472326523637197</v>
      </c>
      <c r="AL25" s="9" t="str">
        <f t="shared" si="5"/>
        <v>0.0709100037503622-0.254549942352126i</v>
      </c>
      <c r="AM25" s="9" t="str">
        <f t="shared" si="6"/>
        <v>0.999999999948203-6.66209792243499E-06i</v>
      </c>
      <c r="AN25" s="9" t="str">
        <f t="shared" si="10"/>
        <v>-45.0476309075594+161.714381134233i</v>
      </c>
      <c r="AO25" s="9">
        <f t="shared" si="11"/>
        <v>167.87146903512723</v>
      </c>
      <c r="AP25" s="9">
        <f t="shared" si="12"/>
        <v>1.8424719333705815</v>
      </c>
      <c r="AQ25" s="9">
        <f t="shared" si="13"/>
        <v>105.56586565344334</v>
      </c>
      <c r="AR25" s="9">
        <f t="shared" si="14"/>
        <v>44.499537818710436</v>
      </c>
      <c r="AS25" s="9">
        <f t="shared" si="15"/>
        <v>69.971864342347629</v>
      </c>
      <c r="AT25" s="9">
        <f t="shared" si="16"/>
        <v>105.20320841885327</v>
      </c>
    </row>
    <row r="26" spans="19:46" x14ac:dyDescent="0.25">
      <c r="Y26" s="9">
        <v>24</v>
      </c>
      <c r="Z26" s="9">
        <f t="shared" si="7"/>
        <v>4.376135106361553</v>
      </c>
      <c r="AA26" s="9" t="str">
        <f t="shared" si="17"/>
        <v>27.4960678025237i</v>
      </c>
      <c r="AB26" s="9">
        <f>(Assumed_Efficiency/100)*Rout/'4. Current Sense Resistor'!$B$11</f>
        <v>135.14141414141415</v>
      </c>
      <c r="AD26" s="9" t="str">
        <f t="shared" si="0"/>
        <v>0.999958959966431-0.00636329957022898i</v>
      </c>
      <c r="AE26" s="9" t="str">
        <f t="shared" si="8"/>
        <v>0.999999969502922-0.000367611468914206i</v>
      </c>
      <c r="AF26" s="9" t="str">
        <f t="shared" si="1"/>
        <v>18.7761023643644-0.126385474123596i</v>
      </c>
      <c r="AG26" s="9">
        <f t="shared" si="9"/>
        <v>18.77652772173705</v>
      </c>
      <c r="AH26" s="9">
        <f t="shared" si="2"/>
        <v>-6.7310862993650222E-3</v>
      </c>
      <c r="AI26" s="9">
        <f t="shared" si="3"/>
        <v>-0.38566283649194755</v>
      </c>
      <c r="AJ26" s="9">
        <f t="shared" si="4"/>
        <v>25.472305655604565</v>
      </c>
      <c r="AL26" s="9" t="str">
        <f t="shared" si="5"/>
        <v>0.0633400403644687-0.241315412751482i</v>
      </c>
      <c r="AM26" s="9" t="str">
        <f t="shared" si="6"/>
        <v>0.999999999941423-7.08472708605364E-06i</v>
      </c>
      <c r="AN26" s="9" t="str">
        <f t="shared" si="10"/>
        <v>-40.2384689196887+153.306547295874i</v>
      </c>
      <c r="AO26" s="9">
        <f t="shared" si="11"/>
        <v>158.49931174860919</v>
      </c>
      <c r="AP26" s="9">
        <f t="shared" si="12"/>
        <v>1.8274771978461852</v>
      </c>
      <c r="AQ26" s="9">
        <f t="shared" si="13"/>
        <v>104.70673059298055</v>
      </c>
      <c r="AR26" s="9">
        <f t="shared" si="14"/>
        <v>44.000547614428058</v>
      </c>
      <c r="AS26" s="9">
        <f t="shared" si="15"/>
        <v>69.47285327003263</v>
      </c>
      <c r="AT26" s="9">
        <f t="shared" si="16"/>
        <v>104.3210677564886</v>
      </c>
    </row>
    <row r="27" spans="19:46" x14ac:dyDescent="0.25">
      <c r="S27" s="15"/>
      <c r="Y27" s="9">
        <v>25</v>
      </c>
      <c r="Z27" s="9">
        <f t="shared" si="7"/>
        <v>4.6537477055250784</v>
      </c>
      <c r="AA27" s="9" t="str">
        <f t="shared" si="17"/>
        <v>29.2403592066759i</v>
      </c>
      <c r="AB27" s="9">
        <f>(Assumed_Efficiency/100)*Rout/'4. Current Sense Resistor'!$B$11</f>
        <v>135.14141414141415</v>
      </c>
      <c r="AD27" s="9" t="str">
        <f t="shared" si="0"/>
        <v>0.999953588076305-0.0067669367652678i</v>
      </c>
      <c r="AE27" s="9" t="str">
        <f t="shared" si="8"/>
        <v>0.999999965510852-0.000390931949524279i</v>
      </c>
      <c r="AF27" s="9" t="str">
        <f t="shared" si="1"/>
        <v>18.7759956725726-0.134402365018984i</v>
      </c>
      <c r="AG27" s="9">
        <f t="shared" si="9"/>
        <v>18.776476706032675</v>
      </c>
      <c r="AH27" s="9">
        <f t="shared" si="2"/>
        <v>-7.1580794887010539E-3</v>
      </c>
      <c r="AI27" s="9">
        <f t="shared" si="3"/>
        <v>-0.41012774412173264</v>
      </c>
      <c r="AJ27" s="9">
        <f t="shared" si="4"/>
        <v>25.47228205606654</v>
      </c>
      <c r="AL27" s="9" t="str">
        <f t="shared" si="5"/>
        <v>0.0565427788186692-0.228566830040399i</v>
      </c>
      <c r="AM27" s="9" t="str">
        <f t="shared" si="6"/>
        <v>0.999999999933755-7.53416693483012E-06i</v>
      </c>
      <c r="AN27" s="9" t="str">
        <f t="shared" si="10"/>
        <v>-35.9202007615364+145.207433241313i</v>
      </c>
      <c r="AO27" s="9">
        <f t="shared" si="11"/>
        <v>149.58428891858748</v>
      </c>
      <c r="AP27" s="9">
        <f t="shared" si="12"/>
        <v>1.8132997126759978</v>
      </c>
      <c r="AQ27" s="9">
        <f t="shared" si="13"/>
        <v>103.89442052861951</v>
      </c>
      <c r="AR27" s="9">
        <f t="shared" si="14"/>
        <v>43.497719625344587</v>
      </c>
      <c r="AS27" s="9">
        <f t="shared" si="15"/>
        <v>68.970001681411134</v>
      </c>
      <c r="AT27" s="9">
        <f t="shared" si="16"/>
        <v>103.48429278449777</v>
      </c>
    </row>
    <row r="28" spans="19:46" x14ac:dyDescent="0.25">
      <c r="T28" s="15"/>
      <c r="Y28" s="9">
        <v>26</v>
      </c>
      <c r="Z28" s="9">
        <f t="shared" si="7"/>
        <v>4.9489714509035139</v>
      </c>
      <c r="AA28" s="9" t="str">
        <f t="shared" si="17"/>
        <v>31.0953047059682i</v>
      </c>
      <c r="AB28" s="9">
        <f>(Assumed_Efficiency/100)*Rout/'4. Current Sense Resistor'!$B$11</f>
        <v>135.14141414141415</v>
      </c>
      <c r="AD28" s="9" t="str">
        <f t="shared" si="0"/>
        <v>0.999947513075926-0.00719617237024889i</v>
      </c>
      <c r="AE28" s="9" t="str">
        <f t="shared" si="8"/>
        <v>0.999999960996221-0.000415731831199479i</v>
      </c>
      <c r="AF28" s="9" t="str">
        <f t="shared" si="1"/>
        <v>18.7758750162187-0.142927681955559i</v>
      </c>
      <c r="AG28" s="9">
        <f t="shared" si="9"/>
        <v>18.77641901287183</v>
      </c>
      <c r="AH28" s="9">
        <f t="shared" si="2"/>
        <v>-7.6121576851090359E-3</v>
      </c>
      <c r="AI28" s="9">
        <f t="shared" si="3"/>
        <v>-0.43614450834482243</v>
      </c>
      <c r="AJ28" s="9">
        <f t="shared" si="4"/>
        <v>25.472255367502665</v>
      </c>
      <c r="AL28" s="9" t="str">
        <f t="shared" si="5"/>
        <v>0.0504495732239346-0.216320118501492i</v>
      </c>
      <c r="AM28" s="9" t="str">
        <f t="shared" si="6"/>
        <v>0.999999999925084-8.01211828096537E-06i</v>
      </c>
      <c r="AN28" s="9" t="str">
        <f t="shared" si="10"/>
        <v>-32.0492160240009+137.427155593349i</v>
      </c>
      <c r="AO28" s="9">
        <f t="shared" si="11"/>
        <v>141.11475947692938</v>
      </c>
      <c r="AP28" s="9">
        <f t="shared" si="12"/>
        <v>1.7999101120101892</v>
      </c>
      <c r="AQ28" s="9">
        <f t="shared" si="13"/>
        <v>103.12725292110311</v>
      </c>
      <c r="AR28" s="9">
        <f t="shared" si="14"/>
        <v>42.991448797292371</v>
      </c>
      <c r="AS28" s="9">
        <f t="shared" si="15"/>
        <v>68.463704164795033</v>
      </c>
      <c r="AT28" s="9">
        <f t="shared" si="16"/>
        <v>102.69110841275828</v>
      </c>
    </row>
    <row r="29" spans="19:46" x14ac:dyDescent="0.25">
      <c r="Y29" s="9">
        <v>27</v>
      </c>
      <c r="Z29" s="9">
        <f t="shared" si="7"/>
        <v>5.2629235557355134</v>
      </c>
      <c r="AA29" s="9" t="str">
        <f t="shared" si="17"/>
        <v>33.0679239582067i</v>
      </c>
      <c r="AB29" s="9">
        <f>(Assumed_Efficiency/100)*Rout/'4. Current Sense Resistor'!$B$11</f>
        <v>135.14141414141415</v>
      </c>
      <c r="AD29" s="9" t="str">
        <f t="shared" si="0"/>
        <v>0.999940642947779-0.00765262878058727i</v>
      </c>
      <c r="AE29" s="9" t="str">
        <f t="shared" si="8"/>
        <v>0.999999955890623-0.000442104963947732i</v>
      </c>
      <c r="AF29" s="9" t="str">
        <f t="shared" si="1"/>
        <v>18.7757385677313-0.151993648344845i</v>
      </c>
      <c r="AG29" s="9">
        <f t="shared" si="9"/>
        <v>18.776353768315342</v>
      </c>
      <c r="AH29" s="9">
        <f t="shared" si="2"/>
        <v>-8.0950385920570012E-3</v>
      </c>
      <c r="AI29" s="9">
        <f t="shared" si="3"/>
        <v>-0.46381154632039029</v>
      </c>
      <c r="AJ29" s="9">
        <f t="shared" si="4"/>
        <v>25.472225185602628</v>
      </c>
      <c r="AL29" s="9" t="str">
        <f t="shared" si="5"/>
        <v>0.04499570402867-0.204584200226871i</v>
      </c>
      <c r="AM29" s="9" t="str">
        <f t="shared" si="6"/>
        <v>0.999999999915278-0.0000085203898325279i</v>
      </c>
      <c r="AN29" s="9" t="str">
        <f t="shared" si="10"/>
        <v>-28.5843986816093+129.971382516303i</v>
      </c>
      <c r="AO29" s="9">
        <f t="shared" si="11"/>
        <v>133.07752673230871</v>
      </c>
      <c r="AP29" s="9">
        <f t="shared" si="12"/>
        <v>1.7872783397163692</v>
      </c>
      <c r="AQ29" s="9">
        <f t="shared" si="13"/>
        <v>102.40350568089694</v>
      </c>
      <c r="AR29" s="9">
        <f t="shared" si="14"/>
        <v>42.482094416750257</v>
      </c>
      <c r="AS29" s="9">
        <f t="shared" si="15"/>
        <v>67.954319602352882</v>
      </c>
      <c r="AT29" s="9">
        <f t="shared" si="16"/>
        <v>101.93969413457656</v>
      </c>
    </row>
    <row r="30" spans="19:46" x14ac:dyDescent="0.25">
      <c r="Y30" s="9">
        <v>28</v>
      </c>
      <c r="Z30" s="9">
        <f t="shared" si="7"/>
        <v>5.5967921068647417</v>
      </c>
      <c r="AA30" s="9" t="str">
        <f t="shared" si="17"/>
        <v>35.1656819331912i</v>
      </c>
      <c r="AB30" s="9">
        <f>(Assumed_Efficiency/100)*Rout/'4. Current Sense Resistor'!$B$11</f>
        <v>135.14141414141415</v>
      </c>
      <c r="AD30" s="9" t="str">
        <f t="shared" si="0"/>
        <v>0.999932873634732-0.00813803100651283i</v>
      </c>
      <c r="AE30" s="9" t="str">
        <f t="shared" si="8"/>
        <v>0.999999950116704-0.000470151151416822i</v>
      </c>
      <c r="AF30" s="9" t="str">
        <f t="shared" si="1"/>
        <v>18.7755842604185-0.161634525695637i</v>
      </c>
      <c r="AG30" s="9">
        <f t="shared" si="9"/>
        <v>18.776279984064249</v>
      </c>
      <c r="AH30" s="9">
        <f t="shared" si="2"/>
        <v>-8.6085487768645039E-3</v>
      </c>
      <c r="AI30" s="9">
        <f t="shared" si="3"/>
        <v>-0.49323351264684312</v>
      </c>
      <c r="AJ30" s="9">
        <f t="shared" si="4"/>
        <v>25.472191053143835</v>
      </c>
      <c r="AL30" s="9" t="str">
        <f t="shared" si="5"/>
        <v>0.0401206536882176-0.19336207554501i</v>
      </c>
      <c r="AM30" s="9" t="str">
        <f t="shared" si="6"/>
        <v>0.999999999904188-9.06090503813548E-06i</v>
      </c>
      <c r="AN30" s="9" t="str">
        <f t="shared" si="10"/>
        <v>-25.4873022240509+122.842020106112i</v>
      </c>
      <c r="AO30" s="9">
        <f t="shared" si="11"/>
        <v>125.45821805848564</v>
      </c>
      <c r="AP30" s="9">
        <f t="shared" si="12"/>
        <v>1.7753740512027851</v>
      </c>
      <c r="AQ30" s="9">
        <f t="shared" si="13"/>
        <v>101.72144019096251</v>
      </c>
      <c r="AR30" s="9">
        <f t="shared" si="14"/>
        <v>41.969982295165693</v>
      </c>
      <c r="AS30" s="9">
        <f t="shared" si="15"/>
        <v>67.442173348309524</v>
      </c>
      <c r="AT30" s="9">
        <f t="shared" si="16"/>
        <v>101.22820667831567</v>
      </c>
    </row>
    <row r="31" spans="19:46" x14ac:dyDescent="0.25">
      <c r="Y31" s="9">
        <v>29</v>
      </c>
      <c r="Z31" s="9">
        <f t="shared" si="7"/>
        <v>5.9518405608089449</v>
      </c>
      <c r="AA31" s="9" t="str">
        <f t="shared" si="17"/>
        <v>37.3965171623503i</v>
      </c>
      <c r="AB31" s="9">
        <f>(Assumed_Efficiency/100)*Rout/'4. Current Sense Resistor'!$B$11</f>
        <v>135.14141414141415</v>
      </c>
      <c r="AD31" s="9" t="str">
        <f t="shared" si="0"/>
        <v>0.999924087465582-0.00865421312065569i</v>
      </c>
      <c r="AE31" s="9" t="str">
        <f t="shared" si="8"/>
        <v>0.999999943586977-0.000499976528579925i</v>
      </c>
      <c r="AF31" s="9" t="str">
        <f t="shared" si="1"/>
        <v>18.7754097571974-0.17188674167357i</v>
      </c>
      <c r="AG31" s="9">
        <f t="shared" si="9"/>
        <v>18.776196542501001</v>
      </c>
      <c r="AH31" s="9">
        <f t="shared" si="2"/>
        <v>-9.1546305558098465E-3</v>
      </c>
      <c r="AI31" s="9">
        <f t="shared" si="3"/>
        <v>-0.52452169384940717</v>
      </c>
      <c r="AJ31" s="9">
        <f t="shared" si="4"/>
        <v>25.472152453068603</v>
      </c>
      <c r="AL31" s="9" t="str">
        <f t="shared" si="5"/>
        <v>0.0357682317711626-0.182651807625844i</v>
      </c>
      <c r="AM31" s="9" t="str">
        <f t="shared" si="6"/>
        <v>0.999999999891646-9.63570936584851E-06i</v>
      </c>
      <c r="AN31" s="9" t="str">
        <f t="shared" si="10"/>
        <v>-22.7222291356222+116.037837905298i</v>
      </c>
      <c r="AO31" s="9">
        <f t="shared" si="11"/>
        <v>118.24161502038075</v>
      </c>
      <c r="AP31" s="9">
        <f t="shared" si="12"/>
        <v>1.764166951890118</v>
      </c>
      <c r="AQ31" s="9">
        <f t="shared" si="13"/>
        <v>101.0793206997627</v>
      </c>
      <c r="AR31" s="9">
        <f t="shared" si="14"/>
        <v>41.455407059318368</v>
      </c>
      <c r="AS31" s="9">
        <f t="shared" si="15"/>
        <v>66.927559512386978</v>
      </c>
      <c r="AT31" s="9">
        <f t="shared" si="16"/>
        <v>100.5547990059133</v>
      </c>
    </row>
    <row r="32" spans="19:46" x14ac:dyDescent="0.25">
      <c r="Y32" s="9">
        <v>30</v>
      </c>
      <c r="Z32" s="9">
        <f t="shared" si="7"/>
        <v>6.3294125250499764</v>
      </c>
      <c r="AA32" s="9" t="str">
        <f t="shared" si="17"/>
        <v>39.7688717804725i</v>
      </c>
      <c r="AB32" s="9">
        <f>(Assumed_Efficiency/100)*Rout/'4. Current Sense Resistor'!$B$11</f>
        <v>135.14141414141415</v>
      </c>
      <c r="AD32" s="9" t="str">
        <f t="shared" si="0"/>
        <v>0.999914151374925-0.00920312510208149i</v>
      </c>
      <c r="AE32" s="9" t="str">
        <f t="shared" si="8"/>
        <v>0.999999936202509-0.000531693963380594i</v>
      </c>
      <c r="AF32" s="9" t="str">
        <f t="shared" si="1"/>
        <v>18.7752124152393-0.182789026034844i</v>
      </c>
      <c r="AG32" s="9">
        <f t="shared" si="9"/>
        <v>18.776102179776153</v>
      </c>
      <c r="AH32" s="9">
        <f t="shared" si="2"/>
        <v>-9.7353493117637614E-3</v>
      </c>
      <c r="AI32" s="9">
        <f t="shared" si="3"/>
        <v>-0.55779442764965426</v>
      </c>
      <c r="AJ32" s="9">
        <f t="shared" si="4"/>
        <v>25.472108800656269</v>
      </c>
      <c r="AL32" s="9" t="str">
        <f t="shared" si="5"/>
        <v>0.0318865819432281-0.172447405507091i</v>
      </c>
      <c r="AM32" s="9" t="str">
        <f t="shared" si="6"/>
        <v>0.999999999877462-0.0000102469780438211i</v>
      </c>
      <c r="AN32" s="9" t="str">
        <f t="shared" si="10"/>
        <v>-20.2562353320625+109.555029885429i</v>
      </c>
      <c r="AO32" s="9">
        <f t="shared" si="11"/>
        <v>111.41193671696554</v>
      </c>
      <c r="AP32" s="9">
        <f t="shared" si="12"/>
        <v>1.753627078458772</v>
      </c>
      <c r="AQ32" s="9">
        <f t="shared" si="13"/>
        <v>100.47543043554451</v>
      </c>
      <c r="AR32" s="9">
        <f t="shared" si="14"/>
        <v>40.938634476106024</v>
      </c>
      <c r="AS32" s="9">
        <f t="shared" si="15"/>
        <v>66.41074327676229</v>
      </c>
      <c r="AT32" s="9">
        <f t="shared" si="16"/>
        <v>99.917636007894856</v>
      </c>
    </row>
    <row r="33" spans="1:46" x14ac:dyDescent="0.25">
      <c r="Y33" s="9">
        <v>31</v>
      </c>
      <c r="Z33" s="9">
        <f t="shared" si="7"/>
        <v>6.7309368426385694</v>
      </c>
      <c r="AA33" s="9" t="str">
        <f t="shared" si="17"/>
        <v>42.2917234732204i</v>
      </c>
      <c r="AB33" s="9">
        <f>(Assumed_Efficiency/100)*Rout/'4. Current Sense Resistor'!$B$11</f>
        <v>135.14141414141415</v>
      </c>
      <c r="AD33" s="9" t="str">
        <f t="shared" si="0"/>
        <v>0.999902914890553-0.00978684009938248i</v>
      </c>
      <c r="AE33" s="9" t="str">
        <f t="shared" si="8"/>
        <v>0.999999927851414-0.000565423483857101i</v>
      </c>
      <c r="AF33" s="9" t="str">
        <f t="shared" si="1"/>
        <v>18.7749892459966-0.194382554883088i</v>
      </c>
      <c r="AG33" s="9">
        <f t="shared" si="9"/>
        <v>18.775995466683806</v>
      </c>
      <c r="AH33" s="9">
        <f t="shared" si="2"/>
        <v>-1.0352901270928116E-2</v>
      </c>
      <c r="AI33" s="9">
        <f t="shared" si="3"/>
        <v>-0.59317754853980709</v>
      </c>
      <c r="AJ33" s="9">
        <f t="shared" si="4"/>
        <v>25.472059434671344</v>
      </c>
      <c r="AL33" s="9" t="str">
        <f t="shared" si="5"/>
        <v>0.0284280990056614-0.162739605114216i</v>
      </c>
      <c r="AM33" s="9" t="str">
        <f t="shared" si="6"/>
        <v>0.999999999861422-0.0000108970242920022i</v>
      </c>
      <c r="AN33" s="9" t="str">
        <f t="shared" si="10"/>
        <v>-18.0590774554324+103.387710625422i</v>
      </c>
      <c r="AO33" s="9">
        <f t="shared" si="11"/>
        <v>104.9530799305447</v>
      </c>
      <c r="AP33" s="9">
        <f t="shared" si="12"/>
        <v>1.7437250291813273</v>
      </c>
      <c r="AQ33" s="9">
        <f t="shared" si="13"/>
        <v>99.908084803416372</v>
      </c>
      <c r="AR33" s="9">
        <f t="shared" si="14"/>
        <v>40.419903756360497</v>
      </c>
      <c r="AS33" s="9">
        <f t="shared" si="15"/>
        <v>65.891963191031834</v>
      </c>
      <c r="AT33" s="9">
        <f t="shared" si="16"/>
        <v>99.314907254876559</v>
      </c>
    </row>
    <row r="34" spans="1:46" x14ac:dyDescent="0.25">
      <c r="Y34" s="9">
        <v>32</v>
      </c>
      <c r="Z34" s="9">
        <f t="shared" si="7"/>
        <v>7.1579329993555039</v>
      </c>
      <c r="AA34" s="9" t="str">
        <f t="shared" si="17"/>
        <v>44.9746194513264i</v>
      </c>
      <c r="AB34" s="9">
        <f>(Assumed_Efficiency/100)*Rout/'4. Current Sense Resistor'!$B$11</f>
        <v>135.14141414141415</v>
      </c>
      <c r="AD34" s="9" t="str">
        <f t="shared" si="0"/>
        <v>0.999890207858106-0.0104075621363493i</v>
      </c>
      <c r="AE34" s="9" t="str">
        <f t="shared" si="8"/>
        <v>0.99999991840716-0.000601292732362462i</v>
      </c>
      <c r="AF34" s="9" t="str">
        <f t="shared" si="1"/>
        <v>18.7747368700118-0.206711103716604i</v>
      </c>
      <c r="AG34" s="9">
        <f t="shared" si="9"/>
        <v>18.77587478703936</v>
      </c>
      <c r="AH34" s="9">
        <f t="shared" si="2"/>
        <v>-1.1009621766768155E-2</v>
      </c>
      <c r="AI34" s="9">
        <f t="shared" si="3"/>
        <v>-0.63080486127118007</v>
      </c>
      <c r="AJ34" s="9">
        <f t="shared" si="4"/>
        <v>25.472003607354829</v>
      </c>
      <c r="AL34" s="9" t="str">
        <f t="shared" si="5"/>
        <v>0.0253492798558458-0.153516551619819i</v>
      </c>
      <c r="AM34" s="9" t="str">
        <f t="shared" si="6"/>
        <v>0.999999999843282-0.000011588308076038i</v>
      </c>
      <c r="AN34" s="9" t="str">
        <f t="shared" si="10"/>
        <v>-16.1031181900944+97.5283488112392i</v>
      </c>
      <c r="AO34" s="9">
        <f t="shared" si="11"/>
        <v>98.848820110767591</v>
      </c>
      <c r="AP34" s="9">
        <f t="shared" si="12"/>
        <v>1.7344321495538173</v>
      </c>
      <c r="AQ34" s="9">
        <f t="shared" si="13"/>
        <v>99.375642021236942</v>
      </c>
      <c r="AR34" s="9">
        <f t="shared" si="14"/>
        <v>39.899429796222734</v>
      </c>
      <c r="AS34" s="9">
        <f t="shared" si="15"/>
        <v>65.371433403577555</v>
      </c>
      <c r="AT34" s="9">
        <f t="shared" si="16"/>
        <v>98.744837159965755</v>
      </c>
    </row>
    <row r="35" spans="1:46" x14ac:dyDescent="0.25">
      <c r="Y35" s="9">
        <v>33</v>
      </c>
      <c r="Z35" s="9">
        <f t="shared" si="7"/>
        <v>7.6120168738914558</v>
      </c>
      <c r="AA35" s="9" t="str">
        <f t="shared" si="17"/>
        <v>47.8277125800379i</v>
      </c>
      <c r="AB35" s="9">
        <f>(Assumed_Efficiency/100)*Rout/'4. Current Sense Resistor'!$B$11</f>
        <v>135.14141414141415</v>
      </c>
      <c r="AD35" s="9" t="str">
        <f t="shared" si="0"/>
        <v>0.999875837868759-0.0110676342846232i</v>
      </c>
      <c r="AE35" s="9" t="str">
        <f t="shared" si="8"/>
        <v>0.999999907726652-0.000639437448598988i</v>
      </c>
      <c r="AF35" s="9" t="str">
        <f t="shared" si="1"/>
        <v>18.7744514658288-0.21982120975063i</v>
      </c>
      <c r="AG35" s="9">
        <f t="shared" si="9"/>
        <v>18.775738313233315</v>
      </c>
      <c r="AH35" s="9">
        <f t="shared" si="2"/>
        <v>-1.1707994020802248E-2</v>
      </c>
      <c r="AI35" s="9">
        <f t="shared" si="3"/>
        <v>-0.67081864395637181</v>
      </c>
      <c r="AJ35" s="9">
        <f t="shared" si="4"/>
        <v>25.471940473107324</v>
      </c>
      <c r="AL35" s="9" t="str">
        <f t="shared" si="5"/>
        <v>0.0226105281380748-0.144764388997202i</v>
      </c>
      <c r="AM35" s="9" t="str">
        <f t="shared" si="6"/>
        <v>0.999999999822767-0.0000123234454165028i</v>
      </c>
      <c r="AN35" s="9" t="str">
        <f t="shared" si="10"/>
        <v>-14.3632021582724+91.9681417764981i</v>
      </c>
      <c r="AO35" s="9">
        <f t="shared" si="11"/>
        <v>93.082977380729815</v>
      </c>
      <c r="AP35" s="9">
        <f t="shared" si="12"/>
        <v>1.7257206791516</v>
      </c>
      <c r="AQ35" s="9">
        <f t="shared" si="13"/>
        <v>98.876511533836762</v>
      </c>
      <c r="AR35" s="9">
        <f t="shared" si="14"/>
        <v>39.377405326273461</v>
      </c>
      <c r="AS35" s="9">
        <f t="shared" si="15"/>
        <v>64.849345799380785</v>
      </c>
      <c r="AT35" s="9">
        <f t="shared" si="16"/>
        <v>98.205692889880396</v>
      </c>
    </row>
    <row r="36" spans="1:46" x14ac:dyDescent="0.25">
      <c r="Y36" s="9">
        <v>34</v>
      </c>
      <c r="Z36" s="9">
        <f t="shared" si="7"/>
        <v>8.0949068528058863</v>
      </c>
      <c r="AA36" s="9" t="str">
        <f t="shared" si="17"/>
        <v>50.8617998005373i</v>
      </c>
      <c r="AB36" s="9">
        <f>(Assumed_Efficiency/100)*Rout/'4. Current Sense Resistor'!$B$11</f>
        <v>135.14141414141415</v>
      </c>
      <c r="AD36" s="9" t="str">
        <f t="shared" si="0"/>
        <v>0.999859587351345-0.0117695473285325i</v>
      </c>
      <c r="AE36" s="9" t="str">
        <f t="shared" si="8"/>
        <v>0.999999895648066-0.000680001983295294i</v>
      </c>
      <c r="AF36" s="9" t="str">
        <f t="shared" si="1"/>
        <v>18.7741287122392-0.233762344015189i</v>
      </c>
      <c r="AG36" s="9">
        <f t="shared" si="9"/>
        <v>18.775583978593151</v>
      </c>
      <c r="AH36" s="9">
        <f t="shared" si="2"/>
        <v>-1.2450658471540133E-2</v>
      </c>
      <c r="AI36" s="9">
        <f t="shared" si="3"/>
        <v>-0.71337018257805396</v>
      </c>
      <c r="AJ36" s="9">
        <f t="shared" si="4"/>
        <v>25.471869075693334</v>
      </c>
      <c r="AL36" s="9" t="str">
        <f t="shared" si="5"/>
        <v>0.0201759286143338-0.13646776414043i</v>
      </c>
      <c r="AM36" s="9" t="str">
        <f t="shared" si="6"/>
        <v>0.999999999799567-0.0000131052182886884i</v>
      </c>
      <c r="AN36" s="9" t="str">
        <f t="shared" si="10"/>
        <v>-12.816512578875+86.6973357675695i</v>
      </c>
      <c r="AO36" s="9">
        <f t="shared" si="11"/>
        <v>87.639551709711228</v>
      </c>
      <c r="AP36" s="9">
        <f t="shared" si="12"/>
        <v>1.7175638652251681</v>
      </c>
      <c r="AQ36" s="9">
        <f t="shared" si="13"/>
        <v>98.409160521578684</v>
      </c>
      <c r="AR36" s="9">
        <f t="shared" si="14"/>
        <v>38.854002948175761</v>
      </c>
      <c r="AS36" s="9">
        <f t="shared" si="15"/>
        <v>64.325872023869096</v>
      </c>
      <c r="AT36" s="9">
        <f t="shared" si="16"/>
        <v>97.695790339000624</v>
      </c>
    </row>
    <row r="37" spans="1:46" x14ac:dyDescent="0.25">
      <c r="Y37" s="9">
        <v>35</v>
      </c>
      <c r="Z37" s="9">
        <f t="shared" si="7"/>
        <v>8.6084303334057619</v>
      </c>
      <c r="AA37" s="9" t="str">
        <f t="shared" si="17"/>
        <v>54.0883629887341i</v>
      </c>
      <c r="AB37" s="9">
        <f>(Assumed_Efficiency/100)*Rout/'4. Current Sense Resistor'!$B$11</f>
        <v>135.14141414141415</v>
      </c>
      <c r="AD37" s="9" t="str">
        <f t="shared" si="0"/>
        <v>0.999841210285289-0.0125159489480231i</v>
      </c>
      <c r="AE37" s="9" t="str">
        <f t="shared" si="8"/>
        <v>0.999999881988392-0.000723139844469566i</v>
      </c>
      <c r="AF37" s="9" t="str">
        <f t="shared" si="1"/>
        <v>18.773763722997-0.248587093743161i</v>
      </c>
      <c r="AG37" s="9">
        <f t="shared" si="9"/>
        <v>18.77540944613709</v>
      </c>
      <c r="AH37" s="9">
        <f t="shared" si="2"/>
        <v>-1.3240422684545911E-2</v>
      </c>
      <c r="AI37" s="9">
        <f t="shared" si="3"/>
        <v>-0.75862033879375601</v>
      </c>
      <c r="AJ37" s="9">
        <f t="shared" si="4"/>
        <v>25.471788333773432</v>
      </c>
      <c r="AL37" s="9" t="str">
        <f t="shared" si="5"/>
        <v>0.0180130039852107-0.128610253690055i</v>
      </c>
      <c r="AM37" s="9" t="str">
        <f t="shared" si="6"/>
        <v>0.999999999773331-0.0000139365851504135i</v>
      </c>
      <c r="AN37" s="9" t="str">
        <f t="shared" si="10"/>
        <v>-11.4424167769682+81.7054971039531i</v>
      </c>
      <c r="AO37" s="9">
        <f t="shared" si="11"/>
        <v>82.502831216279688</v>
      </c>
      <c r="AP37" s="9">
        <f t="shared" si="12"/>
        <v>1.7099360480715637</v>
      </c>
      <c r="AQ37" s="9">
        <f t="shared" si="13"/>
        <v>97.972118791779664</v>
      </c>
      <c r="AR37" s="9">
        <f t="shared" si="14"/>
        <v>38.329377046273542</v>
      </c>
      <c r="AS37" s="9">
        <f t="shared" si="15"/>
        <v>63.801165380046974</v>
      </c>
      <c r="AT37" s="9">
        <f t="shared" si="16"/>
        <v>97.213498452985903</v>
      </c>
    </row>
    <row r="38" spans="1:46" x14ac:dyDescent="0.25">
      <c r="Y38" s="9">
        <v>36</v>
      </c>
      <c r="Z38" s="9">
        <f t="shared" si="7"/>
        <v>9.1545306391529166</v>
      </c>
      <c r="AA38" s="9" t="str">
        <f t="shared" si="17"/>
        <v>57.519612406051i</v>
      </c>
      <c r="AB38" s="9">
        <f>(Assumed_Efficiency/100)*Rout/'4. Current Sense Resistor'!$B$11</f>
        <v>135.14141414141415</v>
      </c>
      <c r="AD38" s="9" t="str">
        <f t="shared" si="0"/>
        <v>0.999820428485128-0.013309653446165i</v>
      </c>
      <c r="AE38" s="9" t="str">
        <f t="shared" si="8"/>
        <v>0.999999866540666-0.000769014278346254i</v>
      </c>
      <c r="AF38" s="9" t="str">
        <f t="shared" si="1"/>
        <v>18.7733509730253-0.264351355574544i</v>
      </c>
      <c r="AG38" s="9">
        <f t="shared" si="9"/>
        <v>18.7752120732519</v>
      </c>
      <c r="AH38" s="9">
        <f t="shared" si="2"/>
        <v>-1.4080271878328547E-2</v>
      </c>
      <c r="AI38" s="9">
        <f t="shared" si="3"/>
        <v>-0.80674015302496593</v>
      </c>
      <c r="AJ38" s="9">
        <f t="shared" si="4"/>
        <v>25.471697024547172</v>
      </c>
      <c r="AL38" s="9" t="str">
        <f t="shared" si="5"/>
        <v>0.0160924640531312-0.121174721922486i</v>
      </c>
      <c r="AM38" s="9" t="str">
        <f t="shared" si="6"/>
        <v>0.99999999974366-0.0000148206921376955i</v>
      </c>
      <c r="AN38" s="9" t="str">
        <f t="shared" si="10"/>
        <v>-10.2223068283636+76.9817395437117i</v>
      </c>
      <c r="AO38" s="9">
        <f t="shared" si="11"/>
        <v>77.657477296581519</v>
      </c>
      <c r="AP38" s="9">
        <f t="shared" si="12"/>
        <v>1.7028127227081555</v>
      </c>
      <c r="AQ38" s="9">
        <f t="shared" si="13"/>
        <v>97.563982312357865</v>
      </c>
      <c r="AR38" s="9">
        <f t="shared" si="14"/>
        <v>37.803665567628549</v>
      </c>
      <c r="AS38" s="9">
        <f t="shared" si="15"/>
        <v>63.275362592175725</v>
      </c>
      <c r="AT38" s="9">
        <f t="shared" si="16"/>
        <v>96.757242159332904</v>
      </c>
    </row>
    <row r="39" spans="1:46" x14ac:dyDescent="0.25">
      <c r="Y39" s="9">
        <v>37</v>
      </c>
      <c r="Z39" s="9">
        <f t="shared" si="7"/>
        <v>9.7352743737700074</v>
      </c>
      <c r="AA39" s="9" t="str">
        <f t="shared" si="17"/>
        <v>61.1685329066337i</v>
      </c>
      <c r="AB39" s="9">
        <f>(Assumed_Efficiency/100)*Rout/'4. Current Sense Resistor'!$B$11</f>
        <v>135.14141414141415</v>
      </c>
      <c r="AD39" s="9" t="str">
        <f t="shared" si="0"/>
        <v>0.999796927401061-0.0141536520481064i</v>
      </c>
      <c r="AE39" s="9" t="str">
        <f t="shared" si="8"/>
        <v>0.999999849070832-0.000817798887124442i</v>
      </c>
      <c r="AF39" s="9" t="str">
        <f t="shared" si="1"/>
        <v>18.7728842150107-0.281114540110624i</v>
      </c>
      <c r="AG39" s="9">
        <f t="shared" si="9"/>
        <v>18.774988871763931</v>
      </c>
      <c r="AH39" s="9">
        <f t="shared" si="2"/>
        <v>-1.4973380102527589E-2</v>
      </c>
      <c r="AI39" s="9">
        <f t="shared" si="3"/>
        <v>-0.85791148491999469</v>
      </c>
      <c r="AJ39" s="9">
        <f t="shared" si="4"/>
        <v>25.471593765259989</v>
      </c>
      <c r="AL39" s="9" t="str">
        <f t="shared" si="5"/>
        <v>0.014387954732353-0.114143617896555i</v>
      </c>
      <c r="AM39" s="9" t="str">
        <f t="shared" si="6"/>
        <v>0.999999999710105-0.0000157608849706513i</v>
      </c>
      <c r="AN39" s="9" t="str">
        <f t="shared" si="10"/>
        <v>-9.13944010685307+72.5149130592906i</v>
      </c>
      <c r="AO39" s="9">
        <f t="shared" si="11"/>
        <v>73.088589953995083</v>
      </c>
      <c r="AP39" s="9">
        <f t="shared" si="12"/>
        <v>1.6961705808657102</v>
      </c>
      <c r="AQ39" s="9">
        <f t="shared" si="13"/>
        <v>97.1834156178585</v>
      </c>
      <c r="AR39" s="9">
        <f t="shared" si="14"/>
        <v>37.276991668625911</v>
      </c>
      <c r="AS39" s="9">
        <f t="shared" si="15"/>
        <v>62.7485854338859</v>
      </c>
      <c r="AT39" s="9">
        <f t="shared" si="16"/>
        <v>96.325504132938505</v>
      </c>
    </row>
    <row r="40" spans="1:46" x14ac:dyDescent="0.25">
      <c r="Y40" s="9">
        <v>38</v>
      </c>
      <c r="Z40" s="9">
        <f t="shared" si="7"/>
        <v>10.352859241875105</v>
      </c>
      <c r="AA40" s="9" t="str">
        <f t="shared" si="17"/>
        <v>65.0489330758481i</v>
      </c>
      <c r="AB40" s="9">
        <f>(Assumed_Efficiency/100)*Rout/'4. Current Sense Resistor'!$B$11</f>
        <v>135.14141414141415</v>
      </c>
      <c r="AD40" s="9" t="str">
        <f t="shared" si="0"/>
        <v>0.999770351372833-0.0150511237985021i</v>
      </c>
      <c r="AE40" s="9" t="str">
        <f t="shared" si="8"/>
        <v>0.999999829314196-0.000869678285935631i</v>
      </c>
      <c r="AF40" s="9" t="str">
        <f t="shared" si="1"/>
        <v>18.7723563851398-0.298939788354867i</v>
      </c>
      <c r="AG40" s="9">
        <f t="shared" si="9"/>
        <v>18.774736462804498</v>
      </c>
      <c r="AH40" s="9">
        <f t="shared" si="2"/>
        <v>-1.5923122106649115E-2</v>
      </c>
      <c r="AI40" s="9">
        <f t="shared" si="3"/>
        <v>-0.91232769338245456</v>
      </c>
      <c r="AJ40" s="9">
        <f t="shared" si="4"/>
        <v>25.471476992295834</v>
      </c>
      <c r="AL40" s="9" t="str">
        <f t="shared" si="5"/>
        <v>0.0128758124395271-0.107499219632747i</v>
      </c>
      <c r="AM40" s="9" t="str">
        <f t="shared" si="6"/>
        <v>0.999999999672158-0.0000167607216146825i</v>
      </c>
      <c r="AN40" s="9" t="str">
        <f t="shared" si="10"/>
        <v>-8.17878324969221+68.2937589634383i</v>
      </c>
      <c r="AO40" s="9">
        <f t="shared" si="11"/>
        <v>68.781756366071761</v>
      </c>
      <c r="AP40" s="9">
        <f t="shared" si="12"/>
        <v>1.6899875368264032</v>
      </c>
      <c r="AQ40" s="9">
        <f t="shared" si="13"/>
        <v>96.829153289862703</v>
      </c>
      <c r="AR40" s="9">
        <f t="shared" si="14"/>
        <v>36.749465229764709</v>
      </c>
      <c r="AS40" s="9">
        <f t="shared" si="15"/>
        <v>62.220942222060543</v>
      </c>
      <c r="AT40" s="9">
        <f t="shared" si="16"/>
        <v>95.916825596480251</v>
      </c>
    </row>
    <row r="41" spans="1:46" x14ac:dyDescent="0.25">
      <c r="Y41" s="9">
        <v>39</v>
      </c>
      <c r="Z41" s="9">
        <f t="shared" si="7"/>
        <v>11.009622365740512</v>
      </c>
      <c r="AA41" s="9" t="str">
        <f t="shared" si="17"/>
        <v>69.1754974860165i</v>
      </c>
      <c r="AB41" s="9">
        <f>(Assumed_Efficiency/100)*Rout/'4. Current Sense Resistor'!$B$11</f>
        <v>135.14141414141415</v>
      </c>
      <c r="AD41" s="9" t="str">
        <f t="shared" si="0"/>
        <v>0.999740298266252-0.0160054470843048i</v>
      </c>
      <c r="AE41" s="9" t="str">
        <f t="shared" si="8"/>
        <v>0.999999806971415-0.000924848801476881i</v>
      </c>
      <c r="AF41" s="9" t="str">
        <f t="shared" si="1"/>
        <v>18.7717594965741-0.317894200574577i</v>
      </c>
      <c r="AG41" s="9">
        <f t="shared" si="9"/>
        <v>18.774451025795102</v>
      </c>
      <c r="AH41" s="9">
        <f t="shared" si="2"/>
        <v>-1.6933085939407219E-2</v>
      </c>
      <c r="AI41" s="9">
        <f t="shared" si="3"/>
        <v>-0.97019435846035051</v>
      </c>
      <c r="AJ41" s="9">
        <f t="shared" si="4"/>
        <v>25.471344937541623</v>
      </c>
      <c r="AL41" s="9" t="str">
        <f t="shared" si="5"/>
        <v>0.0115348278008088-0.10122383252767i</v>
      </c>
      <c r="AM41" s="9" t="str">
        <f t="shared" si="6"/>
        <v>0.999999999629243-0.0000178239857448592i</v>
      </c>
      <c r="AN41" s="9" t="str">
        <f t="shared" si="10"/>
        <v>-7.32686204184406+64.3070359609921i</v>
      </c>
      <c r="AO41" s="9">
        <f t="shared" si="11"/>
        <v>64.723085382794793</v>
      </c>
      <c r="AP41" s="9">
        <f t="shared" si="12"/>
        <v>1.6842427401722362</v>
      </c>
      <c r="AQ41" s="9">
        <f t="shared" si="13"/>
        <v>96.500000687418037</v>
      </c>
      <c r="AR41" s="9">
        <f t="shared" si="14"/>
        <v>36.221184242783771</v>
      </c>
      <c r="AS41" s="9">
        <f t="shared" si="15"/>
        <v>61.692529180325394</v>
      </c>
      <c r="AT41" s="9">
        <f t="shared" si="16"/>
        <v>95.52980632895769</v>
      </c>
    </row>
    <row r="42" spans="1:46" ht="23.25" x14ac:dyDescent="0.35">
      <c r="A42" s="18" t="str">
        <f>IF(D_&gt;Dmax,"WARNING:  Maximum duty cycle is exceeded.  Possible reasons:  Excessive circuit losses (inductor ESR, FET Rdson), excessive output current or insufficient input voltage.","")</f>
        <v/>
      </c>
      <c r="Y42" s="9">
        <v>40</v>
      </c>
      <c r="Z42" s="9">
        <f t="shared" si="7"/>
        <v>11.708049129648925</v>
      </c>
      <c r="AA42" s="9" t="str">
        <f t="shared" si="17"/>
        <v>73.5638422671469i</v>
      </c>
      <c r="AB42" s="9">
        <f>(Assumed_Efficiency/100)*Rout/'4. Current Sense Resistor'!$B$11</f>
        <v>135.14141414141415</v>
      </c>
      <c r="AD42" s="9" t="str">
        <f t="shared" si="0"/>
        <v>0.999706313412603-0.0170202118092701i</v>
      </c>
      <c r="AE42" s="9" t="str">
        <f t="shared" si="8"/>
        <v>0.999999781703963-0.000983519214963037i</v>
      </c>
      <c r="AF42" s="9" t="str">
        <f t="shared" si="1"/>
        <v>18.7710845190806-0.338049078106711i</v>
      </c>
      <c r="AG42" s="9">
        <f t="shared" si="9"/>
        <v>18.774128240791267</v>
      </c>
      <c r="AH42" s="9">
        <f t="shared" si="2"/>
        <v>-1.8007086320498626E-2</v>
      </c>
      <c r="AI42" s="9">
        <f t="shared" si="3"/>
        <v>-1.0317300474923301</v>
      </c>
      <c r="AJ42" s="9">
        <f t="shared" si="4"/>
        <v>25.471195601669269</v>
      </c>
      <c r="AL42" s="9" t="str">
        <f t="shared" si="5"/>
        <v>0.0103460213376967-0.0952999485520325i</v>
      </c>
      <c r="AM42" s="9" t="str">
        <f t="shared" si="6"/>
        <v>0.999999999580711-0.0000189547010644556i</v>
      </c>
      <c r="AN42" s="9" t="str">
        <f t="shared" si="10"/>
        <v>-6.57161891025192+60.5436212866125i</v>
      </c>
      <c r="AO42" s="9">
        <f t="shared" si="11"/>
        <v>60.899230320245742</v>
      </c>
      <c r="AP42" s="9">
        <f t="shared" si="12"/>
        <v>1.6789165780871571</v>
      </c>
      <c r="AQ42" s="9">
        <f t="shared" si="13"/>
        <v>96.194834078940403</v>
      </c>
      <c r="AR42" s="9">
        <f t="shared" si="14"/>
        <v>35.692236076045866</v>
      </c>
      <c r="AS42" s="9">
        <f t="shared" si="15"/>
        <v>61.163431677715138</v>
      </c>
      <c r="AT42" s="9">
        <f t="shared" si="16"/>
        <v>95.163104031448071</v>
      </c>
    </row>
    <row r="43" spans="1:46" x14ac:dyDescent="0.25">
      <c r="Y43" s="9">
        <v>41</v>
      </c>
      <c r="Z43" s="9">
        <f t="shared" si="7"/>
        <v>12.4507825853165</v>
      </c>
      <c r="AA43" s="9" t="str">
        <f t="shared" si="17"/>
        <v>78.2305742029481i</v>
      </c>
      <c r="AB43" s="9">
        <f>(Assumed_Efficiency/100)*Rout/'4. Current Sense Resistor'!$B$11</f>
        <v>135.14141414141415</v>
      </c>
      <c r="AD43" s="9" t="str">
        <f t="shared" si="0"/>
        <v>0.999667882761102-0.0180992322455286i</v>
      </c>
      <c r="AE43" s="9" t="str">
        <f t="shared" si="8"/>
        <v>0.999999753129-0.00104591155220934i</v>
      </c>
      <c r="AF43" s="9" t="str">
        <f t="shared" si="1"/>
        <v>18.7703212430315-0.359480178611412i</v>
      </c>
      <c r="AG43" s="9">
        <f t="shared" si="9"/>
        <v>18.773763223323503</v>
      </c>
      <c r="AH43" s="9">
        <f t="shared" si="2"/>
        <v>-1.9149178828393482E-2</v>
      </c>
      <c r="AI43" s="9">
        <f t="shared" si="3"/>
        <v>-1.0971671280082169</v>
      </c>
      <c r="AJ43" s="9">
        <f t="shared" si="4"/>
        <v>25.471026723933797</v>
      </c>
      <c r="AL43" s="9" t="str">
        <f t="shared" si="5"/>
        <v>0.00929243279541275-0.0897103720970969i</v>
      </c>
      <c r="AM43" s="9" t="str">
        <f t="shared" si="6"/>
        <v>0.999999999525826-0.0000201571465318205i</v>
      </c>
      <c r="AN43" s="9" t="str">
        <f t="shared" si="10"/>
        <v>-5.90227908515411+56.9925906544512i</v>
      </c>
      <c r="AO43" s="9">
        <f t="shared" si="11"/>
        <v>57.297402104326565</v>
      </c>
      <c r="AP43" s="9">
        <f t="shared" si="12"/>
        <v>1.6739906694756317</v>
      </c>
      <c r="AQ43" s="9">
        <f t="shared" si="13"/>
        <v>95.912600305232871</v>
      </c>
      <c r="AR43" s="9">
        <f t="shared" si="14"/>
        <v>35.162698625269989</v>
      </c>
      <c r="AS43" s="9">
        <f t="shared" si="15"/>
        <v>60.633725349203786</v>
      </c>
      <c r="AT43" s="9">
        <f t="shared" si="16"/>
        <v>94.815433177224648</v>
      </c>
    </row>
    <row r="44" spans="1:46" x14ac:dyDescent="0.25">
      <c r="Y44" s="9">
        <v>42</v>
      </c>
      <c r="Z44" s="9">
        <f t="shared" si="7"/>
        <v>13.240633453975693</v>
      </c>
      <c r="AA44" s="9" t="str">
        <f t="shared" si="17"/>
        <v>83.1933535757706i</v>
      </c>
      <c r="AB44" s="9">
        <f>(Assumed_Efficiency/100)*Rout/'4. Current Sense Resistor'!$B$11</f>
        <v>135.14141414141415</v>
      </c>
      <c r="AD44" s="9" t="str">
        <f t="shared" si="0"/>
        <v>0.999624425143138-0.0192465605859613i</v>
      </c>
      <c r="AE44" s="9" t="str">
        <f t="shared" si="8"/>
        <v>0.999999720813573-0.00111226192383416i</v>
      </c>
      <c r="AF44" s="9" t="str">
        <f t="shared" si="1"/>
        <v>18.7694581257631-0.38226798524473i</v>
      </c>
      <c r="AG44" s="9">
        <f t="shared" si="9"/>
        <v>18.773350450767111</v>
      </c>
      <c r="AH44" s="9">
        <f t="shared" si="2"/>
        <v>-2.0363674949386078E-2</v>
      </c>
      <c r="AI44" s="9">
        <f t="shared" si="3"/>
        <v>-1.1667526299761026</v>
      </c>
      <c r="AJ44" s="9">
        <f t="shared" si="4"/>
        <v>25.470835748036066</v>
      </c>
      <c r="AL44" s="9" t="str">
        <f t="shared" si="5"/>
        <v>0.00835892500903296-0.0844383176586726i</v>
      </c>
      <c r="AM44" s="9" t="str">
        <f t="shared" si="6"/>
        <v>0.999999999463757-0.0000214358725532107i</v>
      </c>
      <c r="AN44" s="9" t="str">
        <f t="shared" si="10"/>
        <v>-5.30922599716316+53.6432803163435i</v>
      </c>
      <c r="AO44" s="9">
        <f t="shared" si="11"/>
        <v>53.905374535260947</v>
      </c>
      <c r="AP44" s="9">
        <f t="shared" si="12"/>
        <v>1.6694478528217394</v>
      </c>
      <c r="AQ44" s="9">
        <f t="shared" si="13"/>
        <v>95.652316083863084</v>
      </c>
      <c r="AR44" s="9">
        <f t="shared" si="14"/>
        <v>34.632641357405518</v>
      </c>
      <c r="AS44" s="9">
        <f t="shared" si="15"/>
        <v>60.103477105441584</v>
      </c>
      <c r="AT44" s="9">
        <f t="shared" si="16"/>
        <v>94.485563453886982</v>
      </c>
    </row>
    <row r="45" spans="1:46" x14ac:dyDescent="0.25">
      <c r="Y45" s="9">
        <v>43</v>
      </c>
      <c r="Z45" s="9">
        <f t="shared" si="7"/>
        <v>14.080590762968805</v>
      </c>
      <c r="AA45" s="9" t="str">
        <f t="shared" si="17"/>
        <v>88.4709609982942i</v>
      </c>
      <c r="AB45" s="9">
        <f>(Assumed_Efficiency/100)*Rout/'4. Current Sense Resistor'!$B$11</f>
        <v>135.14141414141415</v>
      </c>
      <c r="AD45" s="9" t="str">
        <f t="shared" si="0"/>
        <v>0.999575283534314-0.0204665012187646i</v>
      </c>
      <c r="AE45" s="9" t="str">
        <f t="shared" si="8"/>
        <v>0.999999684268055-0.00118282141876107i</v>
      </c>
      <c r="AF45" s="9" t="str">
        <f t="shared" si="1"/>
        <v>18.7684821180305-0.406497990175298i</v>
      </c>
      <c r="AG45" s="9">
        <f t="shared" si="9"/>
        <v>18.772883679148691</v>
      </c>
      <c r="AH45" s="9">
        <f t="shared" si="2"/>
        <v>-2.1655158034708161E-2</v>
      </c>
      <c r="AI45" s="9">
        <f t="shared" si="3"/>
        <v>-1.240749160077592</v>
      </c>
      <c r="AJ45" s="9">
        <f t="shared" si="4"/>
        <v>25.470619783540137</v>
      </c>
      <c r="AL45" s="9" t="str">
        <f t="shared" si="5"/>
        <v>0.00753200262254481-0.0794674839028018i</v>
      </c>
      <c r="AM45" s="9" t="str">
        <f t="shared" si="6"/>
        <v>0.999999999393562-0.0000227957182028599i</v>
      </c>
      <c r="AN45" s="9" t="str">
        <f t="shared" si="10"/>
        <v>-4.78388611033906+50.4853341154003i</v>
      </c>
      <c r="AO45" s="9">
        <f t="shared" si="11"/>
        <v>50.711483187344228</v>
      </c>
      <c r="AP45" s="9">
        <f t="shared" si="12"/>
        <v>1.6652721694151056</v>
      </c>
      <c r="AQ45" s="9">
        <f t="shared" si="13"/>
        <v>95.413067048080151</v>
      </c>
      <c r="AR45" s="9">
        <f t="shared" si="14"/>
        <v>34.102126255784661</v>
      </c>
      <c r="AS45" s="9">
        <f t="shared" si="15"/>
        <v>59.572746039324798</v>
      </c>
      <c r="AT45" s="9">
        <f t="shared" si="16"/>
        <v>94.172317888002553</v>
      </c>
    </row>
    <row r="46" spans="1:46" x14ac:dyDescent="0.25">
      <c r="Y46" s="9">
        <v>44</v>
      </c>
      <c r="Z46" s="9">
        <f t="shared" si="7"/>
        <v>14.973833157104059</v>
      </c>
      <c r="AA46" s="9" t="str">
        <f t="shared" si="17"/>
        <v>94.0833684848747i</v>
      </c>
      <c r="AB46" s="9">
        <f>(Assumed_Efficiency/100)*Rout/'4. Current Sense Resistor'!$B$11</f>
        <v>135.14141414141415</v>
      </c>
      <c r="AD46" s="9" t="str">
        <f t="shared" si="0"/>
        <v>0.999519715185982-0.0217636257423153i</v>
      </c>
      <c r="AE46" s="9" t="str">
        <f t="shared" si="8"/>
        <v>0.999999642938727-0.00125785705440134i</v>
      </c>
      <c r="AF46" s="9" t="str">
        <f t="shared" si="1"/>
        <v>18.7673784680083-0.432260992804697i</v>
      </c>
      <c r="AG46" s="9">
        <f t="shared" si="9"/>
        <v>18.772355849156547</v>
      </c>
      <c r="AH46" s="9">
        <f t="shared" si="2"/>
        <v>-2.3028500213900256E-2</v>
      </c>
      <c r="AI46" s="9">
        <f t="shared" si="3"/>
        <v>-1.3194358707725982</v>
      </c>
      <c r="AJ46" s="9">
        <f t="shared" si="4"/>
        <v>25.470375562269084</v>
      </c>
      <c r="AL46" s="9" t="str">
        <f t="shared" si="5"/>
        <v>0.00679964554845118-0.0747821080579529i</v>
      </c>
      <c r="AM46" s="9" t="str">
        <f t="shared" si="6"/>
        <v>0.99999999931418-0.0000242418295354529i</v>
      </c>
      <c r="AN46" s="9" t="str">
        <f t="shared" si="10"/>
        <v>-4.31862311986221+47.5087380411266i</v>
      </c>
      <c r="AO46" s="9">
        <f t="shared" si="11"/>
        <v>47.704619230340768</v>
      </c>
      <c r="AP46" s="9">
        <f t="shared" si="12"/>
        <v>1.6614488433105272</v>
      </c>
      <c r="AQ46" s="9">
        <f t="shared" si="13"/>
        <v>95.194006598585631</v>
      </c>
      <c r="AR46" s="9">
        <f t="shared" si="14"/>
        <v>33.571208674772521</v>
      </c>
      <c r="AS46" s="9">
        <f t="shared" si="15"/>
        <v>59.041584237041604</v>
      </c>
      <c r="AT46" s="9">
        <f t="shared" si="16"/>
        <v>93.874570727813037</v>
      </c>
    </row>
    <row r="47" spans="1:46" x14ac:dyDescent="0.25">
      <c r="Y47" s="9">
        <v>45</v>
      </c>
      <c r="Z47" s="9">
        <f t="shared" si="7"/>
        <v>15.923740927579823</v>
      </c>
      <c r="AA47" s="9" t="str">
        <f t="shared" si="17"/>
        <v>100.051815031504i</v>
      </c>
      <c r="AB47" s="9">
        <f>(Assumed_Efficiency/100)*Rout/'4. Current Sense Resistor'!$B$11</f>
        <v>135.14141414141415</v>
      </c>
      <c r="AD47" s="9" t="str">
        <f t="shared" si="0"/>
        <v>0.999456880481995-0.0231427887340405i</v>
      </c>
      <c r="AE47" s="9" t="str">
        <f t="shared" si="8"/>
        <v>0.99999959619939-0.00133765278711199i</v>
      </c>
      <c r="AF47" s="9" t="str">
        <f t="shared" si="1"/>
        <v>18.7661304999738-0.459653412963728i</v>
      </c>
      <c r="AG47" s="9">
        <f t="shared" si="9"/>
        <v>18.771758979970315</v>
      </c>
      <c r="AH47" s="9">
        <f t="shared" si="2"/>
        <v>-2.4488880313792812E-2</v>
      </c>
      <c r="AI47" s="9">
        <f t="shared" si="3"/>
        <v>-1.4031094869813352</v>
      </c>
      <c r="AJ47" s="9">
        <f t="shared" si="4"/>
        <v>25.47009938903107</v>
      </c>
      <c r="AL47" s="9" t="str">
        <f t="shared" si="5"/>
        <v>0.00615115674957424-0.0703670040323853i</v>
      </c>
      <c r="AM47" s="9" t="str">
        <f t="shared" si="6"/>
        <v>0.999999999224406-0.0000257796790603027i</v>
      </c>
      <c r="AN47" s="9" t="str">
        <f t="shared" si="10"/>
        <v>-3.90664124853229+44.7038444452167i</v>
      </c>
      <c r="AO47" s="9">
        <f t="shared" si="11"/>
        <v>44.874219258131568</v>
      </c>
      <c r="AP47" s="9">
        <f t="shared" si="12"/>
        <v>1.6579642591640151</v>
      </c>
      <c r="AQ47" s="9">
        <f t="shared" si="13"/>
        <v>94.994354633632284</v>
      </c>
      <c r="AR47" s="9">
        <f t="shared" si="14"/>
        <v>33.039938112023933</v>
      </c>
      <c r="AS47" s="9">
        <f t="shared" si="15"/>
        <v>58.510037501055002</v>
      </c>
      <c r="AT47" s="9">
        <f t="shared" si="16"/>
        <v>93.591245146650948</v>
      </c>
    </row>
    <row r="48" spans="1:46" x14ac:dyDescent="0.25">
      <c r="Y48" s="9">
        <v>46</v>
      </c>
      <c r="Z48" s="9">
        <f t="shared" si="7"/>
        <v>16.933908803997952</v>
      </c>
      <c r="AA48" s="9" t="str">
        <f t="shared" si="17"/>
        <v>106.398886990399i</v>
      </c>
      <c r="AB48" s="9">
        <f>(Assumed_Efficiency/100)*Rout/'4. Current Sense Resistor'!$B$11</f>
        <v>135.14141414141415</v>
      </c>
      <c r="AD48" s="9" t="str">
        <f t="shared" si="0"/>
        <v>0.999385830358519-0.0246091442812128i</v>
      </c>
      <c r="AE48" s="9" t="str">
        <f t="shared" si="8"/>
        <v>0.999999543341871-0.00142251058675305i</v>
      </c>
      <c r="AF48" s="9" t="str">
        <f t="shared" si="1"/>
        <v>18.7647193644494-0.488777619241942i</v>
      </c>
      <c r="AG48" s="9">
        <f t="shared" si="9"/>
        <v>18.771084049346065</v>
      </c>
      <c r="AH48" s="9">
        <f t="shared" si="2"/>
        <v>-2.6041802833315007E-2</v>
      </c>
      <c r="AI48" s="9">
        <f t="shared" si="3"/>
        <v>-1.4920853932607792</v>
      </c>
      <c r="AJ48" s="9">
        <f t="shared" si="4"/>
        <v>25.469787085942485</v>
      </c>
      <c r="AL48" s="9" t="str">
        <f t="shared" si="5"/>
        <v>0.00557702371438241-0.0662075871652945i</v>
      </c>
      <c r="AM48" s="9" t="str">
        <f t="shared" si="6"/>
        <v>0.999999999122881-0.0000274150864509278i</v>
      </c>
      <c r="AN48" s="9" t="str">
        <f t="shared" si="10"/>
        <v>-3.54189724269767+42.0613877658557i</v>
      </c>
      <c r="AO48" s="9">
        <f t="shared" si="11"/>
        <v>42.21025203510996</v>
      </c>
      <c r="AP48" s="9">
        <f t="shared" si="12"/>
        <v>1.6548059388957128</v>
      </c>
      <c r="AQ48" s="9">
        <f t="shared" si="13"/>
        <v>94.813396211907943</v>
      </c>
      <c r="AR48" s="9">
        <f t="shared" si="14"/>
        <v>32.508358906215719</v>
      </c>
      <c r="AS48" s="9">
        <f t="shared" si="15"/>
        <v>57.978145992158204</v>
      </c>
      <c r="AT48" s="9">
        <f t="shared" si="16"/>
        <v>93.321310818647163</v>
      </c>
    </row>
    <row r="49" spans="25:46" x14ac:dyDescent="0.25">
      <c r="Y49" s="9">
        <v>47</v>
      </c>
      <c r="Z49" s="9">
        <f t="shared" si="7"/>
        <v>18.008159557874837</v>
      </c>
      <c r="AA49" s="9" t="str">
        <f t="shared" si="17"/>
        <v>113.148603543385i</v>
      </c>
      <c r="AB49" s="9">
        <f>(Assumed_Efficiency/100)*Rout/'4. Current Sense Resistor'!$B$11</f>
        <v>135.14141414141415</v>
      </c>
      <c r="AD49" s="9" t="str">
        <f t="shared" si="0"/>
        <v>0.999305492104856-0.0261681632741142i</v>
      </c>
      <c r="AE49" s="9" t="str">
        <f t="shared" si="8"/>
        <v>0.999999483565301-0.00151275157940975i</v>
      </c>
      <c r="AF49" s="9" t="str">
        <f t="shared" si="1"/>
        <v>18.7631237561918-0.519742272459267i</v>
      </c>
      <c r="AG49" s="9">
        <f t="shared" si="9"/>
        <v>18.770320858204588</v>
      </c>
      <c r="AH49" s="9">
        <f t="shared" si="2"/>
        <v>-2.7693118024793496E-2</v>
      </c>
      <c r="AI49" s="9">
        <f t="shared" si="3"/>
        <v>-1.5866987843783342</v>
      </c>
      <c r="AJ49" s="9">
        <f t="shared" si="4"/>
        <v>25.469433929525191</v>
      </c>
      <c r="AL49" s="9" t="str">
        <f t="shared" si="5"/>
        <v>0.00506879286101053-0.062289888086046i</v>
      </c>
      <c r="AM49" s="9" t="str">
        <f t="shared" si="6"/>
        <v>0.999999999008066-0.0000291542405683993i</v>
      </c>
      <c r="AN49" s="9" t="str">
        <f t="shared" si="10"/>
        <v>-3.2190205817226+39.5724933324413i</v>
      </c>
      <c r="AO49" s="9">
        <f t="shared" si="11"/>
        <v>39.70320291930696</v>
      </c>
      <c r="AP49" s="9">
        <f t="shared" si="12"/>
        <v>1.6519625179662811</v>
      </c>
      <c r="AQ49" s="9">
        <f t="shared" si="13"/>
        <v>94.65048019327233</v>
      </c>
      <c r="AR49" s="9">
        <f t="shared" si="14"/>
        <v>31.976510867792275</v>
      </c>
      <c r="AS49" s="9">
        <f t="shared" si="15"/>
        <v>57.445944797317466</v>
      </c>
      <c r="AT49" s="9">
        <f t="shared" si="16"/>
        <v>93.063781408894002</v>
      </c>
    </row>
    <row r="50" spans="25:46" x14ac:dyDescent="0.25">
      <c r="Y50" s="9">
        <v>48</v>
      </c>
      <c r="Z50" s="9">
        <f t="shared" si="7"/>
        <v>19.150558469130036</v>
      </c>
      <c r="AA50" s="9" t="str">
        <f t="shared" si="17"/>
        <v>120.326507597521i</v>
      </c>
      <c r="AB50" s="9">
        <f>(Assumed_Efficiency/100)*Rout/'4. Current Sense Resistor'!$B$11</f>
        <v>135.14141414141415</v>
      </c>
      <c r="AD50" s="9" t="str">
        <f t="shared" si="0"/>
        <v>0.999214653341055-0.0278256514524895i</v>
      </c>
      <c r="AE50" s="9" t="str">
        <f t="shared" si="8"/>
        <v>0.999999415963977-0.00160871726260332i</v>
      </c>
      <c r="AF50" s="9" t="str">
        <f t="shared" si="1"/>
        <v>18.7613195959688-0.55266268409944i</v>
      </c>
      <c r="AG50" s="9">
        <f t="shared" si="9"/>
        <v>18.769457877745936</v>
      </c>
      <c r="AH50" s="9">
        <f t="shared" si="2"/>
        <v>-2.9449043132353313E-2</v>
      </c>
      <c r="AI50" s="9">
        <f t="shared" si="3"/>
        <v>-1.6873058821825666</v>
      </c>
      <c r="AJ50" s="9">
        <f t="shared" si="4"/>
        <v>25.46903457964742</v>
      </c>
      <c r="AL50" s="9" t="str">
        <f t="shared" si="5"/>
        <v>0.00461895602566982-0.058600557774853i</v>
      </c>
      <c r="AM50" s="9" t="str">
        <f t="shared" si="6"/>
        <v>0.999999998878221-0.000031003722881801i</v>
      </c>
      <c r="AN50" s="9" t="str">
        <f t="shared" si="10"/>
        <v>-2.93324136461009+37.2286805806263i</v>
      </c>
      <c r="AO50" s="9">
        <f t="shared" si="11"/>
        <v>37.344056591074327</v>
      </c>
      <c r="AP50" s="9">
        <f t="shared" si="12"/>
        <v>1.6494237219144747</v>
      </c>
      <c r="AQ50" s="9">
        <f t="shared" si="13"/>
        <v>94.505017894459357</v>
      </c>
      <c r="AR50" s="9">
        <f t="shared" si="14"/>
        <v>31.444429849887289</v>
      </c>
      <c r="AS50" s="9">
        <f t="shared" si="15"/>
        <v>56.913464429534713</v>
      </c>
      <c r="AT50" s="9">
        <f t="shared" si="16"/>
        <v>92.817712012276786</v>
      </c>
    </row>
    <row r="51" spans="25:46" x14ac:dyDescent="0.25">
      <c r="Y51" s="9">
        <v>49</v>
      </c>
      <c r="Z51" s="9">
        <f t="shared" si="7"/>
        <v>20.365428710297824</v>
      </c>
      <c r="AA51" s="9" t="str">
        <f t="shared" si="17"/>
        <v>127.959762446957i</v>
      </c>
      <c r="AB51" s="9">
        <f>(Assumed_Efficiency/100)*Rout/'4. Current Sense Resistor'!$B$11</f>
        <v>135.14141414141415</v>
      </c>
      <c r="AD51" s="9" t="str">
        <f t="shared" si="0"/>
        <v>0.999111943943481-0.0295877681841979i</v>
      </c>
      <c r="AE51" s="9" t="str">
        <f t="shared" si="8"/>
        <v>0.999999339513637-0.00171077079758836i</v>
      </c>
      <c r="AF51" s="9" t="str">
        <f t="shared" si="1"/>
        <v>18.7592796715806-0.587661189286401i</v>
      </c>
      <c r="AG51" s="9">
        <f t="shared" si="9"/>
        <v>18.768482076874804</v>
      </c>
      <c r="AH51" s="9">
        <f t="shared" si="2"/>
        <v>-3.1316184837309927E-2</v>
      </c>
      <c r="AI51" s="9">
        <f t="shared" si="3"/>
        <v>-1.7942852216294414</v>
      </c>
      <c r="AJ51" s="9">
        <f t="shared" si="4"/>
        <v>25.468582999263013</v>
      </c>
      <c r="AL51" s="9" t="str">
        <f t="shared" si="5"/>
        <v>0.00422084815423513-0.0551268655868411i</v>
      </c>
      <c r="AM51" s="9" t="str">
        <f t="shared" si="6"/>
        <v>0.999999998731381-0.0000329705323744343i</v>
      </c>
      <c r="AN51" s="9" t="str">
        <f t="shared" si="10"/>
        <v>-2.68032531395051+35.0218617970342i</v>
      </c>
      <c r="AO51" s="9">
        <f t="shared" si="11"/>
        <v>35.124278604964509</v>
      </c>
      <c r="AP51" s="9">
        <f t="shared" si="12"/>
        <v>1.647180343686536</v>
      </c>
      <c r="AQ51" s="9">
        <f t="shared" si="13"/>
        <v>94.376481790146926</v>
      </c>
      <c r="AR51" s="9">
        <f t="shared" si="14"/>
        <v>30.912148266177041</v>
      </c>
      <c r="AS51" s="9">
        <f t="shared" si="15"/>
        <v>56.380731265440055</v>
      </c>
      <c r="AT51" s="9">
        <f t="shared" si="16"/>
        <v>92.582196568517489</v>
      </c>
    </row>
    <row r="52" spans="25:46" x14ac:dyDescent="0.25">
      <c r="Y52" s="9">
        <v>50</v>
      </c>
      <c r="Z52" s="9">
        <f t="shared" si="7"/>
        <v>21.657367706679931</v>
      </c>
      <c r="AA52" s="9" t="str">
        <f t="shared" si="17"/>
        <v>136.077254566797i</v>
      </c>
      <c r="AB52" s="9">
        <f>(Assumed_Efficiency/100)*Rout/'4. Current Sense Resistor'!$B$11</f>
        <v>135.14141414141415</v>
      </c>
      <c r="AD52" s="9" t="str">
        <f t="shared" si="0"/>
        <v>0.998995815662313-0.0314610459399577i</v>
      </c>
      <c r="AE52" s="9" t="str">
        <f t="shared" si="8"/>
        <v>0.999999253055947-0.00181929838362609i</v>
      </c>
      <c r="AF52" s="9" t="str">
        <f t="shared" si="1"/>
        <v>18.756973233041-0.624867533586597i</v>
      </c>
      <c r="AG52" s="9">
        <f t="shared" si="9"/>
        <v>18.767378727450115</v>
      </c>
      <c r="AH52" s="9">
        <f t="shared" si="2"/>
        <v>-3.3301562958899515E-2</v>
      </c>
      <c r="AI52" s="9">
        <f t="shared" si="3"/>
        <v>-1.9080390087341359</v>
      </c>
      <c r="AJ52" s="9">
        <f t="shared" si="4"/>
        <v>25.468072363772976</v>
      </c>
      <c r="AL52" s="9" t="str">
        <f t="shared" si="5"/>
        <v>0.00386855531023626-0.0518566917153042i</v>
      </c>
      <c r="AM52" s="9" t="str">
        <f t="shared" si="6"/>
        <v>0.999999998565318-0.0000350621120300145i</v>
      </c>
      <c r="AN52" s="9" t="str">
        <f t="shared" si="10"/>
        <v>-2.45651533383284+32.9443373312212i</v>
      </c>
      <c r="AO52" s="9">
        <f t="shared" si="11"/>
        <v>33.035796188054114</v>
      </c>
      <c r="AP52" s="9">
        <f t="shared" si="12"/>
        <v>1.6452242221897277</v>
      </c>
      <c r="AQ52" s="9">
        <f t="shared" si="13"/>
        <v>94.264404284164996</v>
      </c>
      <c r="AR52" s="9">
        <f t="shared" si="14"/>
        <v>30.379695562018952</v>
      </c>
      <c r="AS52" s="9">
        <f t="shared" si="15"/>
        <v>55.847767925791928</v>
      </c>
      <c r="AT52" s="9">
        <f t="shared" si="16"/>
        <v>92.356365275430861</v>
      </c>
    </row>
    <row r="53" spans="25:46" x14ac:dyDescent="0.25">
      <c r="Y53" s="9">
        <v>51</v>
      </c>
      <c r="Z53" s="9">
        <f t="shared" si="7"/>
        <v>23.031264534351347</v>
      </c>
      <c r="AA53" s="9" t="str">
        <f t="shared" si="17"/>
        <v>144.709702928003i</v>
      </c>
      <c r="AB53" s="9">
        <f>(Assumed_Efficiency/100)*Rout/'4. Current Sense Resistor'!$B$11</f>
        <v>135.14141414141415</v>
      </c>
      <c r="AD53" s="9" t="str">
        <f t="shared" si="0"/>
        <v>0.998864519144862-0.0334524104094426i</v>
      </c>
      <c r="AE53" s="9" t="str">
        <f t="shared" si="8"/>
        <v>0.999999155280943-0.00193471071943318i</v>
      </c>
      <c r="AF53" s="9" t="str">
        <f t="shared" si="1"/>
        <v>18.7543655362339-0.664419272550011i</v>
      </c>
      <c r="AG53" s="9">
        <f t="shared" si="9"/>
        <v>18.766131184567953</v>
      </c>
      <c r="AH53" s="9">
        <f t="shared" si="2"/>
        <v>-3.541263545612925E-2</v>
      </c>
      <c r="AI53" s="9">
        <f t="shared" si="3"/>
        <v>-2.0289945530715428</v>
      </c>
      <c r="AJ53" s="9">
        <f t="shared" si="4"/>
        <v>25.467494958684959</v>
      </c>
      <c r="AL53" s="9" t="str">
        <f t="shared" si="5"/>
        <v>0.00355683212941108-0.048778515324333i</v>
      </c>
      <c r="AM53" s="9" t="str">
        <f t="shared" si="6"/>
        <v>0.999999998377518-0.0000372863769990973i</v>
      </c>
      <c r="AN53" s="9" t="str">
        <f t="shared" si="10"/>
        <v>-2.25847906911213+30.988788056412i</v>
      </c>
      <c r="AO53" s="9">
        <f t="shared" si="11"/>
        <v>31.070978628148172</v>
      </c>
      <c r="AP53" s="9">
        <f t="shared" si="12"/>
        <v>1.6435482224201288</v>
      </c>
      <c r="AQ53" s="9">
        <f t="shared" si="13"/>
        <v>94.168376570902083</v>
      </c>
      <c r="AR53" s="9">
        <f t="shared" si="14"/>
        <v>29.84709864482997</v>
      </c>
      <c r="AS53" s="9">
        <f t="shared" si="15"/>
        <v>55.314593603514929</v>
      </c>
      <c r="AT53" s="9">
        <f t="shared" si="16"/>
        <v>92.139382017830542</v>
      </c>
    </row>
    <row r="54" spans="25:46" x14ac:dyDescent="0.25">
      <c r="Y54" s="9">
        <v>52</v>
      </c>
      <c r="Z54" s="9">
        <f t="shared" si="7"/>
        <v>24.492318421858034</v>
      </c>
      <c r="AA54" s="9" t="str">
        <f t="shared" si="17"/>
        <v>153.889775246982i</v>
      </c>
      <c r="AB54" s="9">
        <f>(Assumed_Efficiency/100)*Rout/'4. Current Sense Resistor'!$B$11</f>
        <v>135.14141414141415</v>
      </c>
      <c r="AD54" s="9" t="str">
        <f t="shared" si="0"/>
        <v>0.998716078045589-0.0355692011809797i</v>
      </c>
      <c r="AE54" s="9" t="str">
        <f t="shared" si="8"/>
        <v>0.99999904470719-0.00205744455733482i</v>
      </c>
      <c r="AF54" s="9" t="str">
        <f t="shared" si="1"/>
        <v>18.7514173287093-0.706462182445782i</v>
      </c>
      <c r="AG54" s="9">
        <f t="shared" si="9"/>
        <v>18.764720638758401</v>
      </c>
      <c r="AH54" s="9">
        <f t="shared" si="2"/>
        <v>-3.7657324772660233E-2</v>
      </c>
      <c r="AI54" s="9">
        <f t="shared" si="3"/>
        <v>-2.1576057772268737</v>
      </c>
      <c r="AJ54" s="9">
        <f t="shared" si="4"/>
        <v>25.466842064085355</v>
      </c>
      <c r="AL54" s="9" t="str">
        <f t="shared" si="5"/>
        <v>0.00328102788352354-0.0458813993713989i</v>
      </c>
      <c r="AM54" s="9" t="str">
        <f t="shared" si="6"/>
        <v>0.999999998165135-0.0000396517445523189i</v>
      </c>
      <c r="AN54" s="9" t="str">
        <f t="shared" si="10"/>
        <v>-2.08326193410222+29.148265727381i</v>
      </c>
      <c r="AO54" s="9">
        <f t="shared" si="11"/>
        <v>29.222617528210797</v>
      </c>
      <c r="AP54" s="9">
        <f t="shared" si="12"/>
        <v>1.6421462174462493</v>
      </c>
      <c r="AQ54" s="9">
        <f t="shared" si="13"/>
        <v>94.088047603042455</v>
      </c>
      <c r="AR54" s="9">
        <f t="shared" si="14"/>
        <v>29.314382279292669</v>
      </c>
      <c r="AS54" s="9">
        <f t="shared" si="15"/>
        <v>54.781224343378028</v>
      </c>
      <c r="AT54" s="9">
        <f t="shared" si="16"/>
        <v>91.930441825815578</v>
      </c>
    </row>
    <row r="55" spans="25:46" x14ac:dyDescent="0.25">
      <c r="Y55" s="9">
        <v>53</v>
      </c>
      <c r="Z55" s="9">
        <f t="shared" si="7"/>
        <v>26.046058425622668</v>
      </c>
      <c r="AA55" s="9" t="str">
        <f t="shared" si="17"/>
        <v>163.652211609813i</v>
      </c>
      <c r="AB55" s="9">
        <f>(Assumed_Efficiency/100)*Rout/'4. Current Sense Resistor'!$B$11</f>
        <v>135.14141414141415</v>
      </c>
      <c r="AD55" s="9" t="str">
        <f t="shared" si="0"/>
        <v>0.998548259867591-0.037819192878881i</v>
      </c>
      <c r="AE55" s="9" t="str">
        <f t="shared" si="8"/>
        <v>0.999998919659332-0.00218796435600224i</v>
      </c>
      <c r="AF55" s="9" t="str">
        <f t="shared" si="1"/>
        <v>18.7480842705624-0.751150680087802i</v>
      </c>
      <c r="AG55" s="9">
        <f t="shared" si="9"/>
        <v>18.763125836605841</v>
      </c>
      <c r="AH55" s="9">
        <f t="shared" si="2"/>
        <v>-4.0044045561222721E-2</v>
      </c>
      <c r="AI55" s="9">
        <f t="shared" si="3"/>
        <v>-2.2943548052876399</v>
      </c>
      <c r="AJ55" s="9">
        <f t="shared" si="4"/>
        <v>25.466103824255413</v>
      </c>
      <c r="AL55" s="9" t="str">
        <f t="shared" si="5"/>
        <v>0.00303702035900079-0.0431549729623776i</v>
      </c>
      <c r="AM55" s="9" t="str">
        <f t="shared" si="6"/>
        <v>0.999999997924951-0.0000421671659338051i</v>
      </c>
      <c r="AN55" s="9" t="str">
        <f t="shared" si="10"/>
        <v>-1.92824510598617+27.4161817707059i</v>
      </c>
      <c r="AO55" s="9">
        <f t="shared" si="11"/>
        <v>27.483907147149694</v>
      </c>
      <c r="AP55" s="9">
        <f t="shared" si="12"/>
        <v>1.6410130724729477</v>
      </c>
      <c r="AQ55" s="9">
        <f t="shared" si="13"/>
        <v>94.023123178495794</v>
      </c>
      <c r="AR55" s="9">
        <f t="shared" si="14"/>
        <v>28.781569452632372</v>
      </c>
      <c r="AS55" s="9">
        <f t="shared" si="15"/>
        <v>54.247673276887781</v>
      </c>
      <c r="AT55" s="9">
        <f t="shared" si="16"/>
        <v>91.728768373208155</v>
      </c>
    </row>
    <row r="56" spans="25:46" x14ac:dyDescent="0.25">
      <c r="Y56" s="9">
        <v>54</v>
      </c>
      <c r="Z56" s="9">
        <f t="shared" si="7"/>
        <v>27.698364353515743</v>
      </c>
      <c r="AA56" s="9" t="str">
        <f t="shared" si="17"/>
        <v>174.033955938917i</v>
      </c>
      <c r="AB56" s="9">
        <f>(Assumed_Efficiency/100)*Rout/'4. Current Sense Resistor'!$B$11</f>
        <v>135.14141414141415</v>
      </c>
      <c r="AD56" s="9" t="str">
        <f t="shared" si="0"/>
        <v>0.998358543140958-0.0402106166179357i</v>
      </c>
      <c r="AE56" s="9" t="str">
        <f t="shared" si="8"/>
        <v>0.99999877824271-0.00232676403802633i</v>
      </c>
      <c r="AF56" s="9" t="str">
        <f t="shared" si="1"/>
        <v>18.7443162825589-0.798648248960414i</v>
      </c>
      <c r="AG56" s="9">
        <f t="shared" si="9"/>
        <v>18.761322765897138</v>
      </c>
      <c r="AH56" s="9">
        <f t="shared" si="2"/>
        <v>-4.2581733816691648E-2</v>
      </c>
      <c r="AI56" s="9">
        <f t="shared" si="3"/>
        <v>-2.4397536320459259</v>
      </c>
      <c r="AJ56" s="9">
        <f t="shared" si="4"/>
        <v>25.465269100560288</v>
      </c>
      <c r="AL56" s="9" t="str">
        <f t="shared" si="5"/>
        <v>0.00282115680508161-0.0405894119309057i</v>
      </c>
      <c r="AM56" s="9" t="str">
        <f t="shared" si="6"/>
        <v>0.999999997653328-0.0000448421602352885i</v>
      </c>
      <c r="AN56" s="9" t="str">
        <f t="shared" si="10"/>
        <v>-1.79110800945378+25.7862949469499i</v>
      </c>
      <c r="AO56" s="9">
        <f t="shared" si="11"/>
        <v>25.848425000232091</v>
      </c>
      <c r="AP56" s="9">
        <f t="shared" si="12"/>
        <v>1.6401446311625683</v>
      </c>
      <c r="AQ56" s="9">
        <f t="shared" si="13"/>
        <v>93.973365156656243</v>
      </c>
      <c r="AR56" s="9">
        <f t="shared" si="14"/>
        <v>28.248681714907168</v>
      </c>
      <c r="AS56" s="9">
        <f t="shared" si="15"/>
        <v>53.713950815467456</v>
      </c>
      <c r="AT56" s="9">
        <f t="shared" si="16"/>
        <v>91.533611524610322</v>
      </c>
    </row>
    <row r="57" spans="25:46" x14ac:dyDescent="0.25">
      <c r="Y57" s="9">
        <v>55</v>
      </c>
      <c r="Z57" s="9">
        <f t="shared" si="7"/>
        <v>29.45548901577305</v>
      </c>
      <c r="AA57" s="9" t="str">
        <f t="shared" si="17"/>
        <v>185.074295799695i</v>
      </c>
      <c r="AB57" s="9">
        <f>(Assumed_Efficiency/100)*Rout/'4. Current Sense Resistor'!$B$11</f>
        <v>135.14141414141415</v>
      </c>
      <c r="AD57" s="9" t="str">
        <f t="shared" si="0"/>
        <v>0.99814408050094-0.0427521815926284i</v>
      </c>
      <c r="AE57" s="9" t="str">
        <f t="shared" si="8"/>
        <v>0.999998618314654-0.00247436885897668i</v>
      </c>
      <c r="AF57" s="9" t="str">
        <f t="shared" si="1"/>
        <v>18.7400568128254-0.849127868020909i</v>
      </c>
      <c r="AG57" s="9">
        <f t="shared" ref="AG57:AG120" si="18">IMABS(AF57)</f>
        <v>18.759284300958114</v>
      </c>
      <c r="AH57" s="9">
        <f t="shared" ref="AH57:AH120" si="19">IMARGUMENT(AF57)</f>
        <v>-4.5279877437239935E-2</v>
      </c>
      <c r="AI57" s="9">
        <f t="shared" ref="AI57:AI120" si="20">AH57/(PI())*180</f>
        <v>-2.5943458740234906</v>
      </c>
      <c r="AJ57" s="9">
        <f t="shared" ref="AJ57:AJ120" si="21">20*LOG(AG57,10)</f>
        <v>25.464325305515754</v>
      </c>
      <c r="AL57" s="9" t="str">
        <f t="shared" si="5"/>
        <v>0.0026302012585745-0.0381754182070765i</v>
      </c>
      <c r="AM57" s="9" t="str">
        <f t="shared" si="6"/>
        <v>0.999999997346148-0.0000476868504191265i</v>
      </c>
      <c r="AN57" s="9" t="str">
        <f t="shared" si="10"/>
        <v>-1.66979485236914+24.2526982437182i</v>
      </c>
      <c r="AO57" s="9">
        <f t="shared" si="11"/>
        <v>24.310112853498861</v>
      </c>
      <c r="AP57" s="9">
        <f t="shared" si="12"/>
        <v>1.6395377043504946</v>
      </c>
      <c r="AQ57" s="9">
        <f t="shared" si="13"/>
        <v>93.9385908118511</v>
      </c>
      <c r="AR57" s="9">
        <f t="shared" si="14"/>
        <v>27.715739498987695</v>
      </c>
      <c r="AS57" s="9">
        <f t="shared" si="15"/>
        <v>53.180064804503445</v>
      </c>
      <c r="AT57" s="9">
        <f t="shared" si="16"/>
        <v>91.344244937827611</v>
      </c>
    </row>
    <row r="58" spans="25:46" x14ac:dyDescent="0.25">
      <c r="Y58" s="9">
        <v>56</v>
      </c>
      <c r="Z58" s="9">
        <f t="shared" si="7"/>
        <v>31.324081887463471</v>
      </c>
      <c r="AA58" s="9" t="str">
        <f t="shared" si="17"/>
        <v>196.815011076201i</v>
      </c>
      <c r="AB58" s="9">
        <f>(Assumed_Efficiency/100)*Rout/'4. Current Sense Resistor'!$B$11</f>
        <v>135.14141414141415</v>
      </c>
      <c r="AD58" s="9" t="str">
        <f t="shared" si="0"/>
        <v>0.997901657183249-0.0454530965677638i</v>
      </c>
      <c r="AE58" s="9" t="str">
        <f t="shared" si="8"/>
        <v>0.999998437452018-0.0026313373950156i</v>
      </c>
      <c r="AF58" s="9" t="str">
        <f t="shared" si="1"/>
        <v>18.7352420125196-0.902772438544893i</v>
      </c>
      <c r="AG58" s="9">
        <f t="shared" si="18"/>
        <v>18.756979803355222</v>
      </c>
      <c r="AH58" s="9">
        <f t="shared" si="19"/>
        <v>-4.814854822038863E-2</v>
      </c>
      <c r="AI58" s="9">
        <f t="shared" si="20"/>
        <v>-2.7587086027103993</v>
      </c>
      <c r="AJ58" s="9">
        <f t="shared" si="21"/>
        <v>25.463258215689354</v>
      </c>
      <c r="AL58" s="9" t="str">
        <f t="shared" si="5"/>
        <v>0.00246128760578413-0.0359041984339927i</v>
      </c>
      <c r="AM58" s="9" t="str">
        <f t="shared" si="6"/>
        <v>0.999999996998759-0.0000507120016265382i</v>
      </c>
      <c r="AN58" s="9" t="str">
        <f t="shared" si="10"/>
        <v>-1.56248480623415+22.809805290883i</v>
      </c>
      <c r="AO58" s="9">
        <f t="shared" si="11"/>
        <v>22.863258214386388</v>
      </c>
      <c r="AP58" s="9">
        <f t="shared" si="12"/>
        <v>1.6391900612588408</v>
      </c>
      <c r="AQ58" s="9">
        <f t="shared" si="13"/>
        <v>93.918672329922444</v>
      </c>
      <c r="AR58" s="9">
        <f t="shared" si="14"/>
        <v>27.182762424682529</v>
      </c>
      <c r="AS58" s="9">
        <f t="shared" si="15"/>
        <v>52.646020640371887</v>
      </c>
      <c r="AT58" s="9">
        <f t="shared" si="16"/>
        <v>91.159963727212045</v>
      </c>
    </row>
    <row r="59" spans="25:46" x14ac:dyDescent="0.25">
      <c r="Y59" s="9">
        <v>57</v>
      </c>
      <c r="Z59" s="9">
        <f t="shared" si="7"/>
        <v>33.311214272052936</v>
      </c>
      <c r="AA59" s="9" t="str">
        <f t="shared" si="17"/>
        <v>209.300532078474i</v>
      </c>
      <c r="AB59" s="9">
        <f>(Assumed_Efficiency/100)*Rout/'4. Current Sense Resistor'!$B$11</f>
        <v>135.14141414141415</v>
      </c>
      <c r="AD59" s="9" t="str">
        <f t="shared" si="0"/>
        <v>0.997627644405443-0.048323090975736i</v>
      </c>
      <c r="AE59" s="9" t="str">
        <f t="shared" si="8"/>
        <v>0.999998232914469-0.0027982636565854i</v>
      </c>
      <c r="AF59" s="9" t="str">
        <f t="shared" si="1"/>
        <v>18.7297998099317-0.959775203160306i</v>
      </c>
      <c r="AG59" s="9">
        <f t="shared" si="18"/>
        <v>18.754374672612226</v>
      </c>
      <c r="AH59" s="9">
        <f t="shared" si="19"/>
        <v>-5.119843528472709E-2</v>
      </c>
      <c r="AI59" s="9">
        <f t="shared" si="20"/>
        <v>-2.9334542594885376</v>
      </c>
      <c r="AJ59" s="9">
        <f t="shared" si="21"/>
        <v>25.462051760818348</v>
      </c>
      <c r="AL59" s="9" t="str">
        <f t="shared" si="5"/>
        <v>0.00231187779508536-0.0337674422016333i</v>
      </c>
      <c r="AM59" s="9" t="str">
        <f t="shared" si="6"/>
        <v>0.999999996605896-0.0000539290619160299i</v>
      </c>
      <c r="AN59" s="9" t="str">
        <f t="shared" si="10"/>
        <v>-1.46756545883409+21.4523365326928i</v>
      </c>
      <c r="AO59" s="9">
        <f t="shared" si="11"/>
        <v>21.502476394310239</v>
      </c>
      <c r="AP59" s="9">
        <f t="shared" si="12"/>
        <v>1.6391004232834285</v>
      </c>
      <c r="AQ59" s="9">
        <f t="shared" si="13"/>
        <v>93.913536452247214</v>
      </c>
      <c r="AR59" s="9">
        <f t="shared" si="14"/>
        <v>26.64976959128974</v>
      </c>
      <c r="AS59" s="9">
        <f t="shared" si="15"/>
        <v>52.111821352108088</v>
      </c>
      <c r="AT59" s="9">
        <f t="shared" si="16"/>
        <v>90.980082192758672</v>
      </c>
    </row>
    <row r="60" spans="25:46" x14ac:dyDescent="0.25">
      <c r="Y60" s="9">
        <v>58</v>
      </c>
      <c r="Z60" s="9">
        <f t="shared" si="7"/>
        <v>35.424406061290533</v>
      </c>
      <c r="AA60" s="9" t="str">
        <f t="shared" si="17"/>
        <v>222.578107679864i</v>
      </c>
      <c r="AB60" s="9">
        <f>(Assumed_Efficiency/100)*Rout/'4. Current Sense Resistor'!$B$11</f>
        <v>135.14141414141415</v>
      </c>
      <c r="AD60" s="9" t="str">
        <f t="shared" si="0"/>
        <v>0.997317947052592-0.0513724352517135i</v>
      </c>
      <c r="AE60" s="9" t="str">
        <f t="shared" si="8"/>
        <v>0.999998001602963-0.0029757793361632i</v>
      </c>
      <c r="AF60" s="9" t="str">
        <f t="shared" si="1"/>
        <v>18.7236488714632-1.02034014974678i</v>
      </c>
      <c r="AG60" s="9">
        <f t="shared" si="18"/>
        <v>18.751429841028937</v>
      </c>
      <c r="AH60" s="9">
        <f t="shared" si="19"/>
        <v>-5.4440879887819323E-2</v>
      </c>
      <c r="AI60" s="9">
        <f t="shared" si="20"/>
        <v>-3.119232650550694</v>
      </c>
      <c r="AJ60" s="9">
        <f t="shared" si="21"/>
        <v>25.46068778622725</v>
      </c>
      <c r="AL60" s="9" t="str">
        <f t="shared" si="5"/>
        <v>0.00217972466489082-0.0317573001932544i</v>
      </c>
      <c r="AM60" s="9" t="str">
        <f t="shared" si="6"/>
        <v>0.999999996161607-0.0000573502055861757i</v>
      </c>
      <c r="AN60" s="9" t="str">
        <f t="shared" si="10"/>
        <v>-1.38360919902093+20.1753053443154i</v>
      </c>
      <c r="AO60" s="9">
        <f t="shared" si="11"/>
        <v>20.222693197296373</v>
      </c>
      <c r="AP60" s="9">
        <f t="shared" si="12"/>
        <v>1.6392684604042906</v>
      </c>
      <c r="AQ60" s="9">
        <f t="shared" si="13"/>
        <v>93.923164270074167</v>
      </c>
      <c r="AR60" s="9">
        <f t="shared" si="14"/>
        <v>26.116779862722215</v>
      </c>
      <c r="AS60" s="9">
        <f t="shared" si="15"/>
        <v>51.577467648949465</v>
      </c>
      <c r="AT60" s="9">
        <f t="shared" si="16"/>
        <v>90.803931619523468</v>
      </c>
    </row>
    <row r="61" spans="25:46" x14ac:dyDescent="0.25">
      <c r="Y61" s="9">
        <v>59</v>
      </c>
      <c r="Z61" s="9">
        <f t="shared" si="7"/>
        <v>37.67165419268462</v>
      </c>
      <c r="AA61" s="9" t="str">
        <f t="shared" si="17"/>
        <v>236.697984120626i</v>
      </c>
      <c r="AB61" s="9">
        <f>(Assumed_Efficiency/100)*Rout/'4. Current Sense Resistor'!$B$11</f>
        <v>135.14141414141415</v>
      </c>
      <c r="AD61" s="9" t="str">
        <f t="shared" si="0"/>
        <v>0.996967945033085-0.0546119599492853i</v>
      </c>
      <c r="AE61" s="9" t="str">
        <f t="shared" si="8"/>
        <v>0.999997740012795-0.00316455619858439i</v>
      </c>
      <c r="AF61" s="9" t="str">
        <f t="shared" si="1"/>
        <v>18.7166974368865-1.08468239111489i</v>
      </c>
      <c r="AG61" s="9">
        <f t="shared" si="18"/>
        <v>18.748101206083465</v>
      </c>
      <c r="AH61" s="9">
        <f t="shared" si="19"/>
        <v>-5.788791158554097E-2</v>
      </c>
      <c r="AI61" s="9">
        <f t="shared" si="20"/>
        <v>-3.3167330186779593</v>
      </c>
      <c r="AJ61" s="9">
        <f t="shared" si="21"/>
        <v>25.459145785298148</v>
      </c>
      <c r="AL61" s="9" t="str">
        <f t="shared" si="5"/>
        <v>0.00206283890062686-0.0298663624778802i</v>
      </c>
      <c r="AM61" s="9" t="str">
        <f t="shared" si="6"/>
        <v>0.999999995659161-0.0000609883792466961i</v>
      </c>
      <c r="AN61" s="9" t="str">
        <f t="shared" si="10"/>
        <v>-1.30935222463609+18.9740042411948i</v>
      </c>
      <c r="AO61" s="9">
        <f t="shared" si="11"/>
        <v>19.019128271112685</v>
      </c>
      <c r="AP61" s="9">
        <f t="shared" si="12"/>
        <v>1.6396947902474723</v>
      </c>
      <c r="AQ61" s="9">
        <f t="shared" si="13"/>
        <v>93.947591170768931</v>
      </c>
      <c r="AR61" s="9">
        <f t="shared" si="14"/>
        <v>25.583812149271346</v>
      </c>
      <c r="AS61" s="9">
        <f t="shared" si="15"/>
        <v>51.042957934569493</v>
      </c>
      <c r="AT61" s="9">
        <f t="shared" si="16"/>
        <v>90.630858152090966</v>
      </c>
    </row>
    <row r="62" spans="25:46" x14ac:dyDescent="0.25">
      <c r="Y62" s="9">
        <v>60</v>
      </c>
      <c r="Z62" s="9">
        <f t="shared" si="7"/>
        <v>40.061462912259522</v>
      </c>
      <c r="AA62" s="9" t="str">
        <f t="shared" si="17"/>
        <v>251.713595154429i</v>
      </c>
      <c r="AB62" s="9">
        <f>(Assumed_Efficiency/100)*Rout/'4. Current Sense Resistor'!$B$11</f>
        <v>135.14141414141415</v>
      </c>
      <c r="AD62" s="9" t="str">
        <f t="shared" si="0"/>
        <v>0.996572427617674-0.058053073073049i</v>
      </c>
      <c r="AE62" s="9" t="str">
        <f t="shared" si="8"/>
        <v>0.999997444180491-0.00336530862297373i</v>
      </c>
      <c r="AF62" s="9" t="str">
        <f t="shared" si="1"/>
        <v>18.7088420152447-1.15302850927317i</v>
      </c>
      <c r="AG62" s="9">
        <f t="shared" si="18"/>
        <v>18.744338993268929</v>
      </c>
      <c r="AH62" s="9">
        <f t="shared" si="19"/>
        <v>-6.1552285646760199E-2</v>
      </c>
      <c r="AI62" s="9">
        <f t="shared" si="20"/>
        <v>-3.5266861869430342</v>
      </c>
      <c r="AJ62" s="9">
        <f t="shared" si="21"/>
        <v>25.457402598392314</v>
      </c>
      <c r="AL62" s="9" t="str">
        <f t="shared" si="5"/>
        <v>0.00195945968033756-0.0280876371313966i</v>
      </c>
      <c r="AM62" s="9" t="str">
        <f t="shared" si="6"/>
        <v>0.999999995090946-0.0000648573508121818i</v>
      </c>
      <c r="AN62" s="9" t="str">
        <f t="shared" si="10"/>
        <v>-1.24367589380131+17.8439912971688i</v>
      </c>
      <c r="AO62" s="9">
        <f t="shared" si="11"/>
        <v>17.887279143074228</v>
      </c>
      <c r="AP62" s="9">
        <f t="shared" si="12"/>
        <v>1.6403809798048965</v>
      </c>
      <c r="AQ62" s="9">
        <f t="shared" si="13"/>
        <v>93.986906936355297</v>
      </c>
      <c r="AR62" s="9">
        <f t="shared" si="14"/>
        <v>25.050885690033049</v>
      </c>
      <c r="AS62" s="9">
        <f t="shared" si="15"/>
        <v>50.508288288425362</v>
      </c>
      <c r="AT62" s="9">
        <f t="shared" si="16"/>
        <v>90.460220749412258</v>
      </c>
    </row>
    <row r="63" spans="25:46" x14ac:dyDescent="0.25">
      <c r="Y63" s="9">
        <v>61</v>
      </c>
      <c r="Z63" s="9">
        <f t="shared" si="7"/>
        <v>42.602875957116908</v>
      </c>
      <c r="AA63" s="9" t="str">
        <f t="shared" si="17"/>
        <v>267.681764257351i</v>
      </c>
      <c r="AB63" s="9">
        <f>(Assumed_Efficiency/100)*Rout/'4. Current Sense Resistor'!$B$11</f>
        <v>135.14141414141415</v>
      </c>
      <c r="AD63" s="9" t="str">
        <f t="shared" si="0"/>
        <v>0.996125520023128-0.061707774938265i</v>
      </c>
      <c r="AE63" s="9" t="str">
        <f t="shared" si="8"/>
        <v>0.999997109623764-0.00357879630589614i</v>
      </c>
      <c r="AF63" s="9" t="str">
        <f t="shared" si="1"/>
        <v>18.6999659267199-1.22561685058145i</v>
      </c>
      <c r="AG63" s="9">
        <f t="shared" si="18"/>
        <v>18.740087041551181</v>
      </c>
      <c r="AH63" s="9">
        <f t="shared" si="19"/>
        <v>-6.5447521598782143E-2</v>
      </c>
      <c r="AI63" s="9">
        <f t="shared" si="20"/>
        <v>-3.7498667672015147</v>
      </c>
      <c r="AJ63" s="9">
        <f t="shared" si="21"/>
        <v>25.455432074234317</v>
      </c>
      <c r="AL63" s="9" t="str">
        <f t="shared" si="5"/>
        <v>0.00186802861141778-0.0264145293266523i</v>
      </c>
      <c r="AM63" s="9" t="str">
        <f t="shared" si="6"/>
        <v>0.99999999444835-0.0000689717616038657i</v>
      </c>
      <c r="AN63" s="9" t="str">
        <f t="shared" si="10"/>
        <v>-1.18559016704809+16.7810768605475i</v>
      </c>
      <c r="AO63" s="9">
        <f t="shared" si="11"/>
        <v>16.822905951226261</v>
      </c>
      <c r="AP63" s="9">
        <f t="shared" si="12"/>
        <v>1.6413295497983236</v>
      </c>
      <c r="AQ63" s="9">
        <f t="shared" si="13"/>
        <v>94.041255993551417</v>
      </c>
      <c r="AR63" s="9">
        <f t="shared" si="14"/>
        <v>24.518020340028713</v>
      </c>
      <c r="AS63" s="9">
        <f t="shared" si="15"/>
        <v>49.973452414263029</v>
      </c>
      <c r="AT63" s="9">
        <f t="shared" si="16"/>
        <v>90.291389226349906</v>
      </c>
    </row>
    <row r="64" spans="25:46" x14ac:dyDescent="0.25">
      <c r="Y64" s="9">
        <v>62</v>
      </c>
      <c r="Z64" s="9">
        <f t="shared" si="7"/>
        <v>45.305510779589277</v>
      </c>
      <c r="AA64" s="9" t="str">
        <f t="shared" si="17"/>
        <v>284.662919664582i</v>
      </c>
      <c r="AB64" s="9">
        <f>(Assumed_Efficiency/100)*Rout/'4. Current Sense Resistor'!$B$11</f>
        <v>135.14141414141415</v>
      </c>
      <c r="AD64" s="9" t="str">
        <f t="shared" si="0"/>
        <v>0.995620601453595-0.0655886697177432i</v>
      </c>
      <c r="AE64" s="9" t="str">
        <f t="shared" si="8"/>
        <v>0.999996731273598-0.00380582713594742i</v>
      </c>
      <c r="AF64" s="9" t="str">
        <f t="shared" si="1"/>
        <v>18.689937674842-1.30269775511038i</v>
      </c>
      <c r="AG64" s="9">
        <f t="shared" si="18"/>
        <v>18.735282002965633</v>
      </c>
      <c r="AH64" s="9">
        <f t="shared" si="19"/>
        <v>-6.9587942731865068E-2</v>
      </c>
      <c r="AI64" s="9">
        <f t="shared" si="20"/>
        <v>-3.9870954235339409</v>
      </c>
      <c r="AJ64" s="9">
        <f t="shared" si="21"/>
        <v>25.453204689359744</v>
      </c>
      <c r="AL64" s="9" t="str">
        <f t="shared" si="5"/>
        <v>0.00178716660062983-0.0248408209983806i</v>
      </c>
      <c r="AM64" s="9" t="str">
        <f t="shared" si="6"/>
        <v>0.999999993721639-0.0000733471817566132i</v>
      </c>
      <c r="AN64" s="9" t="str">
        <f t="shared" si="10"/>
        <v>-1.13421891294843+15.7813106353758i</v>
      </c>
      <c r="AO64" s="9">
        <f t="shared" si="11"/>
        <v>15.82201687246968</v>
      </c>
      <c r="AP64" s="9">
        <f t="shared" si="12"/>
        <v>1.642543981652077</v>
      </c>
      <c r="AQ64" s="9">
        <f t="shared" si="13"/>
        <v>94.11083781327774</v>
      </c>
      <c r="AR64" s="9">
        <f t="shared" si="14"/>
        <v>23.985236866108327</v>
      </c>
      <c r="AS64" s="9">
        <f t="shared" si="15"/>
        <v>49.438441555468074</v>
      </c>
      <c r="AT64" s="9">
        <f t="shared" si="16"/>
        <v>90.123742389743796</v>
      </c>
    </row>
    <row r="65" spans="25:46" x14ac:dyDescent="0.25">
      <c r="Y65" s="9">
        <v>63</v>
      </c>
      <c r="Z65" s="9">
        <f t="shared" si="7"/>
        <v>48.179594942500358</v>
      </c>
      <c r="AA65" s="9" t="str">
        <f t="shared" si="17"/>
        <v>302.721323048582i</v>
      </c>
      <c r="AB65" s="9">
        <f>(Assumed_Efficiency/100)*Rout/'4. Current Sense Resistor'!$B$11</f>
        <v>135.14141414141415</v>
      </c>
      <c r="AD65" s="9" t="str">
        <f t="shared" si="0"/>
        <v>0.995050213770783-0.0697089726588553i</v>
      </c>
      <c r="AE65" s="9" t="str">
        <f t="shared" si="8"/>
        <v>0.999996303397444-0.0040472602506519i</v>
      </c>
      <c r="AF65" s="9" t="str">
        <f t="shared" si="1"/>
        <v>18.6786091325759-1.38453370000645i</v>
      </c>
      <c r="AG65" s="9">
        <f t="shared" si="18"/>
        <v>18.72985244720314</v>
      </c>
      <c r="AH65" s="9">
        <f t="shared" si="19"/>
        <v>-7.3988716333893575E-2</v>
      </c>
      <c r="AI65" s="9">
        <f t="shared" si="20"/>
        <v>-4.239241177522759</v>
      </c>
      <c r="AJ65" s="9">
        <f t="shared" si="21"/>
        <v>25.450687120790509</v>
      </c>
      <c r="AL65" s="9" t="str">
        <f t="shared" si="5"/>
        <v>0.00171565333598713-0.0233606511604428i</v>
      </c>
      <c r="AM65" s="9" t="str">
        <f t="shared" si="6"/>
        <v>0.999999992899801-0.0000780001691407989i</v>
      </c>
      <c r="AN65" s="9" t="str">
        <f t="shared" si="10"/>
        <v>-1.08878687305236+14.8409691771142i</v>
      </c>
      <c r="AO65" s="9">
        <f t="shared" si="11"/>
        <v>14.880854241977673</v>
      </c>
      <c r="AP65" s="9">
        <f t="shared" si="12"/>
        <v>1.6440287270160692</v>
      </c>
      <c r="AQ65" s="9">
        <f t="shared" si="13"/>
        <v>94.195907456286093</v>
      </c>
      <c r="AR65" s="9">
        <f t="shared" si="14"/>
        <v>23.452557255821404</v>
      </c>
      <c r="AS65" s="9">
        <f t="shared" si="15"/>
        <v>48.903244376611909</v>
      </c>
      <c r="AT65" s="9">
        <f t="shared" si="16"/>
        <v>89.956666278763336</v>
      </c>
    </row>
    <row r="66" spans="25:46" x14ac:dyDescent="0.25">
      <c r="Y66" s="9">
        <v>64</v>
      </c>
      <c r="Z66" s="9">
        <f t="shared" si="7"/>
        <v>51.236004823262483</v>
      </c>
      <c r="AA66" s="9" t="str">
        <f t="shared" si="17"/>
        <v>321.925312704105i</v>
      </c>
      <c r="AB66" s="9">
        <f>(Assumed_Efficiency/100)*Rout/'4. Current Sense Resistor'!$B$11</f>
        <v>135.14141414141415</v>
      </c>
      <c r="AD66" s="9" t="str">
        <f t="shared" ref="AD66:AD129" si="22">IMDIV(IMSUM(1,IMDIV(AA66,$W$4)),IMSUM(1,IMDIV(AA66,$W$6)))</f>
        <v>0.994405959932538-0.0740825117449309i</v>
      </c>
      <c r="AE66" s="9" t="str">
        <f t="shared" si="8"/>
        <v>0.999995819512366-0.00430400928722242i</v>
      </c>
      <c r="AF66" s="9" t="str">
        <f t="shared" ref="AF66:AF129" si="23">IF(D_&lt;Dmax,IMPRODUCT(AB66,AC$2,AD66,AE66),0)</f>
        <v>18.6658135251965-1.47139933251808i</v>
      </c>
      <c r="AG66" s="9">
        <f t="shared" si="18"/>
        <v>18.723717861395563</v>
      </c>
      <c r="AH66" s="9">
        <f t="shared" si="19"/>
        <v>-7.8665894357094937E-2</v>
      </c>
      <c r="AI66" s="9">
        <f t="shared" si="20"/>
        <v>-4.5072237382835381</v>
      </c>
      <c r="AJ66" s="9">
        <f t="shared" si="21"/>
        <v>25.447841766644711</v>
      </c>
      <c r="AL66" s="9" t="str">
        <f t="shared" ref="AL66:AL129" si="24">IMDIV(IMSUM(1,IMDIV(AA66,wz1e)),IMSUM(1,IMDIV(AA66,wp1e)))</f>
        <v>0.00165240909237505-0.0219684969298375i</v>
      </c>
      <c r="AM66" s="9" t="str">
        <f t="shared" ref="AM66:AM129" si="25">IMDIV(IMSUM(1,IMDIV(AA66,wz2e)),IMSUM(1,IMDIV(AA66,wp2e)))</f>
        <v>0.999999991970384-0.000082948332022053i</v>
      </c>
      <c r="AN66" s="9" t="str">
        <f t="shared" si="10"/>
        <v>-1.04860810308461+13.9565438373284i</v>
      </c>
      <c r="AO66" s="9">
        <f t="shared" si="11"/>
        <v>13.99588135263814</v>
      </c>
      <c r="AP66" s="9">
        <f t="shared" si="12"/>
        <v>1.6457892197546264</v>
      </c>
      <c r="AQ66" s="9">
        <f t="shared" si="13"/>
        <v>94.296776260068867</v>
      </c>
      <c r="AR66" s="9">
        <f t="shared" si="14"/>
        <v>22.920005043589544</v>
      </c>
      <c r="AS66" s="9">
        <f t="shared" si="15"/>
        <v>48.367846810234255</v>
      </c>
      <c r="AT66" s="9">
        <f t="shared" si="16"/>
        <v>89.789552521785325</v>
      </c>
    </row>
    <row r="67" spans="25:46" x14ac:dyDescent="0.25">
      <c r="Y67" s="9">
        <v>65</v>
      </c>
      <c r="Z67" s="9">
        <f t="shared" ref="Z67:Z130" si="26">10^(LOG($F$3/$F$2,10)*Y67/200)</f>
        <v>54.486306773278585</v>
      </c>
      <c r="AA67" s="9" t="str">
        <f t="shared" si="17"/>
        <v>342.347562160344i</v>
      </c>
      <c r="AB67" s="9">
        <f>(Assumed_Efficiency/100)*Rout/'4. Current Sense Resistor'!$B$11</f>
        <v>135.14141414141415</v>
      </c>
      <c r="AD67" s="9" t="str">
        <f t="shared" si="22"/>
        <v>0.993678391323531-0.0787237223309123i</v>
      </c>
      <c r="AE67" s="9" t="str">
        <f t="shared" ref="AE67:AE130" si="27">IMDIV(IMSUM(1,IMDIV(IMPRODUCT(-1,AA67),$W$5)),IMSUM(1,IMDIV(AA67,$W$2*$W$3),IMDIV(IMPOWER(AA67,2),$W$2^2)))</f>
        <v>0.999995272286818-0.00457704583946798i</v>
      </c>
      <c r="AF67" s="9" t="str">
        <f t="shared" si="23"/>
        <v>18.6513631925488-1.56358136348448i</v>
      </c>
      <c r="AG67" s="9">
        <f t="shared" si="18"/>
        <v>18.716787534740039</v>
      </c>
      <c r="AH67" s="9">
        <f t="shared" si="19"/>
        <v>-8.3636454135381982E-2</v>
      </c>
      <c r="AI67" s="9">
        <f t="shared" si="20"/>
        <v>-4.7920158353968683</v>
      </c>
      <c r="AJ67" s="9">
        <f t="shared" si="21"/>
        <v>25.444626208919928</v>
      </c>
      <c r="AL67" s="9" t="str">
        <f t="shared" si="24"/>
        <v>0.00159647860305727-0.0206591552932396i</v>
      </c>
      <c r="AM67" s="9" t="str">
        <f t="shared" si="25"/>
        <v>0.999999990919307-0.0000882103956959884i</v>
      </c>
      <c r="AN67" s="9" t="str">
        <f t="shared" ref="AN67:AN130" si="28">IMPRODUCT($AK$2,AL67,AM67)</f>
        <v>-1.01307572658867+13.1247291801067i</v>
      </c>
      <c r="AO67" s="9">
        <f t="shared" ref="AO67:AO130" si="29">IMABS(AN67)</f>
        <v>13.163769918945995</v>
      </c>
      <c r="AP67" s="9">
        <f t="shared" ref="AP67:AP130" si="30">IMARGUMENT(AN67)</f>
        <v>1.6478318902866191</v>
      </c>
      <c r="AQ67" s="9">
        <f t="shared" ref="AQ67:AQ130" si="31">AP67/(PI())*180</f>
        <v>94.413812660487793</v>
      </c>
      <c r="AR67" s="9">
        <f t="shared" ref="AR67:AR130" si="32">20*LOG(AO67,10)</f>
        <v>22.387605658704111</v>
      </c>
      <c r="AS67" s="9">
        <f t="shared" ref="AS67:AS130" si="33">AR67+AJ67</f>
        <v>47.832231867624039</v>
      </c>
      <c r="AT67" s="9">
        <f t="shared" ref="AT67:AT130" si="34">AQ67+AI67</f>
        <v>89.621796825090925</v>
      </c>
    </row>
    <row r="68" spans="25:46" x14ac:dyDescent="0.25">
      <c r="Y68" s="9">
        <v>66</v>
      </c>
      <c r="Z68" s="9">
        <f t="shared" si="26"/>
        <v>57.94280088840825</v>
      </c>
      <c r="AA68" s="9" t="str">
        <f t="shared" ref="AA68:AA131" si="35">IMPRODUCT(COMPLEX(0,1),2*PI()*Z68)</f>
        <v>364.065355198879i</v>
      </c>
      <c r="AB68" s="9">
        <f>(Assumed_Efficiency/100)*Rout/'4. Current Sense Resistor'!$B$11</f>
        <v>135.14141414141415</v>
      </c>
      <c r="AD68" s="9" t="str">
        <f t="shared" si="22"/>
        <v>0.992856883108517-0.0836476329984762i</v>
      </c>
      <c r="AE68" s="9" t="str">
        <f t="shared" si="27"/>
        <v>0.999994653429563-0.00486740313391189i</v>
      </c>
      <c r="AF68" s="9" t="str">
        <f t="shared" si="23"/>
        <v>18.6350471134234-1.66137828643521i</v>
      </c>
      <c r="AG68" s="9">
        <f t="shared" si="18"/>
        <v>18.708959317133282</v>
      </c>
      <c r="AH68" s="9">
        <f t="shared" si="19"/>
        <v>-8.8918338671208019E-2</v>
      </c>
      <c r="AI68" s="9">
        <f t="shared" si="20"/>
        <v>-5.0946455271751159</v>
      </c>
      <c r="AJ68" s="9">
        <f t="shared" si="21"/>
        <v>25.440992612216789</v>
      </c>
      <c r="AL68" s="9" t="str">
        <f t="shared" si="24"/>
        <v>0.00154701676665275-0.019427725636787i</v>
      </c>
      <c r="AM68" s="9" t="str">
        <f t="shared" si="25"/>
        <v>0.999999989730644-0.0000938062733500738i</v>
      </c>
      <c r="AN68" s="9" t="str">
        <f t="shared" si="28"/>
        <v>-0.981652854636569+12.3424118833687i</v>
      </c>
      <c r="AO68" s="9">
        <f t="shared" si="29"/>
        <v>12.38138818653777</v>
      </c>
      <c r="AP68" s="9">
        <f t="shared" si="30"/>
        <v>1.6501641821269741</v>
      </c>
      <c r="AQ68" s="9">
        <f t="shared" si="31"/>
        <v>94.547443139532945</v>
      </c>
      <c r="AR68" s="9">
        <f t="shared" si="32"/>
        <v>21.855386799909361</v>
      </c>
      <c r="AS68" s="9">
        <f t="shared" si="33"/>
        <v>47.29637941212615</v>
      </c>
      <c r="AT68" s="9">
        <f t="shared" si="34"/>
        <v>89.452797612357827</v>
      </c>
    </row>
    <row r="69" spans="25:46" x14ac:dyDescent="0.25">
      <c r="Y69" s="9">
        <v>67</v>
      </c>
      <c r="Z69" s="9">
        <f t="shared" si="26"/>
        <v>61.61856755613799</v>
      </c>
      <c r="AA69" s="9" t="str">
        <f t="shared" si="35"/>
        <v>387.160878318179i</v>
      </c>
      <c r="AB69" s="9">
        <f>(Assumed_Efficiency/100)*Rout/'4. Current Sense Resistor'!$B$11</f>
        <v>135.14141414141415</v>
      </c>
      <c r="AD69" s="9" t="str">
        <f t="shared" si="22"/>
        <v>0.991929496776746-0.0888698405462793i</v>
      </c>
      <c r="AE69" s="9" t="str">
        <f t="shared" si="27"/>
        <v>0.999993953564045-0.00517617993900913i</v>
      </c>
      <c r="AF69" s="9" t="str">
        <f t="shared" si="23"/>
        <v>18.6166281755327-1.76509988090346i</v>
      </c>
      <c r="AG69" s="9">
        <f t="shared" si="18"/>
        <v>18.700118240685097</v>
      </c>
      <c r="AH69" s="9">
        <f t="shared" si="19"/>
        <v>-9.4530495892049898E-2</v>
      </c>
      <c r="AI69" s="9">
        <f t="shared" si="20"/>
        <v>-5.4161984498932254</v>
      </c>
      <c r="AJ69" s="9">
        <f t="shared" si="21"/>
        <v>25.436887051708293</v>
      </c>
      <c r="AL69" s="9" t="str">
        <f t="shared" si="24"/>
        <v>0.00150327598394981-0.018269593047802i</v>
      </c>
      <c r="AM69" s="9" t="str">
        <f t="shared" si="25"/>
        <v>0.999999988386385-0.0000997571414208173i</v>
      </c>
      <c r="AN69" s="9" t="str">
        <f t="shared" si="28"/>
        <v>-0.953864540966523+11.6066601305836i</v>
      </c>
      <c r="AO69" s="9">
        <f t="shared" si="29"/>
        <v>11.645789666200921</v>
      </c>
      <c r="AP69" s="9">
        <f t="shared" si="30"/>
        <v>1.6527945704375402</v>
      </c>
      <c r="AQ69" s="9">
        <f t="shared" si="31"/>
        <v>94.698153288208914</v>
      </c>
      <c r="AR69" s="9">
        <f t="shared" si="32"/>
        <v>21.323378841606715</v>
      </c>
      <c r="AS69" s="9">
        <f t="shared" si="33"/>
        <v>46.760265893315008</v>
      </c>
      <c r="AT69" s="9">
        <f t="shared" si="34"/>
        <v>89.281954838315684</v>
      </c>
    </row>
    <row r="70" spans="25:46" x14ac:dyDescent="0.25">
      <c r="Y70" s="9">
        <v>68</v>
      </c>
      <c r="Z70" s="9">
        <f t="shared" si="26"/>
        <v>65.527516955603716</v>
      </c>
      <c r="AA70" s="9" t="str">
        <f t="shared" si="35"/>
        <v>411.72153175141i</v>
      </c>
      <c r="AB70" s="9">
        <f>(Assumed_Efficiency/100)*Rout/'4. Current Sense Resistor'!$B$11</f>
        <v>135.14141414141415</v>
      </c>
      <c r="AD70" s="9" t="str">
        <f t="shared" si="22"/>
        <v>0.990882829126957-0.0944064716522537i</v>
      </c>
      <c r="AE70" s="9" t="str">
        <f t="shared" si="27"/>
        <v>0.999993162086332-0.00550454472222816i</v>
      </c>
      <c r="AF70" s="9" t="str">
        <f t="shared" si="23"/>
        <v>18.5958401761819-1.87506645103344i</v>
      </c>
      <c r="AG70" s="9">
        <f t="shared" si="18"/>
        <v>18.690134992928542</v>
      </c>
      <c r="AH70" s="9">
        <f t="shared" si="19"/>
        <v>-0.10049291613577492</v>
      </c>
      <c r="AI70" s="9">
        <f t="shared" si="20"/>
        <v>-5.7578199655420326</v>
      </c>
      <c r="AJ70" s="9">
        <f t="shared" si="21"/>
        <v>25.432248763234465</v>
      </c>
      <c r="AL70" s="9" t="str">
        <f t="shared" si="24"/>
        <v>0.00146459494124608-0.0171804123876031i</v>
      </c>
      <c r="AM70" s="9" t="str">
        <f t="shared" si="25"/>
        <v>0.999999986866162-0.000106085519731411i</v>
      </c>
      <c r="AN70" s="9" t="str">
        <f t="shared" si="28"/>
        <v>-0.929290656091546+10.9147134923622i</v>
      </c>
      <c r="AO70" s="9">
        <f t="shared" si="29"/>
        <v>10.954202469548045</v>
      </c>
      <c r="AP70" s="9">
        <f t="shared" si="30"/>
        <v>1.6557325823447502</v>
      </c>
      <c r="AQ70" s="9">
        <f t="shared" si="31"/>
        <v>94.866488970651233</v>
      </c>
      <c r="AR70" s="9">
        <f t="shared" si="32"/>
        <v>20.791615277034868</v>
      </c>
      <c r="AS70" s="9">
        <f t="shared" si="33"/>
        <v>46.223864040269333</v>
      </c>
      <c r="AT70" s="9">
        <f t="shared" si="34"/>
        <v>89.108669005109206</v>
      </c>
    </row>
    <row r="71" spans="25:46" x14ac:dyDescent="0.25">
      <c r="Y71" s="9">
        <v>69</v>
      </c>
      <c r="Z71" s="9">
        <f t="shared" si="26"/>
        <v>69.684441697788372</v>
      </c>
      <c r="AA71" s="9" t="str">
        <f t="shared" si="35"/>
        <v>437.840260214556i</v>
      </c>
      <c r="AB71" s="9">
        <f>(Assumed_Efficiency/100)*Rout/'4. Current Sense Resistor'!$B$11</f>
        <v>135.14141414141415</v>
      </c>
      <c r="AD71" s="9" t="str">
        <f t="shared" si="22"/>
        <v>0.989701847079827-0.100274128313345i</v>
      </c>
      <c r="AE71" s="9" t="str">
        <f t="shared" si="27"/>
        <v>0.999992267004451-0.00585374007069588i</v>
      </c>
      <c r="AF71" s="9" t="str">
        <f t="shared" si="23"/>
        <v>18.5723845414579-1.99160774199218i</v>
      </c>
      <c r="AG71" s="9">
        <f t="shared" si="18"/>
        <v>18.678864230829124</v>
      </c>
      <c r="AH71" s="9">
        <f t="shared" si="19"/>
        <v>-0.10682666695818335</v>
      </c>
      <c r="AI71" s="9">
        <f t="shared" si="20"/>
        <v>-6.1207171561535505</v>
      </c>
      <c r="AJ71" s="9">
        <f t="shared" si="21"/>
        <v>25.427009308031788</v>
      </c>
      <c r="AL71" s="9" t="str">
        <f t="shared" si="24"/>
        <v>0.001430388676961-0.0161560931270798i</v>
      </c>
      <c r="AM71" s="9" t="str">
        <f t="shared" si="25"/>
        <v>0.999999985146942-0.000112815356713112i</v>
      </c>
      <c r="AN71" s="9" t="str">
        <f t="shared" si="28"/>
        <v>-0.907559576665072+10.2639732926323i</v>
      </c>
      <c r="AO71" s="9">
        <f t="shared" si="29"/>
        <v>10.304019222471668</v>
      </c>
      <c r="AP71" s="9">
        <f t="shared" si="30"/>
        <v>1.6589888187208746</v>
      </c>
      <c r="AQ71" s="9">
        <f t="shared" si="31"/>
        <v>95.05305757210013</v>
      </c>
      <c r="AR71" s="9">
        <f t="shared" si="32"/>
        <v>20.260133204129929</v>
      </c>
      <c r="AS71" s="9">
        <f t="shared" si="33"/>
        <v>45.687142512161714</v>
      </c>
      <c r="AT71" s="9">
        <f t="shared" si="34"/>
        <v>88.932340415946584</v>
      </c>
    </row>
    <row r="72" spans="25:46" x14ac:dyDescent="0.25">
      <c r="Y72" s="9">
        <v>70</v>
      </c>
      <c r="Z72" s="9">
        <f t="shared" si="26"/>
        <v>74.105072805100434</v>
      </c>
      <c r="AA72" s="9" t="str">
        <f t="shared" si="35"/>
        <v>465.615904636481i</v>
      </c>
      <c r="AB72" s="9">
        <f>(Assumed_Efficiency/100)*Rout/'4. Current Sense Resistor'!$B$11</f>
        <v>135.14141414141415</v>
      </c>
      <c r="AD72" s="9" t="str">
        <f t="shared" si="22"/>
        <v>0.988369707916495-0.10648981368138i</v>
      </c>
      <c r="AE72" s="9" t="str">
        <f t="shared" si="27"/>
        <v>0.999991254756694-0.00622508739209397i</v>
      </c>
      <c r="AF72" s="9" t="str">
        <f t="shared" si="23"/>
        <v>18.5459267559625-2.11506146702911i</v>
      </c>
      <c r="AG72" s="9">
        <f t="shared" si="18"/>
        <v>18.66614272544912</v>
      </c>
      <c r="AH72" s="9">
        <f t="shared" si="19"/>
        <v>-0.11355392416140708</v>
      </c>
      <c r="AI72" s="9">
        <f t="shared" si="20"/>
        <v>-6.5061606015972524</v>
      </c>
      <c r="AJ72" s="9">
        <f t="shared" si="21"/>
        <v>25.421091644331032</v>
      </c>
      <c r="AL72" s="9" t="str">
        <f t="shared" si="24"/>
        <v>0.00140013978625635-0.0151927849309174i</v>
      </c>
      <c r="AM72" s="9" t="str">
        <f t="shared" si="25"/>
        <v>0.999999983202676-0.00011997212003285i</v>
      </c>
      <c r="AN72" s="9" t="str">
        <f t="shared" si="28"/>
        <v>-0.888342597817655+9.65199345043199i</v>
      </c>
      <c r="AO72" s="9">
        <f t="shared" si="29"/>
        <v>9.6927875318857293</v>
      </c>
      <c r="AP72" s="9">
        <f t="shared" si="30"/>
        <v>1.6625749770528673</v>
      </c>
      <c r="AQ72" s="9">
        <f t="shared" si="31"/>
        <v>95.258529309188987</v>
      </c>
      <c r="AR72" s="9">
        <f t="shared" si="32"/>
        <v>19.728973860150166</v>
      </c>
      <c r="AS72" s="9">
        <f t="shared" si="33"/>
        <v>45.150065504481198</v>
      </c>
      <c r="AT72" s="9">
        <f t="shared" si="34"/>
        <v>88.752368707591728</v>
      </c>
    </row>
    <row r="73" spans="25:46" x14ac:dyDescent="0.25">
      <c r="Y73" s="9">
        <v>71</v>
      </c>
      <c r="Z73" s="9">
        <f t="shared" si="26"/>
        <v>78.806139242176371</v>
      </c>
      <c r="AA73" s="9" t="str">
        <f t="shared" si="35"/>
        <v>495.153576201991i</v>
      </c>
      <c r="AB73" s="9">
        <f>(Assumed_Efficiency/100)*Rout/'4. Current Sense Resistor'!$B$11</f>
        <v>135.14141414141415</v>
      </c>
      <c r="AD73" s="9" t="str">
        <f t="shared" si="22"/>
        <v>0.986867564848979-0.11307083437171i</v>
      </c>
      <c r="AE73" s="9" t="str">
        <f t="shared" si="27"/>
        <v>0.999990110006153-0.00661999191354832i</v>
      </c>
      <c r="AF73" s="9" t="str">
        <f t="shared" si="23"/>
        <v>18.5160925012204-2.24577136726145i</v>
      </c>
      <c r="AG73" s="9">
        <f t="shared" si="18"/>
        <v>18.651787328504515</v>
      </c>
      <c r="AH73" s="9">
        <f t="shared" si="19"/>
        <v>-0.12069799771525656</v>
      </c>
      <c r="AI73" s="9">
        <f t="shared" si="20"/>
        <v>-6.9154858647638546</v>
      </c>
      <c r="AJ73" s="9">
        <f t="shared" si="21"/>
        <v>25.414409097922825</v>
      </c>
      <c r="AL73" s="9" t="str">
        <f t="shared" si="24"/>
        <v>0.00137339063450285-0.0142868639719623i</v>
      </c>
      <c r="AM73" s="9" t="str">
        <f t="shared" si="25"/>
        <v>0.999999981003905-0.000127582892970003i</v>
      </c>
      <c r="AN73" s="9" t="str">
        <f t="shared" si="28"/>
        <v>-0.871348986408777+9.07647178556203i</v>
      </c>
      <c r="AO73" s="9">
        <f t="shared" si="29"/>
        <v>9.1182009810169884</v>
      </c>
      <c r="AP73" s="9">
        <f t="shared" si="30"/>
        <v>1.6665038749355139</v>
      </c>
      <c r="AQ73" s="9">
        <f t="shared" si="31"/>
        <v>95.483638576002519</v>
      </c>
      <c r="AR73" s="9">
        <f t="shared" si="32"/>
        <v>19.198183211551555</v>
      </c>
      <c r="AS73" s="9">
        <f t="shared" si="33"/>
        <v>44.61259230947438</v>
      </c>
      <c r="AT73" s="9">
        <f t="shared" si="34"/>
        <v>88.568152711238668</v>
      </c>
    </row>
    <row r="74" spans="25:46" x14ac:dyDescent="0.25">
      <c r="Y74" s="9">
        <v>72</v>
      </c>
      <c r="Z74" s="9">
        <f t="shared" si="26"/>
        <v>83.805431223189501</v>
      </c>
      <c r="AA74" s="9" t="str">
        <f t="shared" si="35"/>
        <v>526.565054123394i</v>
      </c>
      <c r="AB74" s="9">
        <f>(Assumed_Efficiency/100)*Rout/'4. Current Sense Resistor'!$B$11</f>
        <v>135.14141414141415</v>
      </c>
      <c r="AD74" s="9" t="str">
        <f t="shared" si="22"/>
        <v>0.985174358257013-0.120034674726881i</v>
      </c>
      <c r="AE74" s="9" t="str">
        <f t="shared" si="27"/>
        <v>0.999988815408348-0.00703994799737029i</v>
      </c>
      <c r="AF74" s="9" t="str">
        <f t="shared" si="23"/>
        <v>18.4824635094065-2.38408471445802i</v>
      </c>
      <c r="AG74" s="9">
        <f t="shared" si="18"/>
        <v>18.635592754250002</v>
      </c>
      <c r="AH74" s="9">
        <f t="shared" si="19"/>
        <v>-0.12828335098157168</v>
      </c>
      <c r="AI74" s="9">
        <f t="shared" si="20"/>
        <v>-7.3500945930394836</v>
      </c>
      <c r="AJ74" s="9">
        <f t="shared" si="21"/>
        <v>25.406864223853233</v>
      </c>
      <c r="AL74" s="9" t="str">
        <f t="shared" si="24"/>
        <v>0.00134973646482438-0.0134349199539452i</v>
      </c>
      <c r="AM74" s="9" t="str">
        <f t="shared" si="25"/>
        <v>0.999999978517315-0.000135676476907059i</v>
      </c>
      <c r="AN74" s="9" t="str">
        <f t="shared" si="28"/>
        <v>-0.856321602281918+8.53524177425916i</v>
      </c>
      <c r="AO74" s="9">
        <f t="shared" si="29"/>
        <v>8.5780906285486012</v>
      </c>
      <c r="AP74" s="9">
        <f t="shared" si="30"/>
        <v>1.6707894736214441</v>
      </c>
      <c r="AQ74" s="9">
        <f t="shared" si="31"/>
        <v>95.72918529339313</v>
      </c>
      <c r="AR74" s="9">
        <f t="shared" si="32"/>
        <v>18.667812606003828</v>
      </c>
      <c r="AS74" s="9">
        <f t="shared" si="33"/>
        <v>44.074676829857061</v>
      </c>
      <c r="AT74" s="9">
        <f t="shared" si="34"/>
        <v>88.379090700353643</v>
      </c>
    </row>
    <row r="75" spans="25:46" x14ac:dyDescent="0.25">
      <c r="Y75" s="9">
        <v>73</v>
      </c>
      <c r="Z75" s="9">
        <f t="shared" si="26"/>
        <v>89.121867535237712</v>
      </c>
      <c r="AA75" s="9" t="str">
        <f t="shared" si="35"/>
        <v>559.969208645811i</v>
      </c>
      <c r="AB75" s="9">
        <f>(Assumed_Efficiency/100)*Rout/'4. Current Sense Resistor'!$B$11</f>
        <v>135.14141414141415</v>
      </c>
      <c r="AD75" s="9" t="str">
        <f t="shared" si="22"/>
        <v>0.98326659350668-0.127398837878755i</v>
      </c>
      <c r="AE75" s="9" t="str">
        <f t="shared" si="27"/>
        <v>0.999987351348443-0.00748654479369595i</v>
      </c>
      <c r="AF75" s="9" t="str">
        <f t="shared" si="23"/>
        <v>18.4445731505713-2.53034915440638i</v>
      </c>
      <c r="AG75" s="9">
        <f t="shared" si="18"/>
        <v>18.617329173379861</v>
      </c>
      <c r="AH75" s="9">
        <f t="shared" si="19"/>
        <v>-0.13633561135120911</v>
      </c>
      <c r="AI75" s="9">
        <f t="shared" si="20"/>
        <v>-7.8114551277601603</v>
      </c>
      <c r="AJ75" s="9">
        <f t="shared" si="21"/>
        <v>25.398347551746188</v>
      </c>
      <c r="AL75" s="9" t="str">
        <f t="shared" si="24"/>
        <v>0.00132881929780004-0.0126337438184418i</v>
      </c>
      <c r="AM75" s="9" t="str">
        <f t="shared" si="25"/>
        <v>0.99999997570523-0.000144283500321998i</v>
      </c>
      <c r="AN75" s="9" t="str">
        <f t="shared" si="28"/>
        <v>-0.843033022773703+8.02626473956711i</v>
      </c>
      <c r="AO75" s="9">
        <f t="shared" si="29"/>
        <v>8.0704169871887821</v>
      </c>
      <c r="AP75" s="9">
        <f t="shared" si="30"/>
        <v>1.6754469009365862</v>
      </c>
      <c r="AQ75" s="9">
        <f t="shared" si="31"/>
        <v>95.996036221939718</v>
      </c>
      <c r="AR75" s="9">
        <f t="shared" si="32"/>
        <v>18.137919493838094</v>
      </c>
      <c r="AS75" s="9">
        <f t="shared" si="33"/>
        <v>43.536267045584282</v>
      </c>
      <c r="AT75" s="9">
        <f t="shared" si="34"/>
        <v>88.184581094179563</v>
      </c>
    </row>
    <row r="76" spans="25:46" x14ac:dyDescent="0.25">
      <c r="Y76" s="9">
        <v>74</v>
      </c>
      <c r="Z76" s="9">
        <f t="shared" si="26"/>
        <v>94.775567132582992</v>
      </c>
      <c r="AA76" s="9" t="str">
        <f t="shared" si="35"/>
        <v>595.492450887058i</v>
      </c>
      <c r="AB76" s="9">
        <f>(Assumed_Efficiency/100)*Rout/'4. Current Sense Resistor'!$B$11</f>
        <v>135.14141414141415</v>
      </c>
      <c r="AD76" s="9" t="str">
        <f t="shared" si="22"/>
        <v>0.981118107035117-0.135180647783823i</v>
      </c>
      <c r="AE76" s="9" t="str">
        <f t="shared" si="27"/>
        <v>0.999985695644072-0.00796147225133089i</v>
      </c>
      <c r="AF76" s="9" t="str">
        <f t="shared" si="23"/>
        <v>18.401901786817-2.68490877516731i</v>
      </c>
      <c r="AG76" s="9">
        <f t="shared" si="18"/>
        <v>18.596739620229918</v>
      </c>
      <c r="AH76" s="9">
        <f t="shared" si="19"/>
        <v>-0.14488157006200444</v>
      </c>
      <c r="AI76" s="9">
        <f t="shared" si="20"/>
        <v>-8.3011024937817961</v>
      </c>
      <c r="AJ76" s="9">
        <f t="shared" si="21"/>
        <v>25.388736207950512</v>
      </c>
      <c r="AL76" s="9" t="str">
        <f t="shared" si="24"/>
        <v>0.00131032253285957-0.0118803161103482i</v>
      </c>
      <c r="AM76" s="9" t="str">
        <f t="shared" si="25"/>
        <v>0.999999972525044-0.000153436534694852i</v>
      </c>
      <c r="AN76" s="9" t="str">
        <f t="shared" si="28"/>
        <v>-0.831282113005495+7.54762246006393i</v>
      </c>
      <c r="AO76" s="9">
        <f t="shared" si="29"/>
        <v>7.5932624576702441</v>
      </c>
      <c r="AP76" s="9">
        <f t="shared" si="30"/>
        <v>1.6804924727228765</v>
      </c>
      <c r="AQ76" s="9">
        <f t="shared" si="31"/>
        <v>96.285126190524437</v>
      </c>
      <c r="AR76" s="9">
        <f t="shared" si="32"/>
        <v>17.608568226579788</v>
      </c>
      <c r="AS76" s="9">
        <f t="shared" si="33"/>
        <v>42.997304434530299</v>
      </c>
      <c r="AT76" s="9">
        <f t="shared" si="34"/>
        <v>87.984023696742639</v>
      </c>
    </row>
    <row r="77" spans="25:46" x14ac:dyDescent="0.25">
      <c r="Y77" s="9">
        <v>75</v>
      </c>
      <c r="Z77" s="9">
        <f t="shared" si="26"/>
        <v>100.78792527267464</v>
      </c>
      <c r="AA77" s="9" t="str">
        <f t="shared" si="35"/>
        <v>633.269211214383i</v>
      </c>
      <c r="AB77" s="9">
        <f>(Assumed_Efficiency/100)*Rout/'4. Current Sense Resistor'!$B$11</f>
        <v>135.14141414141415</v>
      </c>
      <c r="AD77" s="9" t="str">
        <f t="shared" si="22"/>
        <v>0.978699823383496-0.143397005731954i</v>
      </c>
      <c r="AE77" s="9" t="str">
        <f t="shared" si="27"/>
        <v>0.999983823209257-0.00846652750944557i</v>
      </c>
      <c r="AF77" s="9" t="str">
        <f t="shared" si="23"/>
        <v>18.3538719466962-2.84809927112441i</v>
      </c>
      <c r="AG77" s="9">
        <f t="shared" si="18"/>
        <v>18.573537220839253</v>
      </c>
      <c r="AH77" s="9">
        <f t="shared" si="19"/>
        <v>-0.1539491685828471</v>
      </c>
      <c r="AI77" s="9">
        <f t="shared" si="20"/>
        <v>-8.820637619345149</v>
      </c>
      <c r="AJ77" s="9">
        <f t="shared" si="21"/>
        <v>25.377892408885838</v>
      </c>
      <c r="AL77" s="9" t="str">
        <f t="shared" si="24"/>
        <v>0.00129396617111241-0.011171795975156i</v>
      </c>
      <c r="AM77" s="9" t="str">
        <f t="shared" si="25"/>
        <v>0.99999996892857-0.000163170217767012i</v>
      </c>
      <c r="AN77" s="9" t="str">
        <f t="shared" si="28"/>
        <v>-0.82089099096877+7.09751017997423i</v>
      </c>
      <c r="AO77" s="9">
        <f t="shared" si="29"/>
        <v>7.1448241947504556</v>
      </c>
      <c r="AP77" s="9">
        <f t="shared" si="30"/>
        <v>1.6859437117971938</v>
      </c>
      <c r="AQ77" s="9">
        <f t="shared" si="31"/>
        <v>96.597459182599621</v>
      </c>
      <c r="AR77" s="9">
        <f t="shared" si="32"/>
        <v>17.079830940526882</v>
      </c>
      <c r="AS77" s="9">
        <f t="shared" si="33"/>
        <v>42.457723349412717</v>
      </c>
      <c r="AT77" s="9">
        <f t="shared" si="34"/>
        <v>87.776821563254472</v>
      </c>
    </row>
    <row r="78" spans="25:46" x14ac:dyDescent="0.25">
      <c r="Y78" s="9">
        <v>76</v>
      </c>
      <c r="Z78" s="9">
        <f t="shared" si="26"/>
        <v>107.18169448207877</v>
      </c>
      <c r="AA78" s="9" t="str">
        <f t="shared" si="35"/>
        <v>673.442447968409i</v>
      </c>
      <c r="AB78" s="9">
        <f>(Assumed_Efficiency/100)*Rout/'4. Current Sense Resistor'!$B$11</f>
        <v>135.14141414141415</v>
      </c>
      <c r="AD78" s="9" t="str">
        <f t="shared" si="22"/>
        <v>0.975979507132652-0.152064094184889i</v>
      </c>
      <c r="AE78" s="9" t="str">
        <f t="shared" si="27"/>
        <v>0.99998170567435-0.00900362169418799i</v>
      </c>
      <c r="AF78" s="9" t="str">
        <f t="shared" si="23"/>
        <v>18.2998433983691-3.02024206094757i</v>
      </c>
      <c r="AG78" s="9">
        <f t="shared" si="18"/>
        <v>18.547402257770489</v>
      </c>
      <c r="AH78" s="9">
        <f t="shared" si="19"/>
        <v>-0.16356746852452128</v>
      </c>
      <c r="AI78" s="9">
        <f t="shared" si="20"/>
        <v>-9.3717256120940036</v>
      </c>
      <c r="AJ78" s="9">
        <f t="shared" si="21"/>
        <v>25.365661821750578</v>
      </c>
      <c r="AL78" s="9" t="str">
        <f t="shared" si="24"/>
        <v>0.00127950258843108-0.0105055107607961i</v>
      </c>
      <c r="AM78" s="9" t="str">
        <f t="shared" si="25"/>
        <v>0.999999964861318-0.000173521384619745i</v>
      </c>
      <c r="AN78" s="9" t="str">
        <f t="shared" si="28"/>
        <v>-0.811702342184418+6.67423000336684i</v>
      </c>
      <c r="AO78" s="9">
        <f t="shared" si="29"/>
        <v>6.7234073824326446</v>
      </c>
      <c r="AP78" s="9">
        <f t="shared" si="30"/>
        <v>1.6918193632130532</v>
      </c>
      <c r="AQ78" s="9">
        <f t="shared" si="31"/>
        <v>96.934109210618431</v>
      </c>
      <c r="AR78" s="9">
        <f t="shared" si="32"/>
        <v>16.551788533535216</v>
      </c>
      <c r="AS78" s="9">
        <f t="shared" si="33"/>
        <v>41.917450355285794</v>
      </c>
      <c r="AT78" s="9">
        <f t="shared" si="34"/>
        <v>87.562383598524434</v>
      </c>
    </row>
    <row r="79" spans="25:46" x14ac:dyDescent="0.25">
      <c r="Y79" s="9">
        <v>77</v>
      </c>
      <c r="Z79" s="9">
        <f t="shared" si="26"/>
        <v>113.98107065871142</v>
      </c>
      <c r="AA79" s="9" t="str">
        <f t="shared" si="35"/>
        <v>716.164188459414i</v>
      </c>
      <c r="AB79" s="9">
        <f>(Assumed_Efficiency/100)*Rout/'4. Current Sense Resistor'!$B$11</f>
        <v>135.14141414141415</v>
      </c>
      <c r="AD79" s="9" t="str">
        <f t="shared" si="22"/>
        <v>0.972921515290291-0.161197020240262i</v>
      </c>
      <c r="AE79" s="9" t="str">
        <f t="shared" si="27"/>
        <v>0.999979310956218-0.00957478714578708i</v>
      </c>
      <c r="AF79" s="9" t="str">
        <f t="shared" si="23"/>
        <v>18.2391082317308-3.20163720645587i</v>
      </c>
      <c r="AG79" s="9">
        <f t="shared" si="18"/>
        <v>18.517979098447888</v>
      </c>
      <c r="AH79" s="9">
        <f t="shared" si="19"/>
        <v>-0.17376660157559926</v>
      </c>
      <c r="AI79" s="9">
        <f t="shared" si="20"/>
        <v>-9.9560928906131583</v>
      </c>
      <c r="AJ79" s="9">
        <f t="shared" si="21"/>
        <v>25.35187179132274</v>
      </c>
      <c r="AL79" s="9" t="str">
        <f t="shared" si="24"/>
        <v>0.00126671279568533-0.00987894619669122i</v>
      </c>
      <c r="AM79" s="9" t="str">
        <f t="shared" si="25"/>
        <v>0.999999960261663-0.000184529207067914i</v>
      </c>
      <c r="AN79" s="9" t="str">
        <f t="shared" si="28"/>
        <v>-0.803577043846543+6.27618465505658i</v>
      </c>
      <c r="AO79" s="9">
        <f t="shared" si="29"/>
        <v>6.327418896340343</v>
      </c>
      <c r="AP79" s="9">
        <f t="shared" si="30"/>
        <v>1.6981394043761833</v>
      </c>
      <c r="AQ79" s="9">
        <f t="shared" si="31"/>
        <v>97.296220895614738</v>
      </c>
      <c r="AR79" s="9">
        <f t="shared" si="32"/>
        <v>16.024531743227438</v>
      </c>
      <c r="AS79" s="9">
        <f t="shared" si="33"/>
        <v>41.376403534550178</v>
      </c>
      <c r="AT79" s="9">
        <f t="shared" si="34"/>
        <v>87.340128005001574</v>
      </c>
    </row>
    <row r="80" spans="25:46" x14ac:dyDescent="0.25">
      <c r="Y80" s="9">
        <v>78</v>
      </c>
      <c r="Z80" s="9">
        <f t="shared" si="26"/>
        <v>121.21178463621371</v>
      </c>
      <c r="AA80" s="9" t="str">
        <f t="shared" si="35"/>
        <v>761.596104283274i</v>
      </c>
      <c r="AB80" s="9">
        <f>(Assumed_Efficiency/100)*Rout/'4. Current Sense Resistor'!$B$11</f>
        <v>135.14141414141415</v>
      </c>
      <c r="AD80" s="9" t="str">
        <f t="shared" si="22"/>
        <v>0.96948655764369-0.170809390613254i</v>
      </c>
      <c r="AE80" s="9" t="str">
        <f t="shared" si="27"/>
        <v>0.999976602772179-0.0101821851033208i</v>
      </c>
      <c r="AF80" s="9" t="str">
        <f t="shared" si="23"/>
        <v>18.1708860987386-3.39255497134875i</v>
      </c>
      <c r="AG80" s="9">
        <f t="shared" si="18"/>
        <v>18.484873027612462</v>
      </c>
      <c r="AH80" s="9">
        <f t="shared" si="19"/>
        <v>-0.18457769546906203</v>
      </c>
      <c r="AI80" s="9">
        <f t="shared" si="20"/>
        <v>-10.575522942628233</v>
      </c>
      <c r="AJ80" s="9">
        <f t="shared" si="21"/>
        <v>25.336329435107963</v>
      </c>
      <c r="AL80" s="9" t="str">
        <f t="shared" si="24"/>
        <v>0.00125540313019938-0.00928973712282847i</v>
      </c>
      <c r="AM80" s="9" t="str">
        <f t="shared" si="25"/>
        <v>0.999999955059913-0.000196235341896368i</v>
      </c>
      <c r="AN80" s="9" t="str">
        <f t="shared" si="28"/>
        <v>-0.796392062920183+5.9018715909377i</v>
      </c>
      <c r="AO80" s="9">
        <f t="shared" si="29"/>
        <v>5.9553613319260288</v>
      </c>
      <c r="AP80" s="9">
        <f t="shared" si="30"/>
        <v>1.7049250482932772</v>
      </c>
      <c r="AQ80" s="9">
        <f t="shared" si="31"/>
        <v>97.685009653342831</v>
      </c>
      <c r="AR80" s="9">
        <f t="shared" si="32"/>
        <v>15.498162334683043</v>
      </c>
      <c r="AS80" s="9">
        <f t="shared" si="33"/>
        <v>40.834491769791008</v>
      </c>
      <c r="AT80" s="9">
        <f t="shared" si="34"/>
        <v>87.109486710714606</v>
      </c>
    </row>
    <row r="81" spans="25:46" x14ac:dyDescent="0.25">
      <c r="Y81" s="9">
        <v>79</v>
      </c>
      <c r="Z81" s="9">
        <f t="shared" si="26"/>
        <v>128.90119955697148</v>
      </c>
      <c r="AA81" s="9" t="str">
        <f t="shared" si="35"/>
        <v>809.910123134187i</v>
      </c>
      <c r="AB81" s="9">
        <f>(Assumed_Efficiency/100)*Rout/'4. Current Sense Resistor'!$B$11</f>
        <v>135.14141414141415</v>
      </c>
      <c r="AD81" s="9" t="str">
        <f t="shared" si="22"/>
        <v>0.965631474970701-0.180912809880102i</v>
      </c>
      <c r="AE81" s="9" t="str">
        <f t="shared" si="27"/>
        <v>0.999973540090322-0.010828113876018i</v>
      </c>
      <c r="AF81" s="9" t="str">
        <f t="shared" si="23"/>
        <v>18.0943198084259-3.59322585583638i</v>
      </c>
      <c r="AG81" s="9">
        <f t="shared" si="18"/>
        <v>18.44764704184913</v>
      </c>
      <c r="AH81" s="9">
        <f t="shared" si="19"/>
        <v>-0.19603277147468426</v>
      </c>
      <c r="AI81" s="9">
        <f t="shared" si="20"/>
        <v>-11.231850451751964</v>
      </c>
      <c r="AJ81" s="9">
        <f t="shared" si="21"/>
        <v>25.318819613795995</v>
      </c>
      <c r="AL81" s="9" t="str">
        <f t="shared" si="24"/>
        <v>0.00124540232887857-0.00873565874206761i</v>
      </c>
      <c r="AM81" s="9" t="str">
        <f t="shared" si="25"/>
        <v>0.999999949177253-0.000208684088499939i</v>
      </c>
      <c r="AN81" s="9" t="str">
        <f t="shared" si="28"/>
        <v>-0.790038596711711+5.54987744073355i</v>
      </c>
      <c r="AO81" s="9">
        <f t="shared" si="29"/>
        <v>5.6058273779574579</v>
      </c>
      <c r="AP81" s="9">
        <f t="shared" si="30"/>
        <v>1.7121987379221977</v>
      </c>
      <c r="AQ81" s="9">
        <f t="shared" si="31"/>
        <v>98.10176137056807</v>
      </c>
      <c r="AR81" s="9">
        <f t="shared" si="32"/>
        <v>14.972794405214604</v>
      </c>
      <c r="AS81" s="9">
        <f t="shared" si="33"/>
        <v>40.291614019010595</v>
      </c>
      <c r="AT81" s="9">
        <f t="shared" si="34"/>
        <v>86.869910918816103</v>
      </c>
    </row>
    <row r="82" spans="25:46" x14ac:dyDescent="0.25">
      <c r="Y82" s="9">
        <v>80</v>
      </c>
      <c r="Z82" s="9">
        <f t="shared" si="26"/>
        <v>137.07841442227294</v>
      </c>
      <c r="AA82" s="9" t="str">
        <f t="shared" si="35"/>
        <v>861.2890794295i</v>
      </c>
      <c r="AB82" s="9">
        <f>(Assumed_Efficiency/100)*Rout/'4. Current Sense Resistor'!$B$11</f>
        <v>135.14141414141415</v>
      </c>
      <c r="AD82" s="9" t="str">
        <f t="shared" si="22"/>
        <v>0.96130904782656-0.191516293965321i</v>
      </c>
      <c r="AE82" s="9" t="str">
        <f t="shared" si="27"/>
        <v>0.999970076507872-0.0115150175317622i</v>
      </c>
      <c r="AF82" s="9" t="str">
        <f t="shared" si="23"/>
        <v>18.0084715291829-3.80382894792062i</v>
      </c>
      <c r="AG82" s="9">
        <f t="shared" si="18"/>
        <v>18.405818685470905</v>
      </c>
      <c r="AH82" s="9">
        <f t="shared" si="19"/>
        <v>-0.2081646084040209</v>
      </c>
      <c r="AI82" s="9">
        <f t="shared" si="20"/>
        <v>-11.926953505543906</v>
      </c>
      <c r="AJ82" s="9">
        <f t="shared" si="21"/>
        <v>25.299102790095343</v>
      </c>
      <c r="AL82" s="9" t="str">
        <f t="shared" si="24"/>
        <v>0.0012365589391084-0.0082146183694854i</v>
      </c>
      <c r="AM82" s="9" t="str">
        <f t="shared" si="25"/>
        <v>0.999999942524553-0.000221922556523551i</v>
      </c>
      <c r="AN82" s="9" t="str">
        <f t="shared" si="28"/>
        <v>-0.784420428024339+5.21887276651824i</v>
      </c>
      <c r="AO82" s="9">
        <f t="shared" si="29"/>
        <v>5.2774945154881632</v>
      </c>
      <c r="AP82" s="9">
        <f t="shared" si="30"/>
        <v>1.7199841292394435</v>
      </c>
      <c r="AQ82" s="9">
        <f t="shared" si="31"/>
        <v>98.54783143490404</v>
      </c>
      <c r="AR82" s="9">
        <f t="shared" si="32"/>
        <v>14.448555812992403</v>
      </c>
      <c r="AS82" s="9">
        <f t="shared" si="33"/>
        <v>39.747658603087743</v>
      </c>
      <c r="AT82" s="9">
        <f t="shared" si="34"/>
        <v>86.620877929360134</v>
      </c>
    </row>
    <row r="83" spans="25:46" x14ac:dyDescent="0.25">
      <c r="Y83" s="9">
        <v>81</v>
      </c>
      <c r="Z83" s="9">
        <f t="shared" si="26"/>
        <v>145.77437421146283</v>
      </c>
      <c r="AA83" s="9" t="str">
        <f t="shared" si="35"/>
        <v>915.927406208762i</v>
      </c>
      <c r="AB83" s="9">
        <f>(Assumed_Efficiency/100)*Rout/'4. Current Sense Resistor'!$B$11</f>
        <v>135.14141414141415</v>
      </c>
      <c r="AD83" s="9" t="str">
        <f t="shared" si="22"/>
        <v>0.956467851904664-0.202625591641867i</v>
      </c>
      <c r="AE83" s="9" t="str">
        <f t="shared" si="27"/>
        <v>0.999966159548213-0.0122454951353709i</v>
      </c>
      <c r="AF83" s="9" t="str">
        <f t="shared" si="23"/>
        <v>17.9123199160471-4.02447844771538i</v>
      </c>
      <c r="AG83" s="9">
        <f t="shared" si="18"/>
        <v>18.35885703280417</v>
      </c>
      <c r="AH83" s="9">
        <f t="shared" si="19"/>
        <v>-0.22100656763740792</v>
      </c>
      <c r="AI83" s="9">
        <f t="shared" si="20"/>
        <v>-12.662743570296039</v>
      </c>
      <c r="AJ83" s="9">
        <f t="shared" si="21"/>
        <v>25.276912796784291</v>
      </c>
      <c r="AL83" s="9" t="str">
        <f t="shared" si="24"/>
        <v>0.0012287390285496-0.00772464765328028i</v>
      </c>
      <c r="AM83" s="9" t="str">
        <f t="shared" si="25"/>
        <v>0.999999935001014-0.000236000844136764i</v>
      </c>
      <c r="AN83" s="9" t="str">
        <f t="shared" si="28"/>
        <v>-0.779452470200738+4.90760712082629i</v>
      </c>
      <c r="AO83" s="9">
        <f t="shared" si="29"/>
        <v>4.9691200232724233</v>
      </c>
      <c r="AP83" s="9">
        <f t="shared" si="30"/>
        <v>1.7283060602461815</v>
      </c>
      <c r="AQ83" s="9">
        <f t="shared" si="31"/>
        <v>99.02464295898919</v>
      </c>
      <c r="AR83" s="9">
        <f t="shared" si="32"/>
        <v>13.925589734932364</v>
      </c>
      <c r="AS83" s="9">
        <f t="shared" si="33"/>
        <v>39.202502531716654</v>
      </c>
      <c r="AT83" s="9">
        <f t="shared" si="34"/>
        <v>86.361899388693146</v>
      </c>
    </row>
    <row r="84" spans="25:46" x14ac:dyDescent="0.25">
      <c r="Y84" s="9">
        <v>82</v>
      </c>
      <c r="Z84" s="9">
        <f t="shared" si="26"/>
        <v>155.02198698682062</v>
      </c>
      <c r="AA84" s="9" t="str">
        <f t="shared" si="35"/>
        <v>974.031870925376i</v>
      </c>
      <c r="AB84" s="9">
        <f>(Assumed_Efficiency/100)*Rout/'4. Current Sense Resistor'!$B$11</f>
        <v>135.14141414141415</v>
      </c>
      <c r="AD84" s="9" t="str">
        <f t="shared" si="22"/>
        <v>0.95105217968096-0.214242408352798i</v>
      </c>
      <c r="AE84" s="9" t="str">
        <f t="shared" si="27"/>
        <v>0.9999617298659-0.0130223105712424i</v>
      </c>
      <c r="AF84" s="9" t="str">
        <f t="shared" si="23"/>
        <v>17.804758554458-4.25520825176863i</v>
      </c>
      <c r="AG84" s="9">
        <f t="shared" si="18"/>
        <v>18.306179952367597</v>
      </c>
      <c r="AH84" s="9">
        <f t="shared" si="19"/>
        <v>-0.23459237327657584</v>
      </c>
      <c r="AI84" s="9">
        <f t="shared" si="20"/>
        <v>-13.441152894705395</v>
      </c>
      <c r="AJ84" s="9">
        <f t="shared" si="21"/>
        <v>25.251954544478323</v>
      </c>
      <c r="AL84" s="9" t="str">
        <f t="shared" si="24"/>
        <v>0.00122182415940408-0.00726389524257457i</v>
      </c>
      <c r="AM84" s="9" t="str">
        <f t="shared" si="25"/>
        <v>0.999999926492644-0.000250972227617346i</v>
      </c>
      <c r="AN84" s="9" t="str">
        <f t="shared" si="28"/>
        <v>-0.775059480182631+4.61490438868256i</v>
      </c>
      <c r="AO84" s="9">
        <f t="shared" si="29"/>
        <v>4.6795362713096393</v>
      </c>
      <c r="AP84" s="9">
        <f t="shared" si="30"/>
        <v>1.7371905026989372</v>
      </c>
      <c r="AQ84" s="9">
        <f t="shared" si="31"/>
        <v>99.533684014858935</v>
      </c>
      <c r="AR84" s="9">
        <f t="shared" si="32"/>
        <v>13.404056357252481</v>
      </c>
      <c r="AS84" s="9">
        <f t="shared" si="33"/>
        <v>38.656010901730802</v>
      </c>
      <c r="AT84" s="9">
        <f t="shared" si="34"/>
        <v>86.092531120153538</v>
      </c>
    </row>
    <row r="85" spans="25:46" x14ac:dyDescent="0.25">
      <c r="Y85" s="9">
        <v>83</v>
      </c>
      <c r="Z85" s="9">
        <f t="shared" si="26"/>
        <v>164.85624842731968</v>
      </c>
      <c r="AA85" s="9" t="str">
        <f t="shared" si="35"/>
        <v>1035.82235791528i</v>
      </c>
      <c r="AB85" s="9">
        <f>(Assumed_Efficiency/100)*Rout/'4. Current Sense Resistor'!$B$11</f>
        <v>135.14141414141415</v>
      </c>
      <c r="AD85" s="9" t="str">
        <f t="shared" si="22"/>
        <v>0.945002052115236-0.226363529193626i</v>
      </c>
      <c r="AE85" s="9" t="str">
        <f t="shared" si="27"/>
        <v>0.999956720347625-0.0138484029870977i</v>
      </c>
      <c r="AF85" s="9" t="str">
        <f t="shared" si="23"/>
        <v>17.6845961926402-4.49595453460879i</v>
      </c>
      <c r="AG85" s="9">
        <f t="shared" si="18"/>
        <v>18.247151823613834</v>
      </c>
      <c r="AH85" s="9">
        <f t="shared" si="19"/>
        <v>-0.24895584124611911</v>
      </c>
      <c r="AI85" s="9">
        <f t="shared" si="20"/>
        <v>-14.264118988531566</v>
      </c>
      <c r="AJ85" s="9">
        <f t="shared" si="21"/>
        <v>25.223901711389814</v>
      </c>
      <c r="AL85" s="9" t="str">
        <f t="shared" si="24"/>
        <v>0.00121570959667429-0.0068306198783436i</v>
      </c>
      <c r="AM85" s="9" t="str">
        <f t="shared" si="25"/>
        <v>0.999999916870527-0.000266893362961206i</v>
      </c>
      <c r="AN85" s="9" t="str">
        <f t="shared" si="28"/>
        <v>-0.77117492022515+4.33965839845156i</v>
      </c>
      <c r="AO85" s="9">
        <f t="shared" si="29"/>
        <v>4.4076462849048381</v>
      </c>
      <c r="AP85" s="9">
        <f t="shared" si="30"/>
        <v>1.7466644928794994</v>
      </c>
      <c r="AQ85" s="9">
        <f t="shared" si="31"/>
        <v>100.07650366735355</v>
      </c>
      <c r="AR85" s="9">
        <f t="shared" si="32"/>
        <v>12.884134699280569</v>
      </c>
      <c r="AS85" s="9">
        <f t="shared" si="33"/>
        <v>38.10803641067038</v>
      </c>
      <c r="AT85" s="9">
        <f t="shared" si="34"/>
        <v>85.812384678821985</v>
      </c>
    </row>
    <row r="86" spans="25:46" x14ac:dyDescent="0.25">
      <c r="Y86" s="9">
        <v>84</v>
      </c>
      <c r="Z86" s="9">
        <f t="shared" si="26"/>
        <v>175.3143742625403</v>
      </c>
      <c r="AA86" s="9" t="str">
        <f t="shared" si="35"/>
        <v>1101.53270050378i</v>
      </c>
      <c r="AB86" s="9">
        <f>(Assumed_Efficiency/100)*Rout/'4. Current Sense Resistor'!$B$11</f>
        <v>135.14141414141415</v>
      </c>
      <c r="AD86" s="9" t="str">
        <f t="shared" si="22"/>
        <v>0.938253348443717-0.238979841687395i</v>
      </c>
      <c r="AE86" s="9" t="str">
        <f t="shared" si="27"/>
        <v>0.999951055095534-0.0147268978978103i</v>
      </c>
      <c r="AF86" s="9" t="str">
        <f t="shared" si="23"/>
        <v>17.5505593194086-4.74653634006928i</v>
      </c>
      <c r="AG86" s="9">
        <f t="shared" si="18"/>
        <v>18.181081916422862</v>
      </c>
      <c r="AH86" s="9">
        <f t="shared" si="19"/>
        <v>-0.26413055108250416</v>
      </c>
      <c r="AI86" s="9">
        <f t="shared" si="20"/>
        <v>-15.133565817492086</v>
      </c>
      <c r="AJ86" s="9">
        <f t="shared" si="21"/>
        <v>25.192394471395069</v>
      </c>
      <c r="AL86" s="9" t="str">
        <f t="shared" si="24"/>
        <v>0.00121030272343672-0.00642318388463152i</v>
      </c>
      <c r="AM86" s="9" t="str">
        <f t="shared" si="25"/>
        <v>0.999999905988876-0.000283824500281538i</v>
      </c>
      <c r="AN86" s="9" t="str">
        <f t="shared" si="28"/>
        <v>-0.767739951126124+4.08082878699657i</v>
      </c>
      <c r="AO86" s="9">
        <f t="shared" si="29"/>
        <v>4.1524195622955826</v>
      </c>
      <c r="AP86" s="9">
        <f t="shared" si="30"/>
        <v>1.7567560372194932</v>
      </c>
      <c r="AQ86" s="9">
        <f t="shared" si="31"/>
        <v>100.65470656680434</v>
      </c>
      <c r="AR86" s="9">
        <f t="shared" si="32"/>
        <v>12.366024567251214</v>
      </c>
      <c r="AS86" s="9">
        <f t="shared" si="33"/>
        <v>37.558419038646285</v>
      </c>
      <c r="AT86" s="9">
        <f t="shared" si="34"/>
        <v>85.521140749312252</v>
      </c>
    </row>
    <row r="87" spans="25:46" x14ac:dyDescent="0.25">
      <c r="Y87" s="9">
        <v>85</v>
      </c>
      <c r="Z87" s="9">
        <f t="shared" si="26"/>
        <v>186.43594110790573</v>
      </c>
      <c r="AA87" s="9" t="str">
        <f t="shared" si="35"/>
        <v>1171.41156589939i</v>
      </c>
      <c r="AB87" s="9">
        <f>(Assumed_Efficiency/100)*Rout/'4. Current Sense Resistor'!$B$11</f>
        <v>135.14141414141415</v>
      </c>
      <c r="AD87" s="9" t="str">
        <f t="shared" si="22"/>
        <v>0.930738086299108-0.252075264328009i</v>
      </c>
      <c r="AE87" s="9" t="str">
        <f t="shared" si="27"/>
        <v>0.999944648277502-0.0156611189906976i</v>
      </c>
      <c r="AF87" s="9" t="str">
        <f t="shared" si="23"/>
        <v>17.4012977276418-5.0066343010717i</v>
      </c>
      <c r="AG87" s="9">
        <f t="shared" si="18"/>
        <v>18.107223686437948</v>
      </c>
      <c r="AH87" s="9">
        <f t="shared" si="19"/>
        <v>-0.280149454347914</v>
      </c>
      <c r="AI87" s="9">
        <f t="shared" si="20"/>
        <v>-16.051381367028402</v>
      </c>
      <c r="AJ87" s="9">
        <f t="shared" si="21"/>
        <v>25.157037333071941</v>
      </c>
      <c r="AL87" s="9" t="str">
        <f t="shared" si="24"/>
        <v>0.00120552163925021-0.00604004703817294i</v>
      </c>
      <c r="AM87" s="9" t="str">
        <f t="shared" si="25"/>
        <v>0.999999893682816-0.000301829711808395i</v>
      </c>
      <c r="AN87" s="9" t="str">
        <f t="shared" si="28"/>
        <v>-0.764702541799859+3.83743710524823i</v>
      </c>
      <c r="AO87" s="9">
        <f t="shared" si="29"/>
        <v>3.9128881295241604</v>
      </c>
      <c r="AP87" s="9">
        <f t="shared" si="30"/>
        <v>1.7674939880829585</v>
      </c>
      <c r="AQ87" s="9">
        <f t="shared" si="31"/>
        <v>101.26994583189975</v>
      </c>
      <c r="AR87" s="9">
        <f t="shared" si="32"/>
        <v>11.849948629749543</v>
      </c>
      <c r="AS87" s="9">
        <f t="shared" si="33"/>
        <v>37.006985962821481</v>
      </c>
      <c r="AT87" s="9">
        <f t="shared" si="34"/>
        <v>85.218564464871349</v>
      </c>
    </row>
    <row r="88" spans="25:46" x14ac:dyDescent="0.25">
      <c r="Y88" s="9">
        <v>86</v>
      </c>
      <c r="Z88" s="9">
        <f t="shared" si="26"/>
        <v>198.26303623420247</v>
      </c>
      <c r="AA88" s="9" t="str">
        <f t="shared" si="35"/>
        <v>1245.72339622355i</v>
      </c>
      <c r="AB88" s="9">
        <f>(Assumed_Efficiency/100)*Rout/'4. Current Sense Resistor'!$B$11</f>
        <v>135.14141414141415</v>
      </c>
      <c r="AD88" s="9" t="str">
        <f t="shared" si="22"/>
        <v>0.922384888148814-0.265625594041636i</v>
      </c>
      <c r="AE88" s="9" t="str">
        <f t="shared" si="27"/>
        <v>0.999937402826931-0.0166546006761845i</v>
      </c>
      <c r="AF88" s="9" t="str">
        <f t="shared" si="23"/>
        <v>17.2353937782379-5.27576774903843i</v>
      </c>
      <c r="AG88" s="9">
        <f t="shared" si="18"/>
        <v>18.024775283834074</v>
      </c>
      <c r="AH88" s="9">
        <f t="shared" si="19"/>
        <v>-0.29704441419384792</v>
      </c>
      <c r="AI88" s="9">
        <f t="shared" si="20"/>
        <v>-17.01939126124341</v>
      </c>
      <c r="AJ88" s="9">
        <f t="shared" si="21"/>
        <v>25.117397180895402</v>
      </c>
      <c r="AL88" s="9" t="str">
        <f t="shared" si="24"/>
        <v>0.00120129392056579-0.00567976079550699i</v>
      </c>
      <c r="AM88" s="9" t="str">
        <f t="shared" si="25"/>
        <v>0.999999879765892-0.000320977134351366i</v>
      </c>
      <c r="AN88" s="9" t="str">
        <f t="shared" si="28"/>
        <v>-0.762016681769513+3.60856315089709i</v>
      </c>
      <c r="AO88" s="9">
        <f t="shared" si="29"/>
        <v>3.6881428168262889</v>
      </c>
      <c r="AP88" s="9">
        <f t="shared" si="30"/>
        <v>1.7789078845073181</v>
      </c>
      <c r="AQ88" s="9">
        <f t="shared" si="31"/>
        <v>101.92391392481503</v>
      </c>
      <c r="AR88" s="9">
        <f t="shared" si="32"/>
        <v>11.336154599902272</v>
      </c>
      <c r="AS88" s="9">
        <f t="shared" si="33"/>
        <v>36.453551780797675</v>
      </c>
      <c r="AT88" s="9">
        <f t="shared" si="34"/>
        <v>84.904522663571612</v>
      </c>
    </row>
    <row r="89" spans="25:46" x14ac:dyDescent="0.25">
      <c r="Y89" s="9">
        <v>87</v>
      </c>
      <c r="Z89" s="9">
        <f t="shared" si="26"/>
        <v>210.84041683815525</v>
      </c>
      <c r="AA89" s="9" t="str">
        <f t="shared" si="35"/>
        <v>1324.74940923712i</v>
      </c>
      <c r="AB89" s="9">
        <f>(Assumed_Efficiency/100)*Rout/'4. Current Sense Resistor'!$B$11</f>
        <v>135.14141414141415</v>
      </c>
      <c r="AD89" s="9" t="str">
        <f t="shared" si="22"/>
        <v>0.913119672804331-0.279597294951497i</v>
      </c>
      <c r="AE89" s="9" t="str">
        <f t="shared" si="27"/>
        <v>0.999929208972443-0.0177111014304032i</v>
      </c>
      <c r="AF89" s="9" t="str">
        <f t="shared" si="23"/>
        <v>17.0513761342322-5.55327065753213i</v>
      </c>
      <c r="AG89" s="9">
        <f t="shared" si="18"/>
        <v>17.932881616373617</v>
      </c>
      <c r="AH89" s="9">
        <f t="shared" si="19"/>
        <v>-0.31484567169731209</v>
      </c>
      <c r="AI89" s="9">
        <f t="shared" si="20"/>
        <v>-18.039328186217496</v>
      </c>
      <c r="AJ89" s="9">
        <f t="shared" si="21"/>
        <v>25.073001630101341</v>
      </c>
      <c r="AL89" s="9" t="str">
        <f t="shared" si="24"/>
        <v>0.00119755552443686-0.00534096285764181i</v>
      </c>
      <c r="AM89" s="9" t="str">
        <f t="shared" si="25"/>
        <v>0.999999864027243-0.000341339227142702i</v>
      </c>
      <c r="AN89" s="9" t="str">
        <f t="shared" si="28"/>
        <v>-0.759641684697259+3.39334151554178i</v>
      </c>
      <c r="AO89" s="9">
        <f t="shared" si="29"/>
        <v>3.4773297413718294</v>
      </c>
      <c r="AP89" s="9">
        <f t="shared" si="30"/>
        <v>1.7910277522411289</v>
      </c>
      <c r="AQ89" s="9">
        <f t="shared" si="31"/>
        <v>102.61833119421915</v>
      </c>
      <c r="AR89" s="9">
        <f t="shared" si="32"/>
        <v>10.824917501144327</v>
      </c>
      <c r="AS89" s="9">
        <f t="shared" si="33"/>
        <v>35.897919131245672</v>
      </c>
      <c r="AT89" s="9">
        <f t="shared" si="34"/>
        <v>84.579003008001649</v>
      </c>
    </row>
    <row r="90" spans="25:46" x14ac:dyDescent="0.25">
      <c r="Y90" s="9">
        <v>88</v>
      </c>
      <c r="Z90" s="9">
        <f t="shared" si="26"/>
        <v>224.21567941678887</v>
      </c>
      <c r="AA90" s="9" t="str">
        <f t="shared" si="35"/>
        <v>1408.78866255086i</v>
      </c>
      <c r="AB90" s="9">
        <f>(Assumed_Efficiency/100)*Rout/'4. Current Sense Resistor'!$B$11</f>
        <v>135.14141414141415</v>
      </c>
      <c r="AD90" s="9" t="str">
        <f t="shared" si="22"/>
        <v>0.902866611802196-0.293946262248472i</v>
      </c>
      <c r="AE90" s="9" t="str">
        <f t="shared" si="27"/>
        <v>0.999919942575159-0.0188346179791088i</v>
      </c>
      <c r="AF90" s="9" t="str">
        <f t="shared" si="23"/>
        <v>16.8477387555533-5.83826709147646i</v>
      </c>
      <c r="AG90" s="9">
        <f t="shared" si="18"/>
        <v>17.830638345465644</v>
      </c>
      <c r="AH90" s="9">
        <f t="shared" si="19"/>
        <v>-0.3335812363341687</v>
      </c>
      <c r="AI90" s="9">
        <f t="shared" si="20"/>
        <v>-19.112796966703936</v>
      </c>
      <c r="AJ90" s="9">
        <f t="shared" si="21"/>
        <v>25.02333782811812</v>
      </c>
      <c r="AL90" s="9" t="str">
        <f t="shared" si="24"/>
        <v>0.00119424981898235-0.00502237205328055i</v>
      </c>
      <c r="AM90" s="9" t="str">
        <f t="shared" si="25"/>
        <v>0.999999846228404-0.00036299304603643i</v>
      </c>
      <c r="AN90" s="9" t="str">
        <f t="shared" si="28"/>
        <v>-0.757541572439739+3.19095833422992i</v>
      </c>
      <c r="AO90" s="9">
        <f t="shared" si="29"/>
        <v>3.2796469817292624</v>
      </c>
      <c r="AP90" s="9">
        <f t="shared" si="30"/>
        <v>1.8038838570404006</v>
      </c>
      <c r="AQ90" s="9">
        <f t="shared" si="31"/>
        <v>103.35493174019531</v>
      </c>
      <c r="AR90" s="9">
        <f t="shared" si="32"/>
        <v>10.316541983148328</v>
      </c>
      <c r="AS90" s="9">
        <f t="shared" si="33"/>
        <v>35.339879811266449</v>
      </c>
      <c r="AT90" s="9">
        <f t="shared" si="34"/>
        <v>84.242134773491372</v>
      </c>
    </row>
    <row r="91" spans="25:46" x14ac:dyDescent="0.25">
      <c r="Y91" s="9">
        <v>89</v>
      </c>
      <c r="Z91" s="9">
        <f t="shared" si="26"/>
        <v>238.43943988652958</v>
      </c>
      <c r="AA91" s="9" t="str">
        <f t="shared" si="35"/>
        <v>1498.15918534717i</v>
      </c>
      <c r="AB91" s="9">
        <f>(Assumed_Efficiency/100)*Rout/'4. Current Sense Resistor'!$B$11</f>
        <v>135.14141414141415</v>
      </c>
      <c r="AD91" s="9" t="str">
        <f t="shared" si="22"/>
        <v>0.891549388887921-0.308616608497237i</v>
      </c>
      <c r="AE91" s="9" t="str">
        <f t="shared" si="27"/>
        <v>0.999909463248435-0.0200294003752469i</v>
      </c>
      <c r="AF91" s="9" t="str">
        <f t="shared" si="23"/>
        <v>16.6229659137384-6.12964710197925i</v>
      </c>
      <c r="AG91" s="9">
        <f t="shared" si="18"/>
        <v>17.717098220761528</v>
      </c>
      <c r="AH91" s="9">
        <f t="shared" si="19"/>
        <v>-0.35327620047422859</v>
      </c>
      <c r="AI91" s="9">
        <f t="shared" si="20"/>
        <v>-20.241235289590868</v>
      </c>
      <c r="AJ91" s="9">
        <f t="shared" si="21"/>
        <v>24.967851856767936</v>
      </c>
      <c r="AL91" s="9" t="str">
        <f t="shared" si="24"/>
        <v>0.00119132672596202-0.00472278352256252i</v>
      </c>
      <c r="AM91" s="9" t="str">
        <f t="shared" si="25"/>
        <v>0.999999826099697-0.000386020535100853i</v>
      </c>
      <c r="AN91" s="9" t="str">
        <f t="shared" si="28"/>
        <v>-0.755684530327522+3.00064822592777i</v>
      </c>
      <c r="AO91" s="9">
        <f t="shared" si="29"/>
        <v>3.0943414299556213</v>
      </c>
      <c r="AP91" s="9">
        <f t="shared" si="30"/>
        <v>1.8175064049519509</v>
      </c>
      <c r="AQ91" s="9">
        <f t="shared" si="31"/>
        <v>104.13544624174189</v>
      </c>
      <c r="AR91" s="9">
        <f t="shared" si="32"/>
        <v>9.8113646421131495</v>
      </c>
      <c r="AS91" s="9">
        <f t="shared" si="33"/>
        <v>34.779216498881084</v>
      </c>
      <c r="AT91" s="9">
        <f t="shared" si="34"/>
        <v>83.894210952151013</v>
      </c>
    </row>
    <row r="92" spans="25:46" x14ac:dyDescent="0.25">
      <c r="Y92" s="9">
        <v>90</v>
      </c>
      <c r="Z92" s="9">
        <f t="shared" si="26"/>
        <v>253.56552512868072</v>
      </c>
      <c r="AA92" s="9" t="str">
        <f t="shared" si="35"/>
        <v>1593.1991818958i</v>
      </c>
      <c r="AB92" s="9">
        <f>(Assumed_Efficiency/100)*Rout/'4. Current Sense Resistor'!$B$11</f>
        <v>135.14141414141415</v>
      </c>
      <c r="AD92" s="9" t="str">
        <f t="shared" si="22"/>
        <v>0.879092795594464-0.323539534981029i</v>
      </c>
      <c r="AE92" s="9" t="str">
        <f t="shared" si="27"/>
        <v>0.999897612231593-0.0212999680256199i</v>
      </c>
      <c r="AF92" s="9" t="str">
        <f t="shared" si="23"/>
        <v>16.3755638818552-6.42604431012568i</v>
      </c>
      <c r="AG92" s="9">
        <f t="shared" si="18"/>
        <v>17.591280167299342</v>
      </c>
      <c r="AH92" s="9">
        <f t="shared" si="19"/>
        <v>-0.37395198120326983</v>
      </c>
      <c r="AI92" s="9">
        <f t="shared" si="20"/>
        <v>-21.425870263502851</v>
      </c>
      <c r="AJ92" s="9">
        <f t="shared" si="21"/>
        <v>24.905948908948865</v>
      </c>
      <c r="AL92" s="9" t="str">
        <f t="shared" si="24"/>
        <v>0.00118874196251122-0.0044410641841866i</v>
      </c>
      <c r="AM92" s="9" t="str">
        <f t="shared" si="25"/>
        <v>0.999999803336142-0.00041050883670756i</v>
      </c>
      <c r="AN92" s="9" t="str">
        <f t="shared" si="28"/>
        <v>-0.754042425439751+2.82169141403503i</v>
      </c>
      <c r="AO92" s="9">
        <f t="shared" si="29"/>
        <v>2.9207058077461467</v>
      </c>
      <c r="AP92" s="9">
        <f t="shared" si="30"/>
        <v>1.8319251832977459</v>
      </c>
      <c r="AQ92" s="9">
        <f t="shared" si="31"/>
        <v>104.96158138669057</v>
      </c>
      <c r="AR92" s="9">
        <f t="shared" si="32"/>
        <v>9.3097562849214484</v>
      </c>
      <c r="AS92" s="9">
        <f t="shared" si="33"/>
        <v>34.215705193870313</v>
      </c>
      <c r="AT92" s="9">
        <f t="shared" si="34"/>
        <v>83.535711123187724</v>
      </c>
    </row>
    <row r="93" spans="25:46" x14ac:dyDescent="0.25">
      <c r="Y93" s="9">
        <v>91</v>
      </c>
      <c r="Z93" s="9">
        <f t="shared" si="26"/>
        <v>269.65117668612646</v>
      </c>
      <c r="AA93" s="9" t="str">
        <f t="shared" si="35"/>
        <v>1694.26831141796i</v>
      </c>
      <c r="AB93" s="9">
        <f>(Assumed_Efficiency/100)*Rout/'4. Current Sense Resistor'!$B$11</f>
        <v>135.14141414141415</v>
      </c>
      <c r="AD93" s="9" t="str">
        <f t="shared" si="22"/>
        <v>0.865424685859595-0.338632366937631i</v>
      </c>
      <c r="AE93" s="9" t="str">
        <f t="shared" si="27"/>
        <v>0.999884209985482-0.0226511267253622i</v>
      </c>
      <c r="AF93" s="9" t="str">
        <f t="shared" si="23"/>
        <v>16.1040997553292-6.72581674584232i</v>
      </c>
      <c r="AG93" s="9">
        <f t="shared" si="18"/>
        <v>17.452181520607876</v>
      </c>
      <c r="AH93" s="9">
        <f t="shared" si="19"/>
        <v>-0.39562549718565487</v>
      </c>
      <c r="AI93" s="9">
        <f t="shared" si="20"/>
        <v>-22.667671256502853</v>
      </c>
      <c r="AJ93" s="9">
        <f t="shared" si="21"/>
        <v>24.836994428936467</v>
      </c>
      <c r="AL93" s="9" t="str">
        <f t="shared" si="24"/>
        <v>0.00118645637057631-0.00417614846967386i</v>
      </c>
      <c r="AM93" s="9" t="str">
        <f t="shared" si="25"/>
        <v>0.999999777592838-0.000436550621290026i</v>
      </c>
      <c r="AN93" s="9" t="str">
        <f t="shared" si="28"/>
        <v>-0.752590380594206+2.65341101662646i</v>
      </c>
      <c r="AO93" s="9">
        <f t="shared" si="29"/>
        <v>2.7580758336415618</v>
      </c>
      <c r="AP93" s="9">
        <f t="shared" si="30"/>
        <v>1.8471691363707139</v>
      </c>
      <c r="AQ93" s="9">
        <f t="shared" si="31"/>
        <v>105.83499556086711</v>
      </c>
      <c r="AR93" s="9">
        <f t="shared" si="32"/>
        <v>8.8121240597067327</v>
      </c>
      <c r="AS93" s="9">
        <f t="shared" si="33"/>
        <v>33.649118488643197</v>
      </c>
      <c r="AT93" s="9">
        <f t="shared" si="34"/>
        <v>83.167324304364257</v>
      </c>
    </row>
    <row r="94" spans="25:46" x14ac:dyDescent="0.25">
      <c r="Y94" s="9">
        <v>92</v>
      </c>
      <c r="Z94" s="9">
        <f t="shared" si="26"/>
        <v>286.75726738211927</v>
      </c>
      <c r="AA94" s="9" t="str">
        <f t="shared" si="35"/>
        <v>1801.7490491423i</v>
      </c>
      <c r="AB94" s="9">
        <f>(Assumed_Efficiency/100)*Rout/'4. Current Sense Resistor'!$B$11</f>
        <v>135.14141414141415</v>
      </c>
      <c r="AD94" s="9" t="str">
        <f t="shared" si="22"/>
        <v>0.850478296684695-0.353797847478242i</v>
      </c>
      <c r="AE94" s="9" t="str">
        <f t="shared" si="27"/>
        <v>0.999869053473492-0.0240879867623573i</v>
      </c>
      <c r="AF94" s="9" t="str">
        <f t="shared" si="23"/>
        <v>15.8072475427561-7.02703282450016i</v>
      </c>
      <c r="AG94" s="9">
        <f t="shared" si="18"/>
        <v>17.298793749697449</v>
      </c>
      <c r="AH94" s="9">
        <f t="shared" si="19"/>
        <v>-0.4183082937008033</v>
      </c>
      <c r="AI94" s="9">
        <f t="shared" si="20"/>
        <v>-23.967299764374911</v>
      </c>
      <c r="AJ94" s="9">
        <f t="shared" si="21"/>
        <v>24.760316413888617</v>
      </c>
      <c r="AL94" s="9" t="str">
        <f t="shared" si="24"/>
        <v>0.0011844353239142-0.00392703430938271i</v>
      </c>
      <c r="AM94" s="9" t="str">
        <f t="shared" si="25"/>
        <v>0.999999748479736-0.000464244438019256i</v>
      </c>
      <c r="AN94" s="9" t="str">
        <f t="shared" si="28"/>
        <v>-0.75130639761304+2.49517049664621i</v>
      </c>
      <c r="AO94" s="9">
        <f t="shared" si="29"/>
        <v>2.6058275289105333</v>
      </c>
      <c r="AP94" s="9">
        <f t="shared" si="30"/>
        <v>1.863265870570872</v>
      </c>
      <c r="AQ94" s="9">
        <f t="shared" si="31"/>
        <v>106.75727049448007</v>
      </c>
      <c r="AR94" s="9">
        <f t="shared" si="32"/>
        <v>8.3189133563019446</v>
      </c>
      <c r="AS94" s="9">
        <f t="shared" si="33"/>
        <v>33.079229770190565</v>
      </c>
      <c r="AT94" s="9">
        <f t="shared" si="34"/>
        <v>82.789970730105154</v>
      </c>
    </row>
    <row r="95" spans="25:46" x14ac:dyDescent="0.25">
      <c r="Y95" s="9">
        <v>93</v>
      </c>
      <c r="Z95" s="9">
        <f t="shared" si="26"/>
        <v>304.94853168089651</v>
      </c>
      <c r="AA95" s="9" t="str">
        <f t="shared" si="35"/>
        <v>1916.0481337034i</v>
      </c>
      <c r="AB95" s="9">
        <f>(Assumed_Efficiency/100)*Rout/'4. Current Sense Resistor'!$B$11</f>
        <v>135.14141414141415</v>
      </c>
      <c r="AD95" s="9" t="str">
        <f t="shared" si="22"/>
        <v>0.834194919163728-0.368923798727534i</v>
      </c>
      <c r="AE95" s="9" t="str">
        <f t="shared" si="27"/>
        <v>0.999851913086922-0.0256159821573102i</v>
      </c>
      <c r="AF95" s="9" t="str">
        <f t="shared" si="23"/>
        <v>15.4838412154476-7.32746461694899i</v>
      </c>
      <c r="AG95" s="9">
        <f t="shared" si="18"/>
        <v>17.130121905515828</v>
      </c>
      <c r="AH95" s="9">
        <f t="shared" si="19"/>
        <v>-0.44200563534332532</v>
      </c>
      <c r="AI95" s="9">
        <f t="shared" si="20"/>
        <v>-25.325057426171036</v>
      </c>
      <c r="AJ95" s="9">
        <f t="shared" si="21"/>
        <v>24.675209072158374</v>
      </c>
      <c r="AL95" s="9" t="str">
        <f t="shared" si="24"/>
        <v>0.00118264820368968-0.00369277935571574i</v>
      </c>
      <c r="AM95" s="9" t="str">
        <f t="shared" si="25"/>
        <v>0.999999715555729-0.000493695087722967i</v>
      </c>
      <c r="AN95" s="9" t="str">
        <f t="shared" si="28"/>
        <v>-0.750171024167853+2.34637126280543i</v>
      </c>
      <c r="AO95" s="9">
        <f t="shared" si="29"/>
        <v>2.4633746504379297</v>
      </c>
      <c r="AP95" s="9">
        <f t="shared" si="30"/>
        <v>1.8802410849761388</v>
      </c>
      <c r="AQ95" s="9">
        <f t="shared" si="31"/>
        <v>107.72987863623153</v>
      </c>
      <c r="AR95" s="9">
        <f t="shared" si="32"/>
        <v>7.8306093593494239</v>
      </c>
      <c r="AS95" s="9">
        <f t="shared" si="33"/>
        <v>32.505818431507798</v>
      </c>
      <c r="AT95" s="9">
        <f t="shared" si="34"/>
        <v>82.404821210060504</v>
      </c>
    </row>
    <row r="96" spans="25:46" x14ac:dyDescent="0.25">
      <c r="Y96" s="9">
        <v>94</v>
      </c>
      <c r="Z96" s="9">
        <f t="shared" si="26"/>
        <v>324.29381066187881</v>
      </c>
      <c r="AA96" s="9" t="str">
        <f t="shared" si="35"/>
        <v>2037.59810636i</v>
      </c>
      <c r="AB96" s="9">
        <f>(Assumed_Efficiency/100)*Rout/'4. Current Sense Resistor'!$B$11</f>
        <v>135.14141414141415</v>
      </c>
      <c r="AD96" s="9" t="str">
        <f t="shared" si="22"/>
        <v>0.816526874493808-0.383883267787515i</v>
      </c>
      <c r="AE96" s="9" t="str">
        <f t="shared" si="27"/>
        <v>0.999832529168197-0.0272408911089083i</v>
      </c>
      <c r="AF96" s="9" t="str">
        <f t="shared" si="23"/>
        <v>15.1329338142438-7.62459074870218i</v>
      </c>
      <c r="AG96" s="9">
        <f t="shared" si="18"/>
        <v>16.945207874543122</v>
      </c>
      <c r="AH96" s="9">
        <f t="shared" si="19"/>
        <v>-0.46671559295800774</v>
      </c>
      <c r="AI96" s="9">
        <f t="shared" si="20"/>
        <v>-26.740833709439489</v>
      </c>
      <c r="AJ96" s="9">
        <f t="shared" si="21"/>
        <v>24.58093801786541</v>
      </c>
      <c r="AL96" s="9" t="str">
        <f t="shared" si="24"/>
        <v>0.00118106793473927-0.00347249742974954i</v>
      </c>
      <c r="AM96" s="9" t="str">
        <f t="shared" si="25"/>
        <v>0.999999678321971-0.000525014019458847i</v>
      </c>
      <c r="AN96" s="9" t="str">
        <f t="shared" si="28"/>
        <v>-0.74916705916536+2.20645041243697i</v>
      </c>
      <c r="AO96" s="9">
        <f t="shared" si="29"/>
        <v>2.3301662397952962</v>
      </c>
      <c r="AP96" s="9">
        <f t="shared" si="30"/>
        <v>1.8981179252896079</v>
      </c>
      <c r="AQ96" s="9">
        <f t="shared" si="31"/>
        <v>108.75414613722265</v>
      </c>
      <c r="AR96" s="9">
        <f t="shared" si="32"/>
        <v>7.3477381153731844</v>
      </c>
      <c r="AS96" s="9">
        <f t="shared" si="33"/>
        <v>31.928676133238596</v>
      </c>
      <c r="AT96" s="9">
        <f t="shared" si="34"/>
        <v>82.013312427783163</v>
      </c>
    </row>
    <row r="97" spans="25:46" x14ac:dyDescent="0.25">
      <c r="Y97" s="9">
        <v>95</v>
      </c>
      <c r="Z97" s="9">
        <f t="shared" si="26"/>
        <v>344.8663125345048</v>
      </c>
      <c r="AA97" s="9" t="str">
        <f t="shared" si="35"/>
        <v>2166.858947858i</v>
      </c>
      <c r="AB97" s="9">
        <f>(Assumed_Efficiency/100)*Rout/'4. Current Sense Resistor'!$B$11</f>
        <v>135.14141414141415</v>
      </c>
      <c r="AD97" s="9" t="str">
        <f t="shared" si="22"/>
        <v>0.797440713361522-0.398535276517484i</v>
      </c>
      <c r="AE97" s="9" t="str">
        <f t="shared" si="27"/>
        <v>0.999810608079395-0.0289688577173957i</v>
      </c>
      <c r="AF97" s="9" t="str">
        <f t="shared" si="23"/>
        <v>14.7538609928068-7.91561129159178i</v>
      </c>
      <c r="AG97" s="9">
        <f t="shared" si="18"/>
        <v>16.743157298270877</v>
      </c>
      <c r="AH97" s="9">
        <f t="shared" si="19"/>
        <v>-0.49242815880475949</v>
      </c>
      <c r="AI97" s="9">
        <f t="shared" si="20"/>
        <v>-28.214055212910587</v>
      </c>
      <c r="AJ97" s="9">
        <f t="shared" si="21"/>
        <v>24.476747147127647</v>
      </c>
      <c r="AL97" s="9" t="str">
        <f t="shared" si="24"/>
        <v>0.00117967057548673-0.00326535517827511i</v>
      </c>
      <c r="AM97" s="9" t="str">
        <f t="shared" si="25"/>
        <v>0.999999636214316-0.000558319752241854i</v>
      </c>
      <c r="AN97" s="9" t="str">
        <f t="shared" si="28"/>
        <v>-0.748279292217044+2.07487860804153i</v>
      </c>
      <c r="AO97" s="9">
        <f t="shared" si="29"/>
        <v>2.2056842786920337</v>
      </c>
      <c r="AP97" s="9">
        <f t="shared" si="30"/>
        <v>1.9169162618677957</v>
      </c>
      <c r="AQ97" s="9">
        <f t="shared" si="31"/>
        <v>109.8312114850192</v>
      </c>
      <c r="AR97" s="9">
        <f t="shared" si="32"/>
        <v>6.8708669541524836</v>
      </c>
      <c r="AS97" s="9">
        <f t="shared" si="33"/>
        <v>31.347614101280129</v>
      </c>
      <c r="AT97" s="9">
        <f t="shared" si="34"/>
        <v>81.617156272108616</v>
      </c>
    </row>
    <row r="98" spans="25:46" x14ac:dyDescent="0.25">
      <c r="Y98" s="9">
        <v>96</v>
      </c>
      <c r="Z98" s="9">
        <f t="shared" si="26"/>
        <v>366.74388967956821</v>
      </c>
      <c r="AA98" s="9" t="str">
        <f t="shared" si="35"/>
        <v>2304.31981913255i</v>
      </c>
      <c r="AB98" s="9">
        <f>(Assumed_Efficiency/100)*Rout/'4. Current Sense Resistor'!$B$11</f>
        <v>135.14141414141415</v>
      </c>
      <c r="AD98" s="9" t="str">
        <f t="shared" si="22"/>
        <v>0.776920516122922-0.412726284610048i</v>
      </c>
      <c r="AE98" s="9" t="str">
        <f t="shared" si="27"/>
        <v>0.999785817756693-0.0308064150638917i</v>
      </c>
      <c r="AF98" s="9" t="str">
        <f t="shared" si="23"/>
        <v>14.3463065627796-8.19747682228866i</v>
      </c>
      <c r="AG98" s="9">
        <f t="shared" si="18"/>
        <v>16.523169739647802</v>
      </c>
      <c r="AH98" s="9">
        <f t="shared" si="19"/>
        <v>-0.51912443113556495</v>
      </c>
      <c r="AI98" s="9">
        <f t="shared" si="20"/>
        <v>-29.74363894619762</v>
      </c>
      <c r="AJ98" s="9">
        <f t="shared" si="21"/>
        <v>24.361867286308172</v>
      </c>
      <c r="AL98" s="9" t="str">
        <f t="shared" si="24"/>
        <v>0.00117843495530551-0.00307056892896009i</v>
      </c>
      <c r="AM98" s="9" t="str">
        <f t="shared" si="25"/>
        <v>0.999999588594772-0.000593738323520508i</v>
      </c>
      <c r="AN98" s="9" t="str">
        <f t="shared" si="28"/>
        <v>-0.747494273250894+1.95115807971956i</v>
      </c>
      <c r="AO98" s="9">
        <f t="shared" si="29"/>
        <v>2.089441442251446</v>
      </c>
      <c r="AP98" s="9">
        <f t="shared" si="30"/>
        <v>1.9366518962266606</v>
      </c>
      <c r="AQ98" s="9">
        <f t="shared" si="31"/>
        <v>110.96198003979552</v>
      </c>
      <c r="AR98" s="9">
        <f t="shared" si="32"/>
        <v>6.4006040861573386</v>
      </c>
      <c r="AS98" s="9">
        <f t="shared" si="33"/>
        <v>30.762471372465512</v>
      </c>
      <c r="AT98" s="9">
        <f t="shared" si="34"/>
        <v>81.2183410935979</v>
      </c>
    </row>
    <row r="99" spans="25:46" x14ac:dyDescent="0.25">
      <c r="Y99" s="9">
        <v>97</v>
      </c>
      <c r="Z99" s="9">
        <f t="shared" si="26"/>
        <v>390.00933326545766</v>
      </c>
      <c r="AA99" s="9" t="str">
        <f t="shared" si="35"/>
        <v>2450.50091243643i</v>
      </c>
      <c r="AB99" s="9">
        <f>(Assumed_Efficiency/100)*Rout/'4. Current Sense Resistor'!$B$11</f>
        <v>135.14141414141415</v>
      </c>
      <c r="AD99" s="9" t="str">
        <f t="shared" si="22"/>
        <v>0.754971128672253-0.426292452032931i</v>
      </c>
      <c r="AE99" s="9" t="str">
        <f t="shared" si="27"/>
        <v>0.999757782683559-0.0327605097269329i</v>
      </c>
      <c r="AF99" s="9" t="str">
        <f t="shared" si="23"/>
        <v>13.9103667616396-8.46693335712855i</v>
      </c>
      <c r="AG99" s="9">
        <f t="shared" si="18"/>
        <v>16.28457134582866</v>
      </c>
      <c r="AH99" s="9">
        <f t="shared" si="19"/>
        <v>-0.54677591554002059</v>
      </c>
      <c r="AI99" s="9">
        <f t="shared" si="20"/>
        <v>-31.327952299844739</v>
      </c>
      <c r="AJ99" s="9">
        <f t="shared" si="21"/>
        <v>24.235526624807665</v>
      </c>
      <c r="AL99" s="9" t="str">
        <f t="shared" si="24"/>
        <v>0.00117734235384055-0.00288740173203307i</v>
      </c>
      <c r="AM99" s="9" t="str">
        <f t="shared" si="25"/>
        <v>0.999999534741832-0.000631403766098147i</v>
      </c>
      <c r="AN99" s="9" t="str">
        <f t="shared" si="28"/>
        <v>-0.746800108778897+1.83482074612082i</v>
      </c>
      <c r="AO99" s="9">
        <f t="shared" si="29"/>
        <v>1.9809789430651541</v>
      </c>
      <c r="AP99" s="9">
        <f t="shared" si="30"/>
        <v>1.9573357051168938</v>
      </c>
      <c r="AQ99" s="9">
        <f t="shared" si="31"/>
        <v>112.14707499346106</v>
      </c>
      <c r="AR99" s="9">
        <f t="shared" si="32"/>
        <v>5.9375971840752069</v>
      </c>
      <c r="AS99" s="9">
        <f t="shared" si="33"/>
        <v>30.17312380888287</v>
      </c>
      <c r="AT99" s="9">
        <f t="shared" si="34"/>
        <v>80.819122693616322</v>
      </c>
    </row>
    <row r="100" spans="25:46" x14ac:dyDescent="0.25">
      <c r="Y100" s="9">
        <v>98</v>
      </c>
      <c r="Z100" s="9">
        <f t="shared" si="26"/>
        <v>414.75068655422291</v>
      </c>
      <c r="AA100" s="9" t="str">
        <f t="shared" si="35"/>
        <v>2605.95541990014i</v>
      </c>
      <c r="AB100" s="9">
        <f>(Assumed_Efficiency/100)*Rout/'4. Current Sense Resistor'!$B$11</f>
        <v>135.14141414141415</v>
      </c>
      <c r="AD100" s="9" t="str">
        <f t="shared" si="22"/>
        <v>0.731621129606887-0.439062747493787i</v>
      </c>
      <c r="AE100" s="9" t="str">
        <f t="shared" si="27"/>
        <v>0.99972607820684-0.0348385278219736i</v>
      </c>
      <c r="AF100" s="9" t="str">
        <f t="shared" si="23"/>
        <v>13.4466091837832-8.72058408990936i</v>
      </c>
      <c r="AG100" s="9">
        <f t="shared" si="18"/>
        <v>16.02684889211173</v>
      </c>
      <c r="AH100" s="9">
        <f t="shared" si="19"/>
        <v>-0.57534399463939045</v>
      </c>
      <c r="AI100" s="9">
        <f t="shared" si="20"/>
        <v>-32.964782661034533</v>
      </c>
      <c r="AJ100" s="9">
        <f t="shared" si="21"/>
        <v>24.096962844720888</v>
      </c>
      <c r="AL100" s="9" t="str">
        <f t="shared" si="24"/>
        <v>0.0011763762174361-0.00271516057754451i</v>
      </c>
      <c r="AM100" s="9" t="str">
        <f t="shared" si="25"/>
        <v>0.999999473839547-0.000671458615302582i</v>
      </c>
      <c r="AN100" s="9" t="str">
        <f t="shared" si="28"/>
        <v>-0.746186281736867+1.72542644695933i</v>
      </c>
      <c r="AO100" s="9">
        <f t="shared" si="29"/>
        <v>1.8798644607840718</v>
      </c>
      <c r="AP100" s="9">
        <f t="shared" si="30"/>
        <v>1.9789727369566088</v>
      </c>
      <c r="AQ100" s="9">
        <f t="shared" si="31"/>
        <v>113.38678559906693</v>
      </c>
      <c r="AR100" s="9">
        <f t="shared" si="32"/>
        <v>5.4825307506398904</v>
      </c>
      <c r="AS100" s="9">
        <f t="shared" si="33"/>
        <v>29.57949359536078</v>
      </c>
      <c r="AT100" s="9">
        <f t="shared" si="34"/>
        <v>80.422002938032392</v>
      </c>
    </row>
    <row r="101" spans="25:46" x14ac:dyDescent="0.25">
      <c r="Y101" s="9">
        <v>99</v>
      </c>
      <c r="Z101" s="9">
        <f t="shared" si="26"/>
        <v>441.06157808309626</v>
      </c>
      <c r="AA101" s="9" t="str">
        <f t="shared" si="35"/>
        <v>2771.27162697315i</v>
      </c>
      <c r="AB101" s="9">
        <f>(Assumed_Efficiency/100)*Rout/'4. Current Sense Resistor'!$B$11</f>
        <v>135.14141414141415</v>
      </c>
      <c r="AD101" s="9" t="str">
        <f t="shared" si="22"/>
        <v>0.706925294394505-0.450862893750739i</v>
      </c>
      <c r="AE101" s="9" t="str">
        <f t="shared" si="27"/>
        <v>0.999690224109927-0.0370483226539079i</v>
      </c>
      <c r="AF101" s="9" t="str">
        <f t="shared" si="23"/>
        <v>12.9561217215011-8.9549677503889i</v>
      </c>
      <c r="AG101" s="9">
        <f t="shared" si="18"/>
        <v>15.749683726121546</v>
      </c>
      <c r="AH101" s="9">
        <f t="shared" si="19"/>
        <v>-0.6047796189595126</v>
      </c>
      <c r="AI101" s="9">
        <f t="shared" si="20"/>
        <v>-34.651319701910175</v>
      </c>
      <c r="AJ101" s="9">
        <f t="shared" si="21"/>
        <v>23.945436740443412</v>
      </c>
      <c r="AL101" s="9" t="str">
        <f t="shared" si="24"/>
        <v>0.00117552190837719-0.00255319377788209i</v>
      </c>
      <c r="AM101" s="9" t="str">
        <f t="shared" si="25"/>
        <v>0.999999404965161-0.000714054448321694i</v>
      </c>
      <c r="AN101" s="9" t="str">
        <f t="shared" si="28"/>
        <v>-0.745643492169571+1.62256128053757i</v>
      </c>
      <c r="AO101" s="9">
        <f t="shared" si="29"/>
        <v>1.785690154118164</v>
      </c>
      <c r="AP101" s="9">
        <f t="shared" si="30"/>
        <v>2.0015612819983044</v>
      </c>
      <c r="AQ101" s="9">
        <f t="shared" si="31"/>
        <v>114.68101389529723</v>
      </c>
      <c r="AR101" s="9">
        <f t="shared" si="32"/>
        <v>5.0361220806296823</v>
      </c>
      <c r="AS101" s="9">
        <f t="shared" si="33"/>
        <v>28.981558821073094</v>
      </c>
      <c r="AT101" s="9">
        <f t="shared" si="34"/>
        <v>80.029694193387058</v>
      </c>
    </row>
    <row r="102" spans="25:46" x14ac:dyDescent="0.25">
      <c r="Y102" s="9">
        <v>100</v>
      </c>
      <c r="Z102" s="9">
        <f t="shared" si="26"/>
        <v>469.04157598234281</v>
      </c>
      <c r="AA102" s="9" t="str">
        <f t="shared" si="35"/>
        <v>2947.07513866861i</v>
      </c>
      <c r="AB102" s="9">
        <f>(Assumed_Efficiency/100)*Rout/'4. Current Sense Resistor'!$B$11</f>
        <v>135.14141414141415</v>
      </c>
      <c r="AD102" s="9" t="str">
        <f t="shared" si="22"/>
        <v>0.680966308644738-0.461520070385385i</v>
      </c>
      <c r="AE102" s="9" t="str">
        <f t="shared" si="27"/>
        <v>0.999649677346097-0.0393982440770781i</v>
      </c>
      <c r="AF102" s="9" t="str">
        <f t="shared" si="23"/>
        <v>12.4405465923158-9.16665200684433i</v>
      </c>
      <c r="AG102" s="9">
        <f t="shared" si="18"/>
        <v>15.452983806701004</v>
      </c>
      <c r="AH102" s="9">
        <f t="shared" si="19"/>
        <v>-0.63502326911611395</v>
      </c>
      <c r="AI102" s="9">
        <f t="shared" si="20"/>
        <v>-36.384153212953606</v>
      </c>
      <c r="AJ102" s="9">
        <f t="shared" si="21"/>
        <v>23.780246989999931</v>
      </c>
      <c r="AL102" s="9" t="str">
        <f t="shared" si="24"/>
        <v>0.00117476648314859-0.00240088850580783i</v>
      </c>
      <c r="AM102" s="9" t="str">
        <f t="shared" si="25"/>
        <v>0.999999327075126-0.000759352457743959i</v>
      </c>
      <c r="AN102" s="9" t="str">
        <f t="shared" si="28"/>
        <v>-0.745163516349327+1.52583604009824i</v>
      </c>
      <c r="AO102" s="9">
        <f t="shared" si="29"/>
        <v>1.6980707545213689</v>
      </c>
      <c r="AP102" s="9">
        <f t="shared" si="30"/>
        <v>2.0250919448316846</v>
      </c>
      <c r="AQ102" s="9">
        <f t="shared" si="31"/>
        <v>116.02922156479526</v>
      </c>
      <c r="AR102" s="9">
        <f t="shared" si="32"/>
        <v>4.5991156458147922</v>
      </c>
      <c r="AS102" s="9">
        <f t="shared" si="33"/>
        <v>28.379362635814722</v>
      </c>
      <c r="AT102" s="9">
        <f t="shared" si="34"/>
        <v>79.645068351841658</v>
      </c>
    </row>
    <row r="103" spans="25:46" x14ac:dyDescent="0.25">
      <c r="Y103" s="9">
        <v>101</v>
      </c>
      <c r="Z103" s="9">
        <f t="shared" si="26"/>
        <v>498.79656477026373</v>
      </c>
      <c r="AA103" s="9" t="str">
        <f t="shared" si="35"/>
        <v>3134.03124703617i</v>
      </c>
      <c r="AB103" s="9">
        <f>(Assumed_Efficiency/100)*Rout/'4. Current Sense Resistor'!$B$11</f>
        <v>135.14141414141415</v>
      </c>
      <c r="AD103" s="9" t="str">
        <f t="shared" si="22"/>
        <v>0.6538554919046-0.470868215161832i</v>
      </c>
      <c r="AE103" s="9" t="str">
        <f t="shared" si="27"/>
        <v>0.999603823822494-0.041897169661622i</v>
      </c>
      <c r="AF103" s="9" t="str">
        <f t="shared" si="23"/>
        <v>11.9020947142033-9.35233875723103i</v>
      </c>
      <c r="AG103" s="9">
        <f t="shared" si="18"/>
        <v>15.136911799170653</v>
      </c>
      <c r="AH103" s="9">
        <f t="shared" si="19"/>
        <v>-0.66600523204752193</v>
      </c>
      <c r="AI103" s="9">
        <f t="shared" si="20"/>
        <v>-38.159288929954045</v>
      </c>
      <c r="AJ103" s="9">
        <f t="shared" si="21"/>
        <v>23.600745607134282</v>
      </c>
      <c r="AL103" s="9" t="str">
        <f t="shared" si="24"/>
        <v>0.00117409849635437-0.00225766847884442i</v>
      </c>
      <c r="AM103" s="9" t="str">
        <f t="shared" si="25"/>
        <v>0.999999238989299-0.00080752406147186i</v>
      </c>
      <c r="AN103" s="9" t="str">
        <f t="shared" si="28"/>
        <v>-0.744739082195309+1.43488474317798i</v>
      </c>
      <c r="AO103" s="9">
        <f t="shared" si="29"/>
        <v>1.616641743477524</v>
      </c>
      <c r="AP103" s="9">
        <f t="shared" si="30"/>
        <v>2.0495467552475226</v>
      </c>
      <c r="AQ103" s="9">
        <f t="shared" si="31"/>
        <v>117.43037899041535</v>
      </c>
      <c r="AR103" s="9">
        <f t="shared" si="32"/>
        <v>4.1722757714217078</v>
      </c>
      <c r="AS103" s="9">
        <f t="shared" si="33"/>
        <v>27.773021378555988</v>
      </c>
      <c r="AT103" s="9">
        <f t="shared" si="34"/>
        <v>79.271090060461304</v>
      </c>
    </row>
    <row r="104" spans="25:46" x14ac:dyDescent="0.25">
      <c r="Y104" s="9">
        <v>102</v>
      </c>
      <c r="Z104" s="9">
        <f t="shared" si="26"/>
        <v>530.4391460512702</v>
      </c>
      <c r="AA104" s="9" t="str">
        <f t="shared" si="35"/>
        <v>3332.84744882223i</v>
      </c>
      <c r="AB104" s="9">
        <f>(Assumed_Efficiency/100)*Rout/'4. Current Sense Resistor'!$B$11</f>
        <v>135.14141414141415</v>
      </c>
      <c r="AD104" s="9" t="str">
        <f t="shared" si="22"/>
        <v>0.625732330556907-0.478753684518496i</v>
      </c>
      <c r="AE104" s="9" t="str">
        <f t="shared" si="27"/>
        <v>0.999551969110973-0.0445545377693778i</v>
      </c>
      <c r="AF104" s="9" t="str">
        <f t="shared" si="23"/>
        <v>11.3435364282534-9.50897655313356i</v>
      </c>
      <c r="AG104" s="9">
        <f t="shared" si="18"/>
        <v>14.801907099666437</v>
      </c>
      <c r="AH104" s="9">
        <f t="shared" si="19"/>
        <v>-0.69764622159113621</v>
      </c>
      <c r="AI104" s="9">
        <f t="shared" si="20"/>
        <v>-39.972184090420711</v>
      </c>
      <c r="AJ104" s="9">
        <f t="shared" si="21"/>
        <v>23.406353482903555</v>
      </c>
      <c r="AL104" s="9" t="str">
        <f t="shared" si="24"/>
        <v>0.00117350782732881-0.00212299178136701i</v>
      </c>
      <c r="AM104" s="9" t="str">
        <f t="shared" si="25"/>
        <v>0.999999139373053-0.000858751551313351i</v>
      </c>
      <c r="AN104" s="9" t="str">
        <f t="shared" si="28"/>
        <v>-0.744363759107018+1.34936324847335i</v>
      </c>
      <c r="AO104" s="9">
        <f t="shared" si="29"/>
        <v>1.5410576180670474</v>
      </c>
      <c r="AP104" s="9">
        <f t="shared" si="30"/>
        <v>2.0748983604745801</v>
      </c>
      <c r="AQ104" s="9">
        <f t="shared" si="31"/>
        <v>118.88291897380755</v>
      </c>
      <c r="AR104" s="9">
        <f t="shared" si="32"/>
        <v>3.7563775341448786</v>
      </c>
      <c r="AS104" s="9">
        <f t="shared" si="33"/>
        <v>27.162731017048433</v>
      </c>
      <c r="AT104" s="9">
        <f t="shared" si="34"/>
        <v>78.910734883386837</v>
      </c>
    </row>
    <row r="105" spans="25:46" x14ac:dyDescent="0.25">
      <c r="Y105" s="9">
        <v>103</v>
      </c>
      <c r="Z105" s="9">
        <f t="shared" si="26"/>
        <v>564.08906463337905</v>
      </c>
      <c r="AA105" s="9" t="str">
        <f t="shared" si="35"/>
        <v>3544.27612284512i</v>
      </c>
      <c r="AB105" s="9">
        <f>(Assumed_Efficiency/100)*Rout/'4. Current Sense Resistor'!$B$11</f>
        <v>135.14141414141415</v>
      </c>
      <c r="AD105" s="9" t="str">
        <f t="shared" si="22"/>
        <v>0.596762685086329-0.48504096278358i</v>
      </c>
      <c r="AE105" s="9" t="str">
        <f t="shared" si="27"/>
        <v>0.999493327946023-0.0473803826468109i</v>
      </c>
      <c r="AF105" s="9" t="str">
        <f t="shared" si="23"/>
        <v>10.768165892773-9.6338739914397i</v>
      </c>
      <c r="AG105" s="9">
        <f t="shared" si="18"/>
        <v>14.448699760781869</v>
      </c>
      <c r="AH105" s="9">
        <f t="shared" si="19"/>
        <v>-0.72985835647659258</v>
      </c>
      <c r="AI105" s="9">
        <f t="shared" si="20"/>
        <v>-41.817803468463488</v>
      </c>
      <c r="AJ105" s="9">
        <f t="shared" si="21"/>
        <v>23.196575333373936</v>
      </c>
      <c r="AL105" s="9" t="str">
        <f t="shared" si="24"/>
        <v>0.00117298552681346-0.00199634881625849i</v>
      </c>
      <c r="AM105" s="9" t="str">
        <f t="shared" si="25"/>
        <v>0.999999026717063-0.000913228782702237i</v>
      </c>
      <c r="AN105" s="9" t="str">
        <f t="shared" si="28"/>
        <v>-0.744031860543958+1.26894795504842i</v>
      </c>
      <c r="AO105" s="9">
        <f t="shared" si="29"/>
        <v>1.4709902522199358</v>
      </c>
      <c r="AP105" s="9">
        <f t="shared" si="30"/>
        <v>2.1011093475247877</v>
      </c>
      <c r="AQ105" s="9">
        <f t="shared" si="31"/>
        <v>120.38469790865649</v>
      </c>
      <c r="AR105" s="9">
        <f t="shared" si="32"/>
        <v>3.3521958961397336</v>
      </c>
      <c r="AS105" s="9">
        <f t="shared" si="33"/>
        <v>26.548771229513669</v>
      </c>
      <c r="AT105" s="9">
        <f t="shared" si="34"/>
        <v>78.56689444019301</v>
      </c>
    </row>
    <row r="106" spans="25:46" x14ac:dyDescent="0.25">
      <c r="Y106" s="9">
        <v>104</v>
      </c>
      <c r="Z106" s="9">
        <f t="shared" si="26"/>
        <v>599.87366167768641</v>
      </c>
      <c r="AA106" s="9" t="str">
        <f t="shared" si="35"/>
        <v>3769.11737721726i</v>
      </c>
      <c r="AB106" s="9">
        <f>(Assumed_Efficiency/100)*Rout/'4. Current Sense Resistor'!$B$11</f>
        <v>135.14141414141415</v>
      </c>
      <c r="AD106" s="9" t="str">
        <f t="shared" si="22"/>
        <v>0.567135630345354-0.489618060154654i</v>
      </c>
      <c r="AE106" s="9" t="str">
        <f t="shared" si="27"/>
        <v>0.999427012351794-0.0503853716464766i</v>
      </c>
      <c r="AF106" s="9" t="str">
        <f t="shared" si="23"/>
        <v>10.1797383272207-9.7248069245405i</v>
      </c>
      <c r="AG106" s="9">
        <f t="shared" si="18"/>
        <v>14.078314605458885</v>
      </c>
      <c r="AH106" s="9">
        <f t="shared" si="19"/>
        <v>-0.76254648776673617</v>
      </c>
      <c r="AI106" s="9">
        <f t="shared" si="20"/>
        <v>-43.69069543155824</v>
      </c>
      <c r="AJ106" s="9">
        <f t="shared" si="21"/>
        <v>22.971013321461818</v>
      </c>
      <c r="AL106" s="9" t="str">
        <f t="shared" si="24"/>
        <v>0.00117252368137831-0.00187726037845908i</v>
      </c>
      <c r="AM106" s="9" t="str">
        <f t="shared" si="25"/>
        <v>0.999998899314432-0.000971161908153379i</v>
      </c>
      <c r="AN106" s="9" t="str">
        <f t="shared" si="28"/>
        <v>-0.743738357876085+1.19333457901362i</v>
      </c>
      <c r="AO106" s="9">
        <f t="shared" si="29"/>
        <v>1.4061273635221774</v>
      </c>
      <c r="AP106" s="9">
        <f t="shared" si="30"/>
        <v>2.1281317478688697</v>
      </c>
      <c r="AQ106" s="9">
        <f t="shared" si="31"/>
        <v>121.93296740068526</v>
      </c>
      <c r="AR106" s="9">
        <f t="shared" si="32"/>
        <v>2.9604931956068601</v>
      </c>
      <c r="AS106" s="9">
        <f t="shared" si="33"/>
        <v>25.931506517068676</v>
      </c>
      <c r="AT106" s="9">
        <f t="shared" si="34"/>
        <v>78.242271969127017</v>
      </c>
    </row>
    <row r="107" spans="25:46" x14ac:dyDescent="0.25">
      <c r="Y107" s="9">
        <v>105</v>
      </c>
      <c r="Z107" s="9">
        <f t="shared" si="26"/>
        <v>637.92835659466812</v>
      </c>
      <c r="AA107" s="9" t="str">
        <f t="shared" si="35"/>
        <v>4008.22207718884i</v>
      </c>
      <c r="AB107" s="9">
        <f>(Assumed_Efficiency/100)*Rout/'4. Current Sense Resistor'!$B$11</f>
        <v>135.14141414141415</v>
      </c>
      <c r="AD107" s="9" t="str">
        <f t="shared" si="22"/>
        <v>0.53705899954306-0.492401222098365i</v>
      </c>
      <c r="AE107" s="9" t="str">
        <f t="shared" si="27"/>
        <v>0.999352018219886-0.0535808446922882i</v>
      </c>
      <c r="AF107" s="9" t="str">
        <f t="shared" si="23"/>
        <v>9.58238151060308-9.78011199458622i</v>
      </c>
      <c r="AG107" s="9">
        <f t="shared" si="18"/>
        <v>13.692064345503091</v>
      </c>
      <c r="AH107" s="9">
        <f t="shared" si="19"/>
        <v>-0.79560984459822082</v>
      </c>
      <c r="AI107" s="9">
        <f t="shared" si="20"/>
        <v>-45.585086234537343</v>
      </c>
      <c r="AJ107" s="9">
        <f t="shared" si="21"/>
        <v>22.729378628526931</v>
      </c>
      <c r="AL107" s="9" t="str">
        <f t="shared" si="24"/>
        <v>0.00117211529353379-0.0017652758431891i</v>
      </c>
      <c r="AM107" s="9" t="str">
        <f t="shared" si="25"/>
        <v>0.999998755234836-0.00103277015722304i</v>
      </c>
      <c r="AN107" s="9" t="str">
        <f t="shared" si="28"/>
        <v>-0.743478804200367+1.12223700309042i</v>
      </c>
      <c r="AO107" s="9">
        <f t="shared" si="29"/>
        <v>1.3461710973723122</v>
      </c>
      <c r="AP107" s="9">
        <f t="shared" si="30"/>
        <v>2.1559067768919347</v>
      </c>
      <c r="AQ107" s="9">
        <f t="shared" si="31"/>
        <v>123.52435933956025</v>
      </c>
      <c r="AR107" s="9">
        <f t="shared" si="32"/>
        <v>2.5820052382094261</v>
      </c>
      <c r="AS107" s="9">
        <f t="shared" si="33"/>
        <v>25.311383866736357</v>
      </c>
      <c r="AT107" s="9">
        <f t="shared" si="34"/>
        <v>77.939273105022906</v>
      </c>
    </row>
    <row r="108" spans="25:46" x14ac:dyDescent="0.25">
      <c r="Y108" s="9">
        <v>106</v>
      </c>
      <c r="Z108" s="9">
        <f t="shared" si="26"/>
        <v>678.39715951094945</v>
      </c>
      <c r="AA108" s="9" t="str">
        <f t="shared" si="35"/>
        <v>4262.49506507156i</v>
      </c>
      <c r="AB108" s="9">
        <f>(Assumed_Efficiency/100)*Rout/'4. Current Sense Resistor'!$B$11</f>
        <v>135.14141414141415</v>
      </c>
      <c r="AD108" s="9" t="str">
        <f t="shared" si="22"/>
        <v>0.506753820898549-0.493338594941081i</v>
      </c>
      <c r="AE108" s="9" t="str">
        <f t="shared" si="27"/>
        <v>0.999267210136467-0.056978856107177i</v>
      </c>
      <c r="AF108" s="9" t="str">
        <f t="shared" si="23"/>
        <v>8.98048528692588-9.79875943655184i</v>
      </c>
      <c r="AG108" s="9">
        <f t="shared" si="18"/>
        <v>13.291531231731954</v>
      </c>
      <c r="AH108" s="9">
        <f t="shared" si="19"/>
        <v>-0.82894394401367477</v>
      </c>
      <c r="AI108" s="9">
        <f t="shared" si="20"/>
        <v>-47.494989444912363</v>
      </c>
      <c r="AJ108" s="9">
        <f t="shared" si="21"/>
        <v>22.471500321916686</v>
      </c>
      <c r="AL108" s="9" t="str">
        <f t="shared" si="24"/>
        <v>0.0011717541757181-0.00165997146204553i</v>
      </c>
      <c r="AM108" s="9" t="str">
        <f t="shared" si="25"/>
        <v>0.99999859229527-0.00109828666591994i</v>
      </c>
      <c r="AN108" s="9" t="str">
        <f t="shared" si="28"/>
        <v>-0.743249266969743+1.05538619474435i</v>
      </c>
      <c r="AO108" s="9">
        <f t="shared" si="29"/>
        <v>1.2908367413844475</v>
      </c>
      <c r="AP108" s="9">
        <f t="shared" si="30"/>
        <v>2.1843648566154887</v>
      </c>
      <c r="AQ108" s="9">
        <f t="shared" si="31"/>
        <v>125.15488720076672</v>
      </c>
      <c r="AR108" s="9">
        <f t="shared" si="32"/>
        <v>2.2174263666397169</v>
      </c>
      <c r="AS108" s="9">
        <f t="shared" si="33"/>
        <v>24.688926688556403</v>
      </c>
      <c r="AT108" s="9">
        <f t="shared" si="34"/>
        <v>77.65989775585436</v>
      </c>
    </row>
    <row r="109" spans="25:46" x14ac:dyDescent="0.25">
      <c r="Y109" s="9">
        <v>107</v>
      </c>
      <c r="Z109" s="9">
        <f t="shared" si="26"/>
        <v>721.43321624585462</v>
      </c>
      <c r="AA109" s="9" t="str">
        <f t="shared" si="35"/>
        <v>4532.89858442727i</v>
      </c>
      <c r="AB109" s="9">
        <f>(Assumed_Efficiency/100)*Rout/'4. Current Sense Resistor'!$B$11</f>
        <v>135.14141414141415</v>
      </c>
      <c r="AD109" s="9" t="str">
        <f t="shared" si="22"/>
        <v>0.476447944711656-0.492412555828673i</v>
      </c>
      <c r="AE109" s="9" t="str">
        <f t="shared" si="27"/>
        <v>0.999171304231291-0.0605922189244553i</v>
      </c>
      <c r="AF109" s="9" t="str">
        <f t="shared" si="23"/>
        <v>8.37857499139223-9.78039935420695i</v>
      </c>
      <c r="AG109" s="9">
        <f t="shared" si="18"/>
        <v>12.878537588334906</v>
      </c>
      <c r="AH109" s="9">
        <f t="shared" si="19"/>
        <v>-0.86244269028787146</v>
      </c>
      <c r="AI109" s="9">
        <f t="shared" si="20"/>
        <v>-49.414326225403428</v>
      </c>
      <c r="AJ109" s="9">
        <f t="shared" si="21"/>
        <v>22.197330997470949</v>
      </c>
      <c r="AL109" s="9" t="str">
        <f t="shared" si="24"/>
        <v>0.00117143485655391-0.00156094876057201i</v>
      </c>
      <c r="AM109" s="9" t="str">
        <f t="shared" si="25"/>
        <v>0.999998408026979-0.00116795935869829i</v>
      </c>
      <c r="AN109" s="9" t="str">
        <f t="shared" si="28"/>
        <v>-0.743046268413937+0.992529188822656i</v>
      </c>
      <c r="AO109" s="9">
        <f t="shared" si="29"/>
        <v>1.2398515829198411</v>
      </c>
      <c r="AP109" s="9">
        <f t="shared" si="30"/>
        <v>2.2134259613616716</v>
      </c>
      <c r="AQ109" s="9">
        <f t="shared" si="31"/>
        <v>126.81996585071062</v>
      </c>
      <c r="AR109" s="9">
        <f t="shared" si="32"/>
        <v>1.8673940165238647</v>
      </c>
      <c r="AS109" s="9">
        <f t="shared" si="33"/>
        <v>24.064725013994813</v>
      </c>
      <c r="AT109" s="9">
        <f t="shared" si="34"/>
        <v>77.405639625307188</v>
      </c>
    </row>
    <row r="110" spans="25:46" x14ac:dyDescent="0.25">
      <c r="Y110" s="9">
        <v>108</v>
      </c>
      <c r="Z110" s="9">
        <f t="shared" si="26"/>
        <v>767.19938786011153</v>
      </c>
      <c r="AA110" s="9" t="str">
        <f t="shared" si="35"/>
        <v>4820.45592147983i</v>
      </c>
      <c r="AB110" s="9">
        <f>(Assumed_Efficiency/100)*Rout/'4. Current Sense Resistor'!$B$11</f>
        <v>135.14141414141415</v>
      </c>
      <c r="AD110" s="9" t="str">
        <f t="shared" si="22"/>
        <v>0.446369242221467-0.48964051501595i</v>
      </c>
      <c r="AE110" s="9" t="str">
        <f t="shared" si="27"/>
        <v>0.999062848791959-0.0644345518061297i</v>
      </c>
      <c r="AF110" s="9" t="str">
        <f t="shared" si="23"/>
        <v>7.78117637178702-9.72537765487329i</v>
      </c>
      <c r="AG110" s="9">
        <f t="shared" si="18"/>
        <v>12.455106433056496</v>
      </c>
      <c r="AH110" s="9">
        <f t="shared" si="19"/>
        <v>-0.89600057388692511</v>
      </c>
      <c r="AI110" s="9">
        <f t="shared" si="20"/>
        <v>-51.337051325020489</v>
      </c>
      <c r="AJ110" s="9">
        <f t="shared" si="21"/>
        <v>21.906948861604064</v>
      </c>
      <c r="AL110" s="9" t="str">
        <f t="shared" si="24"/>
        <v>0.00117115249795472-0.0014678330312777i</v>
      </c>
      <c r="AM110" s="9" t="str">
        <f t="shared" si="25"/>
        <v>0.999998199638055-0.00124205188636142i</v>
      </c>
      <c r="AN110" s="9" t="str">
        <f t="shared" si="28"/>
        <v>-0.742866732849792+0.933428130871513i</v>
      </c>
      <c r="AO110" s="9">
        <f t="shared" si="29"/>
        <v>1.1929539212715681</v>
      </c>
      <c r="AP110" s="9">
        <f t="shared" si="30"/>
        <v>2.2430003121916409</v>
      </c>
      <c r="AQ110" s="9">
        <f t="shared" si="31"/>
        <v>128.51445133510705</v>
      </c>
      <c r="AR110" s="9">
        <f t="shared" si="32"/>
        <v>1.5324733809681077</v>
      </c>
      <c r="AS110" s="9">
        <f t="shared" si="33"/>
        <v>23.439422242572171</v>
      </c>
      <c r="AT110" s="9">
        <f t="shared" si="34"/>
        <v>77.177400010086558</v>
      </c>
    </row>
    <row r="111" spans="25:46" x14ac:dyDescent="0.25">
      <c r="Y111" s="9">
        <v>109</v>
      </c>
      <c r="Z111" s="9">
        <f t="shared" si="26"/>
        <v>815.86886696986198</v>
      </c>
      <c r="AA111" s="9" t="str">
        <f t="shared" si="35"/>
        <v>5126.25527753029i</v>
      </c>
      <c r="AB111" s="9">
        <f>(Assumed_Efficiency/100)*Rout/'4. Current Sense Resistor'!$B$11</f>
        <v>135.14141414141415</v>
      </c>
      <c r="AD111" s="9" t="str">
        <f t="shared" si="22"/>
        <v>0.416738803140554-0.485074123224474i</v>
      </c>
      <c r="AE111" s="9" t="str">
        <f t="shared" si="27"/>
        <v>0.998940202353729-0.0685203286922983i</v>
      </c>
      <c r="AF111" s="9" t="str">
        <f t="shared" si="23"/>
        <v>7.19268048350974-9.63472030708608i</v>
      </c>
      <c r="AG111" s="9">
        <f t="shared" si="18"/>
        <v>12.023414154625083</v>
      </c>
      <c r="AH111" s="9">
        <f t="shared" si="19"/>
        <v>-0.92951487200464167</v>
      </c>
      <c r="AI111" s="9">
        <f t="shared" si="20"/>
        <v>-53.257279160508887</v>
      </c>
      <c r="AJ111" s="9">
        <f t="shared" si="21"/>
        <v>21.600556138649452</v>
      </c>
      <c r="AL111" s="9" t="str">
        <f t="shared" si="24"/>
        <v>0.00117090282182526-0.00138027191643509i</v>
      </c>
      <c r="AM111" s="9" t="str">
        <f t="shared" si="25"/>
        <v>0.999997963971129-0.00132084462341475i</v>
      </c>
      <c r="AN111" s="9" t="str">
        <f t="shared" si="28"/>
        <v>-0.742707940083016+0.877859377533551i</v>
      </c>
      <c r="AO111" s="9">
        <f t="shared" si="29"/>
        <v>1.1498922432062713</v>
      </c>
      <c r="AP111" s="9">
        <f t="shared" si="30"/>
        <v>2.2729894275210758</v>
      </c>
      <c r="AQ111" s="9">
        <f t="shared" si="31"/>
        <v>130.23270107481477</v>
      </c>
      <c r="AR111" s="9">
        <f t="shared" si="32"/>
        <v>1.2131428875318471</v>
      </c>
      <c r="AS111" s="9">
        <f t="shared" si="33"/>
        <v>22.8136990261813</v>
      </c>
      <c r="AT111" s="9">
        <f t="shared" si="34"/>
        <v>76.975421914305883</v>
      </c>
    </row>
    <row r="112" spans="25:46" x14ac:dyDescent="0.25">
      <c r="Y112" s="9">
        <v>110</v>
      </c>
      <c r="Z112" s="9">
        <f t="shared" si="26"/>
        <v>867.62583315832671</v>
      </c>
      <c r="AA112" s="9" t="str">
        <f t="shared" si="35"/>
        <v>5451.45388702985i</v>
      </c>
      <c r="AB112" s="9">
        <f>(Assumed_Efficiency/100)*Rout/'4. Current Sense Resistor'!$B$11</f>
        <v>135.14141414141415</v>
      </c>
      <c r="AD112" s="9" t="str">
        <f t="shared" si="22"/>
        <v>0.387764558894886-0.47879695052465i</v>
      </c>
      <c r="AE112" s="9" t="str">
        <f t="shared" si="27"/>
        <v>0.998801508938106-0.07286493130533i</v>
      </c>
      <c r="AF112" s="9" t="str">
        <f t="shared" si="23"/>
        <v>6.61721703953973-9.51008724104782i</v>
      </c>
      <c r="AG112" s="9">
        <f t="shared" si="18"/>
        <v>11.585737813394342</v>
      </c>
      <c r="AH112" s="9">
        <f t="shared" si="19"/>
        <v>-0.9628877525681786</v>
      </c>
      <c r="AI112" s="9">
        <f t="shared" si="20"/>
        <v>-55.169404366993732</v>
      </c>
      <c r="AJ112" s="9">
        <f t="shared" si="21"/>
        <v>21.278473922783533</v>
      </c>
      <c r="AL112" s="9" t="str">
        <f t="shared" si="24"/>
        <v>0.00117068204524556-0.00129793407532079i</v>
      </c>
      <c r="AM112" s="9" t="str">
        <f t="shared" si="25"/>
        <v>0.999997697455546-0.00140463572862936i</v>
      </c>
      <c r="AN112" s="9" t="str">
        <f t="shared" si="28"/>
        <v>-0.742567484195476+0.825612650638412i</v>
      </c>
      <c r="AO112" s="9">
        <f t="shared" si="29"/>
        <v>1.110424566316228</v>
      </c>
      <c r="AP112" s="9">
        <f t="shared" si="30"/>
        <v>2.3032875154767742</v>
      </c>
      <c r="AQ112" s="9">
        <f t="shared" si="31"/>
        <v>131.96865364199246</v>
      </c>
      <c r="AR112" s="9">
        <f t="shared" si="32"/>
        <v>0.90978122535609152</v>
      </c>
      <c r="AS112" s="9">
        <f t="shared" si="33"/>
        <v>22.188255148139625</v>
      </c>
      <c r="AT112" s="9">
        <f t="shared" si="34"/>
        <v>76.799249274998729</v>
      </c>
    </row>
    <row r="113" spans="25:46" x14ac:dyDescent="0.25">
      <c r="Y113" s="9">
        <v>111</v>
      </c>
      <c r="Z113" s="9">
        <f t="shared" si="26"/>
        <v>922.66614996535543</v>
      </c>
      <c r="AA113" s="9" t="str">
        <f t="shared" si="35"/>
        <v>5797.28239689428i</v>
      </c>
      <c r="AB113" s="9">
        <f>(Assumed_Efficiency/100)*Rout/'4. Current Sense Resistor'!$B$11</f>
        <v>135.14141414141415</v>
      </c>
      <c r="AD113" s="9" t="str">
        <f t="shared" si="22"/>
        <v>0.359635713343325-0.47092082808267i</v>
      </c>
      <c r="AE113" s="9" t="str">
        <f t="shared" si="27"/>
        <v>0.998644670071668-0.0774847046303773i</v>
      </c>
      <c r="AF113" s="9" t="str">
        <f t="shared" si="23"/>
        <v>6.058543797781-9.35369969211124i</v>
      </c>
      <c r="AG113" s="9">
        <f t="shared" si="18"/>
        <v>11.144399978457008</v>
      </c>
      <c r="AH113" s="9">
        <f t="shared" si="19"/>
        <v>-0.99602819169824763</v>
      </c>
      <c r="AI113" s="9">
        <f t="shared" si="20"/>
        <v>-57.068211660356894</v>
      </c>
      <c r="AJ113" s="9">
        <f t="shared" si="21"/>
        <v>20.941133815122658</v>
      </c>
      <c r="AL113" s="9" t="str">
        <f t="shared" si="24"/>
        <v>0.00117048682315687-0.00122050793087885i</v>
      </c>
      <c r="AM113" s="9" t="str">
        <f t="shared" si="25"/>
        <v>0.999997396053256-0.00149374227281402i</v>
      </c>
      <c r="AN113" s="9" t="str">
        <f t="shared" si="28"/>
        <v>-0.742443237093723+0.776490241799892i</v>
      </c>
      <c r="AO113" s="9">
        <f t="shared" si="29"/>
        <v>1.0743179491736423</v>
      </c>
      <c r="AP113" s="9">
        <f t="shared" si="30"/>
        <v>2.3337831701731773</v>
      </c>
      <c r="AQ113" s="9">
        <f t="shared" si="31"/>
        <v>133.71592594958463</v>
      </c>
      <c r="AR113" s="9">
        <f t="shared" si="32"/>
        <v>0.62265663539734695</v>
      </c>
      <c r="AS113" s="9">
        <f t="shared" si="33"/>
        <v>21.563790450520006</v>
      </c>
      <c r="AT113" s="9">
        <f t="shared" si="34"/>
        <v>76.647714289227736</v>
      </c>
    </row>
    <row r="114" spans="25:46" x14ac:dyDescent="0.25">
      <c r="Y114" s="9">
        <v>112</v>
      </c>
      <c r="Z114" s="9">
        <f t="shared" si="26"/>
        <v>981.19810609251715</v>
      </c>
      <c r="AA114" s="9" t="str">
        <f t="shared" si="35"/>
        <v>6165.04952363294i</v>
      </c>
      <c r="AB114" s="9">
        <f>(Assumed_Efficiency/100)*Rout/'4. Current Sense Resistor'!$B$11</f>
        <v>135.14141414141415</v>
      </c>
      <c r="AD114" s="9" t="str">
        <f t="shared" si="22"/>
        <v>0.332518279330152-0.46158114408788i</v>
      </c>
      <c r="AE114" s="9" t="str">
        <f t="shared" si="27"/>
        <v>0.998467313169642-0.082397015489499i</v>
      </c>
      <c r="AF114" s="9" t="str">
        <f t="shared" si="23"/>
        <v>5.51995791140974-9.16824677314251i</v>
      </c>
      <c r="AG114" s="9">
        <f t="shared" si="18"/>
        <v>10.701714079388077</v>
      </c>
      <c r="AH114" s="9">
        <f t="shared" si="19"/>
        <v>-1.0288536297772015</v>
      </c>
      <c r="AI114" s="9">
        <f t="shared" si="20"/>
        <v>-58.948970722948971</v>
      </c>
      <c r="AJ114" s="9">
        <f t="shared" si="21"/>
        <v>20.589066872583821</v>
      </c>
      <c r="AL114" s="9" t="str">
        <f t="shared" si="24"/>
        <v>0.00117031419768127-0.00114770049108211i</v>
      </c>
      <c r="AM114" s="9" t="str">
        <f t="shared" si="25"/>
        <v>0.999997055197645-0.00158850143804486i</v>
      </c>
      <c r="AN114" s="9" t="str">
        <f t="shared" si="28"/>
        <v>-0.742333316266632+0.730306264521377i</v>
      </c>
      <c r="AO114" s="9">
        <f t="shared" si="29"/>
        <v>1.0413481610098436</v>
      </c>
      <c r="AP114" s="9">
        <f t="shared" si="30"/>
        <v>2.3643613115325155</v>
      </c>
      <c r="AQ114" s="9">
        <f t="shared" si="31"/>
        <v>135.46792439482914</v>
      </c>
      <c r="AR114" s="9">
        <f t="shared" si="32"/>
        <v>0.35191908830818963</v>
      </c>
      <c r="AS114" s="9">
        <f t="shared" si="33"/>
        <v>20.940985960892011</v>
      </c>
      <c r="AT114" s="9">
        <f t="shared" si="34"/>
        <v>76.518953671880169</v>
      </c>
    </row>
    <row r="115" spans="25:46" x14ac:dyDescent="0.25">
      <c r="Y115" s="9">
        <v>113</v>
      </c>
      <c r="Z115" s="9">
        <f t="shared" si="26"/>
        <v>1043.443203628628</v>
      </c>
      <c r="AA115" s="9" t="str">
        <f t="shared" si="35"/>
        <v>6556.14700591579i</v>
      </c>
      <c r="AB115" s="9">
        <f>(Assumed_Efficiency/100)*Rout/'4. Current Sense Resistor'!$B$11</f>
        <v>135.14141414141415</v>
      </c>
      <c r="AD115" s="9" t="str">
        <f t="shared" si="22"/>
        <v>0.306551910720344-0.450931448827021i</v>
      </c>
      <c r="AE115" s="9" t="str">
        <f t="shared" si="27"/>
        <v>0.998266755816043-0.0876203143197047i</v>
      </c>
      <c r="AF115" s="9" t="str">
        <f t="shared" si="23"/>
        <v>5.0042330088699-8.95677832579283i</v>
      </c>
      <c r="AG115" s="9">
        <f t="shared" si="18"/>
        <v>10.259933039959634</v>
      </c>
      <c r="AH115" s="9">
        <f t="shared" si="19"/>
        <v>-1.0612913115811391</v>
      </c>
      <c r="AI115" s="9">
        <f t="shared" si="20"/>
        <v>-60.807512987502896</v>
      </c>
      <c r="AJ115" s="9">
        <f t="shared" si="21"/>
        <v>20.222890528438104</v>
      </c>
      <c r="AL115" s="9" t="str">
        <f t="shared" si="24"/>
        <v>0.00117016155330707-0.00107923624054725i</v>
      </c>
      <c r="AM115" s="9" t="str">
        <f t="shared" si="25"/>
        <v>0.99999666972434-0.0016892717928684i</v>
      </c>
      <c r="AN115" s="9" t="str">
        <f t="shared" si="28"/>
        <v>-0.742236056263609+0.686885950989424i</v>
      </c>
      <c r="AO115" s="9">
        <f t="shared" si="29"/>
        <v>1.0112994971245661</v>
      </c>
      <c r="AP115" s="9">
        <f t="shared" si="30"/>
        <v>2.3949052891126135</v>
      </c>
      <c r="AQ115" s="9">
        <f t="shared" si="31"/>
        <v>137.21796539971098</v>
      </c>
      <c r="AR115" s="9">
        <f t="shared" si="32"/>
        <v>9.7595825697087135E-2</v>
      </c>
      <c r="AS115" s="9">
        <f t="shared" si="33"/>
        <v>20.320486354135191</v>
      </c>
      <c r="AT115" s="9">
        <f t="shared" si="34"/>
        <v>76.410452412208087</v>
      </c>
    </row>
    <row r="116" spans="25:46" x14ac:dyDescent="0.25">
      <c r="Y116" s="9">
        <v>114</v>
      </c>
      <c r="Z116" s="9">
        <f t="shared" si="26"/>
        <v>1109.6369962786232</v>
      </c>
      <c r="AA116" s="9" t="str">
        <f t="shared" si="35"/>
        <v>6972.05487132073i</v>
      </c>
      <c r="AB116" s="9">
        <f>(Assumed_Efficiency/100)*Rout/'4. Current Sense Resistor'!$B$11</f>
        <v>135.14141414141415</v>
      </c>
      <c r="AD116" s="9" t="str">
        <f t="shared" si="22"/>
        <v>0.281848101356859-0.439137746239143i</v>
      </c>
      <c r="AE116" s="9" t="str">
        <f t="shared" si="27"/>
        <v>0.998039965413002-0.0931742002549597i</v>
      </c>
      <c r="AF116" s="9" t="str">
        <f t="shared" si="23"/>
        <v>4.51358342236946-8.72259154494666i</v>
      </c>
      <c r="AG116" s="9">
        <f t="shared" si="18"/>
        <v>9.8212035194605036</v>
      </c>
      <c r="AH116" s="9">
        <f t="shared" si="19"/>
        <v>-1.0932792789133599</v>
      </c>
      <c r="AI116" s="9">
        <f t="shared" si="20"/>
        <v>-62.640288510841501</v>
      </c>
      <c r="AJ116" s="9">
        <f t="shared" si="21"/>
        <v>19.843294215685546</v>
      </c>
      <c r="AL116" s="9" t="str">
        <f t="shared" si="24"/>
        <v>0.0011700265772613-0.00101485609822215i</v>
      </c>
      <c r="AM116" s="9" t="str">
        <f t="shared" si="25"/>
        <v>0.999996233792975-0.00179643464827655i</v>
      </c>
      <c r="AN116" s="9" t="str">
        <f t="shared" si="28"/>
        <v>-0.74214998346142+0.64606499090266i</v>
      </c>
      <c r="AO116" s="9">
        <f t="shared" si="29"/>
        <v>0.98396472011035041</v>
      </c>
      <c r="AP116" s="9">
        <f t="shared" si="30"/>
        <v>2.4252990569961526</v>
      </c>
      <c r="AQ116" s="9">
        <f t="shared" si="31"/>
        <v>138.95940002293804</v>
      </c>
      <c r="AR116" s="9">
        <f t="shared" si="32"/>
        <v>-0.14040945690315076</v>
      </c>
      <c r="AS116" s="9">
        <f t="shared" si="33"/>
        <v>19.702884758782396</v>
      </c>
      <c r="AT116" s="9">
        <f t="shared" si="34"/>
        <v>76.319111512096541</v>
      </c>
    </row>
    <row r="117" spans="25:46" x14ac:dyDescent="0.25">
      <c r="Y117" s="9">
        <v>115</v>
      </c>
      <c r="Z117" s="9">
        <f t="shared" si="26"/>
        <v>1180.0299807678607</v>
      </c>
      <c r="AA117" s="9" t="str">
        <f t="shared" si="35"/>
        <v>7414.34703719203i</v>
      </c>
      <c r="AB117" s="9">
        <f>(Assumed_Efficiency/100)*Rout/'4. Current Sense Resistor'!$B$11</f>
        <v>135.14141414141415</v>
      </c>
      <c r="AD117" s="9" t="str">
        <f t="shared" si="22"/>
        <v>0.25848971020904-0.426372832123746i</v>
      </c>
      <c r="AE117" s="9" t="str">
        <f t="shared" si="27"/>
        <v>0.997783513605614-0.099079489597803i</v>
      </c>
      <c r="AF117" s="9" t="str">
        <f t="shared" si="23"/>
        <v>4.04965475590499-8.46911852977263i</v>
      </c>
      <c r="AG117" s="9">
        <f t="shared" si="18"/>
        <v>9.3875274866900913</v>
      </c>
      <c r="AH117" s="9">
        <f t="shared" si="19"/>
        <v>-1.1247670072824989</v>
      </c>
      <c r="AI117" s="9">
        <f t="shared" si="20"/>
        <v>-64.444402452847527</v>
      </c>
      <c r="AJ117" s="9">
        <f t="shared" si="21"/>
        <v>19.45102443257548</v>
      </c>
      <c r="AL117" s="9" t="str">
        <f t="shared" si="24"/>
        <v>0.00116990722446877-0.000954316437211812i</v>
      </c>
      <c r="AM117" s="9" t="str">
        <f t="shared" si="25"/>
        <v>0.999995740798703-0.00191039549955252i</v>
      </c>
      <c r="AN117" s="9" t="str">
        <f t="shared" si="28"/>
        <v>-0.742073793737254+0.607688909840662i</v>
      </c>
      <c r="AO117" s="9">
        <f t="shared" si="29"/>
        <v>0.95914510189800417</v>
      </c>
      <c r="AP117" s="9">
        <f t="shared" si="30"/>
        <v>2.4554293208620588</v>
      </c>
      <c r="AQ117" s="9">
        <f t="shared" si="31"/>
        <v>140.68573697807</v>
      </c>
      <c r="AR117" s="9">
        <f t="shared" si="32"/>
        <v>-0.36231373381937848</v>
      </c>
      <c r="AS117" s="9">
        <f t="shared" si="33"/>
        <v>19.088710698756103</v>
      </c>
      <c r="AT117" s="9">
        <f t="shared" si="34"/>
        <v>76.24133452522247</v>
      </c>
    </row>
    <row r="118" spans="25:46" x14ac:dyDescent="0.25">
      <c r="Y118" s="9">
        <v>116</v>
      </c>
      <c r="Z118" s="9">
        <f t="shared" si="26"/>
        <v>1254.8885447951977</v>
      </c>
      <c r="AA118" s="9" t="str">
        <f t="shared" si="35"/>
        <v>7884.69726680516i</v>
      </c>
      <c r="AB118" s="9">
        <f>(Assumed_Efficiency/100)*Rout/'4. Current Sense Resistor'!$B$11</f>
        <v>135.14141414141415</v>
      </c>
      <c r="AD118" s="9" t="str">
        <f t="shared" si="22"/>
        <v>0.236531678470231-0.412810989789778i</v>
      </c>
      <c r="AE118" s="9" t="str">
        <f t="shared" si="27"/>
        <v>0.997493524814399-0.105358287746802i</v>
      </c>
      <c r="AF118" s="9" t="str">
        <f t="shared" si="23"/>
        <v>3.61353812660798-8.19982093396356i</v>
      </c>
      <c r="AG118" s="9">
        <f t="shared" si="18"/>
        <v>8.9607321766425159</v>
      </c>
      <c r="AH118" s="9">
        <f t="shared" si="19"/>
        <v>-1.1557156991368294</v>
      </c>
      <c r="AI118" s="9">
        <f t="shared" si="20"/>
        <v>-66.217631877551554</v>
      </c>
      <c r="AJ118" s="9">
        <f t="shared" si="21"/>
        <v>19.046869941644893</v>
      </c>
      <c r="AL118" s="9" t="str">
        <f t="shared" si="24"/>
        <v>0.00116980168656696-0.000897388163042835i</v>
      </c>
      <c r="AM118" s="9" t="str">
        <f t="shared" si="25"/>
        <v>0.999995183272135-0.00203158555940483i</v>
      </c>
      <c r="AN118" s="9" t="str">
        <f t="shared" si="28"/>
        <v>-0.742006332709853+0.571612484826251i</v>
      </c>
      <c r="AO118" s="9">
        <f t="shared" si="29"/>
        <v>0.93665053813616428</v>
      </c>
      <c r="AP118" s="9">
        <f t="shared" si="30"/>
        <v>2.485187560688225</v>
      </c>
      <c r="AQ118" s="9">
        <f t="shared" si="31"/>
        <v>142.39075852584742</v>
      </c>
      <c r="AR118" s="9">
        <f t="shared" si="32"/>
        <v>-0.56844826053588271</v>
      </c>
      <c r="AS118" s="9">
        <f t="shared" si="33"/>
        <v>18.478421681109012</v>
      </c>
      <c r="AT118" s="9">
        <f t="shared" si="34"/>
        <v>76.173126648295863</v>
      </c>
    </row>
    <row r="119" spans="25:46" x14ac:dyDescent="0.25">
      <c r="Y119" s="9">
        <v>117</v>
      </c>
      <c r="Z119" s="9">
        <f t="shared" si="26"/>
        <v>1334.4959751221782</v>
      </c>
      <c r="AA119" s="9" t="str">
        <f t="shared" si="35"/>
        <v>8384.88550337796i</v>
      </c>
      <c r="AB119" s="9">
        <f>(Assumed_Efficiency/100)*Rout/'4. Current Sense Resistor'!$B$11</f>
        <v>135.14141414141415</v>
      </c>
      <c r="AD119" s="9" t="str">
        <f t="shared" si="22"/>
        <v>0.216002737501072-0.398623283071945i</v>
      </c>
      <c r="AE119" s="9" t="str">
        <f t="shared" si="27"/>
        <v>0.997165618124456-0.112034064620456i</v>
      </c>
      <c r="AF119" s="9" t="str">
        <f t="shared" si="23"/>
        <v>3.20580408525813-7.91809648036906i</v>
      </c>
      <c r="AG119" s="9">
        <f t="shared" si="18"/>
        <v>8.5424488119912443</v>
      </c>
      <c r="AH119" s="9">
        <f t="shared" si="19"/>
        <v>-1.1860982633089177</v>
      </c>
      <c r="AI119" s="9">
        <f t="shared" si="20"/>
        <v>-67.958424575397601</v>
      </c>
      <c r="AJ119" s="9">
        <f t="shared" si="21"/>
        <v>18.631647702037959</v>
      </c>
      <c r="AL119" s="9" t="str">
        <f t="shared" si="24"/>
        <v>0.00116970836450729-0.000843855846885774i</v>
      </c>
      <c r="AM119" s="9" t="str">
        <f t="shared" si="25"/>
        <v>0.999994552766181-0.00216046338814407i</v>
      </c>
      <c r="AN119" s="9" t="str">
        <f t="shared" si="28"/>
        <v>-0.741946578249342+0.537699194874206i</v>
      </c>
      <c r="AO119" s="9">
        <f t="shared" si="29"/>
        <v>0.91629970486968748</v>
      </c>
      <c r="AP119" s="9">
        <f t="shared" si="30"/>
        <v>2.5144718428158961</v>
      </c>
      <c r="AQ119" s="9">
        <f t="shared" si="31"/>
        <v>144.0686242978334</v>
      </c>
      <c r="AR119" s="9">
        <f t="shared" si="32"/>
        <v>-0.75924906633123945</v>
      </c>
      <c r="AS119" s="9">
        <f t="shared" si="33"/>
        <v>17.87239863570672</v>
      </c>
      <c r="AT119" s="9">
        <f t="shared" si="34"/>
        <v>76.110199722435794</v>
      </c>
    </row>
    <row r="120" spans="25:46" x14ac:dyDescent="0.25">
      <c r="Y120" s="9">
        <v>118</v>
      </c>
      <c r="Z120" s="9">
        <f t="shared" si="26"/>
        <v>1419.1535296132129</v>
      </c>
      <c r="AA120" s="9" t="str">
        <f t="shared" si="35"/>
        <v>8916.80460589779i</v>
      </c>
      <c r="AB120" s="9">
        <f>(Assumed_Efficiency/100)*Rout/'4. Current Sense Resistor'!$B$11</f>
        <v>135.14141414141415</v>
      </c>
      <c r="AD120" s="9" t="str">
        <f t="shared" si="22"/>
        <v>0.196907869176192-0.383973606088153i</v>
      </c>
      <c r="AE120" s="9" t="str">
        <f t="shared" si="27"/>
        <v>0.996794841687785-0.119131733585015i</v>
      </c>
      <c r="AF120" s="9" t="str">
        <f t="shared" si="23"/>
        <v>2.82655148021828-7.6272005053587i</v>
      </c>
      <c r="AG120" s="9">
        <f t="shared" si="18"/>
        <v>8.1340998776304776</v>
      </c>
      <c r="AH120" s="9">
        <f t="shared" si="19"/>
        <v>-1.2158990226683699</v>
      </c>
      <c r="AI120" s="9">
        <f t="shared" si="20"/>
        <v>-69.665882312979207</v>
      </c>
      <c r="AJ120" s="9">
        <f t="shared" si="21"/>
        <v>18.206190015016503</v>
      </c>
      <c r="AL120" s="9" t="str">
        <f t="shared" si="24"/>
        <v>0.00116962584432758-0.000793516910461359i</v>
      </c>
      <c r="AM120" s="9" t="str">
        <f t="shared" si="25"/>
        <v>0.999993839728077-0.002297516627015i</v>
      </c>
      <c r="AN120" s="9" t="str">
        <f t="shared" si="28"/>
        <v>-0.741893624990722+0.505820704450962i</v>
      </c>
      <c r="AO120" s="9">
        <f t="shared" si="29"/>
        <v>0.89792022800087401</v>
      </c>
      <c r="AP120" s="9">
        <f t="shared" si="30"/>
        <v>2.5431883519960179</v>
      </c>
      <c r="AQ120" s="9">
        <f t="shared" si="31"/>
        <v>145.71395907620303</v>
      </c>
      <c r="AR120" s="9">
        <f t="shared" si="32"/>
        <v>-0.9352448942243009</v>
      </c>
      <c r="AS120" s="9">
        <f t="shared" si="33"/>
        <v>17.270945120792202</v>
      </c>
      <c r="AT120" s="9">
        <f t="shared" si="34"/>
        <v>76.048076763223818</v>
      </c>
    </row>
    <row r="121" spans="25:46" x14ac:dyDescent="0.25">
      <c r="Y121" s="9">
        <v>119</v>
      </c>
      <c r="Z121" s="9">
        <f t="shared" si="26"/>
        <v>1509.1815772837017</v>
      </c>
      <c r="AA121" s="9" t="str">
        <f t="shared" si="35"/>
        <v>9482.46751225507i</v>
      </c>
      <c r="AB121" s="9">
        <f>(Assumed_Efficiency/100)*Rout/'4. Current Sense Resistor'!$B$11</f>
        <v>135.14141414141415</v>
      </c>
      <c r="AD121" s="9" t="str">
        <f t="shared" si="22"/>
        <v>0.179231270717766-0.369015569584267i</v>
      </c>
      <c r="AE121" s="9" t="str">
        <f t="shared" si="27"/>
        <v>0.996375598692028-0.126677733851334i</v>
      </c>
      <c r="AF121" s="9" t="str">
        <f t="shared" si="23"/>
        <v>2.47546634087427-7.33018411874513i</v>
      </c>
      <c r="AG121" s="9">
        <f t="shared" ref="AG121:AG184" si="36">IMABS(AF121)</f>
        <v>7.7368942618795549</v>
      </c>
      <c r="AH121" s="9">
        <f t="shared" ref="AH121:AH184" si="37">IMARGUMENT(AF121)</f>
        <v>-1.2451131992617641</v>
      </c>
      <c r="AI121" s="9">
        <f t="shared" ref="AI121:AI184" si="38">AH121/(PI())*180</f>
        <v>-71.339731333730569</v>
      </c>
      <c r="AJ121" s="9">
        <f t="shared" ref="AJ121:AJ184" si="39">20*LOG(AG121,10)</f>
        <v>17.77133323016988</v>
      </c>
      <c r="AL121" s="9" t="str">
        <f t="shared" si="24"/>
        <v>0.00116955287572891-0.000746180859551472i</v>
      </c>
      <c r="AM121" s="9" t="str">
        <f t="shared" si="25"/>
        <v>0.999993033354674-0.00244326384117529i</v>
      </c>
      <c r="AN121" s="9" t="str">
        <f t="shared" si="28"/>
        <v>-0.741846670616572+0.475856377893965i</v>
      </c>
      <c r="AO121" s="9">
        <f t="shared" si="29"/>
        <v>0.88134883847841794</v>
      </c>
      <c r="AP121" s="9">
        <f t="shared" si="30"/>
        <v>2.5712525954113388</v>
      </c>
      <c r="AQ121" s="9">
        <f t="shared" si="31"/>
        <v>147.32192177912873</v>
      </c>
      <c r="AR121" s="9">
        <f t="shared" si="32"/>
        <v>-1.0970432701094237</v>
      </c>
      <c r="AS121" s="9">
        <f t="shared" si="33"/>
        <v>16.674289960060456</v>
      </c>
      <c r="AT121" s="9">
        <f t="shared" si="34"/>
        <v>75.98219044539816</v>
      </c>
    </row>
    <row r="122" spans="25:46" x14ac:dyDescent="0.25">
      <c r="Y122" s="9">
        <v>120</v>
      </c>
      <c r="Z122" s="9">
        <f t="shared" si="26"/>
        <v>1604.9208106703452</v>
      </c>
      <c r="AA122" s="9" t="str">
        <f t="shared" si="35"/>
        <v>10084.0148567907i</v>
      </c>
      <c r="AB122" s="9">
        <f>(Assumed_Efficiency/100)*Rout/'4. Current Sense Resistor'!$B$11</f>
        <v>135.14141414141415</v>
      </c>
      <c r="AD122" s="9" t="str">
        <f t="shared" si="22"/>
        <v>0.162939589582564-0.353890233431215i</v>
      </c>
      <c r="AE122" s="9" t="str">
        <f t="shared" si="27"/>
        <v>0.995901563834203-0.134700116252448i</v>
      </c>
      <c r="AF122" s="9" t="str">
        <f t="shared" si="23"/>
        <v>2.15188612445133-7.02984916923326i</v>
      </c>
      <c r="AG122" s="9">
        <f t="shared" si="36"/>
        <v>7.3518292441252822</v>
      </c>
      <c r="AH122" s="9">
        <f t="shared" si="37"/>
        <v>-1.2737462287705288</v>
      </c>
      <c r="AI122" s="9">
        <f t="shared" si="38"/>
        <v>-72.980283079256338</v>
      </c>
      <c r="AJ122" s="9">
        <f t="shared" si="39"/>
        <v>17.327908228727178</v>
      </c>
      <c r="AL122" s="9" t="str">
        <f t="shared" si="24"/>
        <v>0.00116948835313198-0.000701668563218307i</v>
      </c>
      <c r="AM122" s="9" t="str">
        <f t="shared" si="25"/>
        <v>0.999992121428773-0.00259825647921322i</v>
      </c>
      <c r="AN122" s="9" t="str">
        <f t="shared" si="28"/>
        <v>-0.741805003700925+0.447692822955599i</v>
      </c>
      <c r="AO122" s="9">
        <f t="shared" si="29"/>
        <v>0.86643149021817223</v>
      </c>
      <c r="AP122" s="9">
        <f t="shared" si="30"/>
        <v>2.598590254000269</v>
      </c>
      <c r="AQ122" s="9">
        <f t="shared" si="31"/>
        <v>148.888254238044</v>
      </c>
      <c r="AR122" s="9">
        <f t="shared" si="32"/>
        <v>-1.2453154356081524</v>
      </c>
      <c r="AS122" s="9">
        <f t="shared" si="33"/>
        <v>16.082592793119026</v>
      </c>
      <c r="AT122" s="9">
        <f t="shared" si="34"/>
        <v>75.90797115878766</v>
      </c>
    </row>
    <row r="123" spans="25:46" x14ac:dyDescent="0.25">
      <c r="Y123" s="9">
        <v>121</v>
      </c>
      <c r="Z123" s="9">
        <f t="shared" si="26"/>
        <v>1706.7335351116335</v>
      </c>
      <c r="AA123" s="9" t="str">
        <f t="shared" si="35"/>
        <v>10723.7230710841i</v>
      </c>
      <c r="AB123" s="9">
        <f>(Assumed_Efficiency/100)*Rout/'4. Current Sense Resistor'!$B$11</f>
        <v>135.14141414141415</v>
      </c>
      <c r="AD123" s="9" t="str">
        <f t="shared" si="22"/>
        <v>0.147985223792666-0.3387246389083i</v>
      </c>
      <c r="AE123" s="9" t="str">
        <f t="shared" si="27"/>
        <v>0.995365589110818-0.143228632246604i</v>
      </c>
      <c r="AF123" s="9" t="str">
        <f t="shared" si="23"/>
        <v>1.85486526240508-6.72871909450508i</v>
      </c>
      <c r="AG123" s="9">
        <f t="shared" si="36"/>
        <v>6.9796981162822753</v>
      </c>
      <c r="AH123" s="9">
        <f t="shared" si="37"/>
        <v>-1.3018129546878054</v>
      </c>
      <c r="AI123" s="9">
        <f t="shared" si="38"/>
        <v>-74.588388019066727</v>
      </c>
      <c r="AJ123" s="9">
        <f t="shared" si="39"/>
        <v>16.876732781208119</v>
      </c>
      <c r="AL123" s="9" t="str">
        <f t="shared" si="24"/>
        <v>0.0011694312989261-0.00065981157600786i</v>
      </c>
      <c r="AM123" s="9" t="str">
        <f t="shared" si="25"/>
        <v>0.999991090134057-0.00276308095652153i</v>
      </c>
      <c r="AN123" s="9" t="str">
        <f t="shared" si="28"/>
        <v>-0.741767992930231+0.421223461746687i</v>
      </c>
      <c r="AO123" s="9">
        <f t="shared" si="29"/>
        <v>0.85302342292671296</v>
      </c>
      <c r="AP123" s="9">
        <f t="shared" si="30"/>
        <v>2.625137679193811</v>
      </c>
      <c r="AQ123" s="9">
        <f t="shared" si="31"/>
        <v>150.40930965857322</v>
      </c>
      <c r="AR123" s="9">
        <f t="shared" si="32"/>
        <v>-1.3807808700104065</v>
      </c>
      <c r="AS123" s="9">
        <f t="shared" si="33"/>
        <v>15.495951911197713</v>
      </c>
      <c r="AT123" s="9">
        <f t="shared" si="34"/>
        <v>75.820921639506494</v>
      </c>
    </row>
    <row r="124" spans="25:46" x14ac:dyDescent="0.25">
      <c r="Y124" s="9">
        <v>122</v>
      </c>
      <c r="Z124" s="9">
        <f t="shared" si="26"/>
        <v>1815.0050398174897</v>
      </c>
      <c r="AA124" s="9" t="str">
        <f t="shared" si="35"/>
        <v>11404.0129986382i</v>
      </c>
      <c r="AB124" s="9">
        <f>(Assumed_Efficiency/100)*Rout/'4. Current Sense Resistor'!$B$11</f>
        <v>135.14141414141415</v>
      </c>
      <c r="AD124" s="9" t="str">
        <f t="shared" si="22"/>
        <v>0.134309522350104-0.323631054893221i</v>
      </c>
      <c r="AE124" s="9" t="str">
        <f t="shared" si="27"/>
        <v>0.994759597595194-0.152294825907311i</v>
      </c>
      <c r="AF124" s="9" t="str">
        <f t="shared" si="23"/>
        <v>1.58323872213273-6.42902395026817i</v>
      </c>
      <c r="AG124" s="9">
        <f t="shared" si="36"/>
        <v>6.6211021593373873</v>
      </c>
      <c r="AH124" s="9">
        <f t="shared" si="37"/>
        <v>-1.3293367481747844</v>
      </c>
      <c r="AI124" s="9">
        <f t="shared" si="38"/>
        <v>-76.165385222060294</v>
      </c>
      <c r="AJ124" s="9">
        <f t="shared" si="39"/>
        <v>16.418605776337181</v>
      </c>
      <c r="AL124" s="9" t="str">
        <f t="shared" si="24"/>
        <v>0.00116938084865727-0.000620451500575676i</v>
      </c>
      <c r="AM124" s="9" t="str">
        <f t="shared" si="25"/>
        <v>0.999989923845791-0.00293836087029286i</v>
      </c>
      <c r="AN124" s="9" t="str">
        <f t="shared" si="28"/>
        <v>-0.741735077538264+0.396348127457617i</v>
      </c>
      <c r="AO124" s="9">
        <f t="shared" si="29"/>
        <v>0.84098915771242488</v>
      </c>
      <c r="AP124" s="9">
        <f t="shared" si="30"/>
        <v>2.650842053295146</v>
      </c>
      <c r="AQ124" s="9">
        <f t="shared" si="31"/>
        <v>151.88206180960509</v>
      </c>
      <c r="AR124" s="9">
        <f t="shared" si="32"/>
        <v>-1.5041920644464706</v>
      </c>
      <c r="AS124" s="9">
        <f t="shared" si="33"/>
        <v>14.91441371189071</v>
      </c>
      <c r="AT124" s="9">
        <f t="shared" si="34"/>
        <v>75.716676587544796</v>
      </c>
    </row>
    <row r="125" spans="25:46" x14ac:dyDescent="0.25">
      <c r="Y125" s="9">
        <v>123</v>
      </c>
      <c r="Z125" s="9">
        <f t="shared" si="26"/>
        <v>1930.1450559166665</v>
      </c>
      <c r="AA125" s="9" t="str">
        <f t="shared" si="35"/>
        <v>12127.4590560609i</v>
      </c>
      <c r="AB125" s="9">
        <f>(Assumed_Efficiency/100)*Rout/'4. Current Sense Resistor'!$B$11</f>
        <v>135.14141414141415</v>
      </c>
      <c r="AD125" s="9" t="str">
        <f t="shared" si="22"/>
        <v>0.12184576289493-0.30870682857661i</v>
      </c>
      <c r="AE125" s="9" t="str">
        <f t="shared" si="27"/>
        <v>0.994074463717936-0.161932128559198i</v>
      </c>
      <c r="AF125" s="9" t="str">
        <f t="shared" si="23"/>
        <v>1.33568114422645-6.13269744580381i</v>
      </c>
      <c r="AG125" s="9">
        <f t="shared" si="36"/>
        <v>6.2764657316686323</v>
      </c>
      <c r="AH125" s="9">
        <f t="shared" si="37"/>
        <v>-1.3563485931239037</v>
      </c>
      <c r="AI125" s="9">
        <f t="shared" si="38"/>
        <v>-77.713049934506586</v>
      </c>
      <c r="AJ125" s="9">
        <f t="shared" si="39"/>
        <v>15.954303240010027</v>
      </c>
      <c r="AL125" s="9" t="str">
        <f t="shared" si="24"/>
        <v>0.00116933623793041-0.000583439388325309i</v>
      </c>
      <c r="AM125" s="9" t="str">
        <f t="shared" si="25"/>
        <v>0.999988604894149-0.00312475935437654i</v>
      </c>
      <c r="AN125" s="9" t="str">
        <f t="shared" si="28"/>
        <v>-0.741705758809722+0.372972685332456i</v>
      </c>
      <c r="AO125" s="9">
        <f t="shared" si="29"/>
        <v>0.83020241908561598</v>
      </c>
      <c r="AP125" s="9">
        <f t="shared" si="30"/>
        <v>2.6756612476909321</v>
      </c>
      <c r="AQ125" s="9">
        <f t="shared" si="31"/>
        <v>153.30409689939839</v>
      </c>
      <c r="AR125" s="9">
        <f t="shared" si="32"/>
        <v>-1.6163201097304827</v>
      </c>
      <c r="AS125" s="9">
        <f t="shared" si="33"/>
        <v>14.337983130279545</v>
      </c>
      <c r="AT125" s="9">
        <f t="shared" si="34"/>
        <v>75.591046964891802</v>
      </c>
    </row>
    <row r="126" spans="25:46" x14ac:dyDescent="0.25">
      <c r="Y126" s="9">
        <v>124</v>
      </c>
      <c r="Z126" s="9">
        <f t="shared" si="26"/>
        <v>2052.58930699948</v>
      </c>
      <c r="AA126" s="9" t="str">
        <f t="shared" si="35"/>
        <v>12896.7989754131i</v>
      </c>
      <c r="AB126" s="9">
        <f>(Assumed_Efficiency/100)*Rout/'4. Current Sense Resistor'!$B$11</f>
        <v>135.14141414141415</v>
      </c>
      <c r="AD126" s="9" t="str">
        <f t="shared" si="22"/>
        <v>0.110521824763198-0.294034721730477i</v>
      </c>
      <c r="AE126" s="9" t="str">
        <f t="shared" si="27"/>
        <v>0.993299878396695-0.172175955592261i</v>
      </c>
      <c r="AF126" s="9" t="str">
        <f t="shared" si="23"/>
        <v>1.11075992973341-5.84138362311163i</v>
      </c>
      <c r="AG126" s="9">
        <f t="shared" si="36"/>
        <v>5.9460533342594664</v>
      </c>
      <c r="AH126" s="9">
        <f t="shared" si="37"/>
        <v>-1.3828861684671048</v>
      </c>
      <c r="AI126" s="9">
        <f t="shared" si="38"/>
        <v>-79.233541000182456</v>
      </c>
      <c r="AJ126" s="9">
        <f t="shared" si="39"/>
        <v>15.484576007471553</v>
      </c>
      <c r="AL126" s="9" t="str">
        <f t="shared" si="24"/>
        <v>0.00116929679082787-0.000548635175793453i</v>
      </c>
      <c r="AM126" s="9" t="str">
        <f t="shared" si="25"/>
        <v>0.999987113296551-0.00332298158273716i</v>
      </c>
      <c r="AN126" s="9" t="str">
        <f t="shared" si="28"/>
        <v>-0.741679592524145+0.351008676462906i</v>
      </c>
      <c r="AO126" s="9">
        <f t="shared" si="29"/>
        <v>0.82054598220881125</v>
      </c>
      <c r="AP126" s="9">
        <f t="shared" si="30"/>
        <v>2.6995634241216271</v>
      </c>
      <c r="AQ126" s="9">
        <f t="shared" si="31"/>
        <v>154.67359073005429</v>
      </c>
      <c r="AR126" s="9">
        <f t="shared" si="32"/>
        <v>-1.7179415338996094</v>
      </c>
      <c r="AS126" s="9">
        <f t="shared" si="33"/>
        <v>13.766634473571944</v>
      </c>
      <c r="AT126" s="9">
        <f t="shared" si="34"/>
        <v>75.440049729871831</v>
      </c>
    </row>
    <row r="127" spans="25:46" x14ac:dyDescent="0.25">
      <c r="Y127" s="9">
        <v>125</v>
      </c>
      <c r="Z127" s="9">
        <f t="shared" si="26"/>
        <v>2182.8011580236971</v>
      </c>
      <c r="AA127" s="9" t="str">
        <f t="shared" si="35"/>
        <v>13714.9441645891i</v>
      </c>
      <c r="AB127" s="9">
        <f>(Assumed_Efficiency/100)*Rout/'4. Current Sense Resistor'!$B$11</f>
        <v>135.14141414141415</v>
      </c>
      <c r="AD127" s="9" t="str">
        <f t="shared" si="22"/>
        <v>0.100262511854215-0.279683614893012i</v>
      </c>
      <c r="AE127" s="9" t="str">
        <f t="shared" si="27"/>
        <v>0.992424197175864-0.183063804832552i</v>
      </c>
      <c r="AF127" s="9" t="str">
        <f t="shared" si="23"/>
        <v>0.906981371905691-5.55645084321966i</v>
      </c>
      <c r="AG127" s="9">
        <f t="shared" si="36"/>
        <v>5.6299876715762354</v>
      </c>
      <c r="AH127" s="9">
        <f t="shared" si="37"/>
        <v>-1.4089929519968971</v>
      </c>
      <c r="AI127" s="9">
        <f t="shared" si="38"/>
        <v>-80.729349513101212</v>
      </c>
      <c r="AJ127" s="9">
        <f t="shared" si="39"/>
        <v>15.01014887687675</v>
      </c>
      <c r="AL127" s="9" t="str">
        <f t="shared" si="24"/>
        <v>0.00116926190966825-0.000515907154650523i</v>
      </c>
      <c r="AM127" s="9" t="str">
        <f t="shared" si="25"/>
        <v>0.999985426454997-0.00353377743078224i</v>
      </c>
      <c r="AN127" s="9" t="str">
        <f t="shared" si="28"/>
        <v>-0.741656182225366+0.330372983055037i</v>
      </c>
      <c r="AO127" s="9">
        <f t="shared" si="29"/>
        <v>0.8119114487219582</v>
      </c>
      <c r="AP127" s="9">
        <f t="shared" si="30"/>
        <v>2.7225264302774796</v>
      </c>
      <c r="AQ127" s="9">
        <f t="shared" si="31"/>
        <v>155.98927406771759</v>
      </c>
      <c r="AR127" s="9">
        <f t="shared" si="32"/>
        <v>-1.8098266917410479</v>
      </c>
      <c r="AS127" s="9">
        <f t="shared" si="33"/>
        <v>13.200322185135702</v>
      </c>
      <c r="AT127" s="9">
        <f t="shared" si="34"/>
        <v>75.259924554616376</v>
      </c>
    </row>
    <row r="128" spans="25:46" x14ac:dyDescent="0.25">
      <c r="Y128" s="9">
        <v>126</v>
      </c>
      <c r="Z128" s="9">
        <f t="shared" si="26"/>
        <v>2321.2733688234066</v>
      </c>
      <c r="AA128" s="9" t="str">
        <f t="shared" si="35"/>
        <v>14584.9907249385i</v>
      </c>
      <c r="AB128" s="9">
        <f>(Assumed_Efficiency/100)*Rout/'4. Current Sense Resistor'!$B$11</f>
        <v>135.14141414141415</v>
      </c>
      <c r="AD128" s="9" t="str">
        <f t="shared" si="22"/>
        <v>0.0909915094760533-0.265709470859228i</v>
      </c>
      <c r="AE128" s="9" t="str">
        <f t="shared" si="27"/>
        <v>0.991434269335752-0.194635355659389i</v>
      </c>
      <c r="AF128" s="9" t="str">
        <f t="shared" si="23"/>
        <v>0.722829517978671-5.27901092251188i</v>
      </c>
      <c r="AG128" s="9">
        <f t="shared" si="36"/>
        <v>5.3282679016788377</v>
      </c>
      <c r="AH128" s="9">
        <f t="shared" si="37"/>
        <v>-1.4347173624957108</v>
      </c>
      <c r="AI128" s="9">
        <f t="shared" si="38"/>
        <v>-82.20324966514525</v>
      </c>
      <c r="AJ128" s="9">
        <f t="shared" si="39"/>
        <v>14.531721054835764</v>
      </c>
      <c r="AL128" s="9" t="str">
        <f t="shared" si="24"/>
        <v>0.00116923106595077-0.000485131473312487i</v>
      </c>
      <c r="AM128" s="9" t="str">
        <f t="shared" si="25"/>
        <v>0.999983518813785-0.00375794430438322i</v>
      </c>
      <c r="AN128" s="9" t="str">
        <f t="shared" si="28"/>
        <v>-0.741635173214787+0.310987513902791i</v>
      </c>
      <c r="AO128" s="9">
        <f t="shared" si="29"/>
        <v>0.80419895794061169</v>
      </c>
      <c r="AP128" s="9">
        <f t="shared" si="30"/>
        <v>2.7445370425016051</v>
      </c>
      <c r="AQ128" s="9">
        <f t="shared" si="31"/>
        <v>157.25038925265901</v>
      </c>
      <c r="AR128" s="9">
        <f t="shared" si="32"/>
        <v>-1.8927298795971295</v>
      </c>
      <c r="AS128" s="9">
        <f t="shared" si="33"/>
        <v>12.638991175238633</v>
      </c>
      <c r="AT128" s="9">
        <f t="shared" si="34"/>
        <v>75.047139587513755</v>
      </c>
    </row>
    <row r="129" spans="25:46" x14ac:dyDescent="0.25">
      <c r="Y129" s="9">
        <v>127</v>
      </c>
      <c r="Z129" s="9">
        <f t="shared" si="26"/>
        <v>2468.5299588567814</v>
      </c>
      <c r="AA129" s="9" t="str">
        <f t="shared" si="35"/>
        <v>15510.2311678216i</v>
      </c>
      <c r="AB129" s="9">
        <f>(Assumed_Efficiency/100)*Rout/'4. Current Sense Resistor'!$B$11</f>
        <v>135.14141414141415</v>
      </c>
      <c r="AD129" s="9" t="str">
        <f t="shared" si="22"/>
        <v>0.0826329820547589-0.252156462593162i</v>
      </c>
      <c r="AE129" s="9" t="str">
        <f t="shared" si="27"/>
        <v>0.990315245713967-0.20693256783081i</v>
      </c>
      <c r="AF129" s="9" t="str">
        <f t="shared" si="23"/>
        <v>0.556797897686475-5.00994153453852i</v>
      </c>
      <c r="AG129" s="9">
        <f t="shared" si="36"/>
        <v>5.0407874462589932</v>
      </c>
      <c r="AH129" s="9">
        <f t="shared" si="37"/>
        <v>-1.4601119501799746</v>
      </c>
      <c r="AI129" s="9">
        <f t="shared" si="38"/>
        <v>-83.658252361928476</v>
      </c>
      <c r="AJ129" s="9">
        <f t="shared" si="39"/>
        <v>14.049967700546279</v>
      </c>
      <c r="AL129" s="9" t="str">
        <f t="shared" si="24"/>
        <v>0.00116920379234776-0.000456191668279062i</v>
      </c>
      <c r="AM129" s="9" t="str">
        <f t="shared" si="25"/>
        <v>0.99998136147246-0.00399633014699712i</v>
      </c>
      <c r="AN129" s="9" t="str">
        <f t="shared" si="28"/>
        <v>-0.741616247177316+0.292778908878557i</v>
      </c>
      <c r="AO129" s="9">
        <f t="shared" si="29"/>
        <v>0.79731684264254954</v>
      </c>
      <c r="AP129" s="9">
        <f t="shared" si="30"/>
        <v>2.7655901062047605</v>
      </c>
      <c r="AQ129" s="9">
        <f t="shared" si="31"/>
        <v>158.4566409486699</v>
      </c>
      <c r="AR129" s="9">
        <f t="shared" si="32"/>
        <v>-1.9673812341378396</v>
      </c>
      <c r="AS129" s="9">
        <f t="shared" si="33"/>
        <v>12.08258646640844</v>
      </c>
      <c r="AT129" s="9">
        <f t="shared" si="34"/>
        <v>74.798388586741424</v>
      </c>
    </row>
    <row r="130" spans="25:46" x14ac:dyDescent="0.25">
      <c r="Y130" s="9">
        <v>128</v>
      </c>
      <c r="Z130" s="9">
        <f t="shared" si="26"/>
        <v>2625.1281902493761</v>
      </c>
      <c r="AA130" s="9" t="str">
        <f t="shared" si="35"/>
        <v>16494.1668744378i</v>
      </c>
      <c r="AB130" s="9">
        <f>(Assumed_Efficiency/100)*Rout/'4. Current Sense Resistor'!$B$11</f>
        <v>135.14141414141415</v>
      </c>
      <c r="AD130" s="9" t="str">
        <f t="shared" ref="AD130:AD193" si="40">IMDIV(IMSUM(1,IMDIV(AA130,$W$4)),IMSUM(1,IMDIV(AA130,$W$6)))</f>
        <v>0.0751128345733826-0.239058186609442i</v>
      </c>
      <c r="AE130" s="9" t="str">
        <f t="shared" si="27"/>
        <v>0.989050362750346-0.219999778703081i</v>
      </c>
      <c r="AF130" s="9" t="str">
        <f t="shared" ref="AF130:AF193" si="41">IF(D_&lt;Dmax,IMPRODUCT(AB130,AC$2,AD130,AE130),0)</f>
        <v>0.407414572612592-4.74991030919704i</v>
      </c>
      <c r="AG130" s="9">
        <f t="shared" si="36"/>
        <v>4.7673508974474936</v>
      </c>
      <c r="AH130" s="9">
        <f t="shared" si="37"/>
        <v>-1.4852326395767887</v>
      </c>
      <c r="AI130" s="9">
        <f t="shared" si="38"/>
        <v>-85.097561842824959</v>
      </c>
      <c r="AJ130" s="9">
        <f t="shared" si="39"/>
        <v>13.565542380754561</v>
      </c>
      <c r="AL130" s="9" t="str">
        <f t="shared" ref="AL130:AL193" si="42">IMDIV(IMSUM(1,IMDIV(AA130,wz1e)),IMSUM(1,IMDIV(AA130,wp1e)))</f>
        <v>0.00116917967562391-0.000428978223425702i</v>
      </c>
      <c r="AM130" s="9" t="str">
        <f t="shared" ref="AM130:AM193" si="43">IMDIV(IMSUM(1,IMDIV(AA130,wz2e)),IMSUM(1,IMDIV(AA130,wp2e)))</f>
        <v>0.999978921748117-0.0042498366359107i</v>
      </c>
      <c r="AN130" s="9" t="str">
        <f t="shared" si="28"/>
        <v>-0.741599117358536+0.27567826132283i</v>
      </c>
      <c r="AO130" s="9">
        <f t="shared" si="29"/>
        <v>0.79118124006635693</v>
      </c>
      <c r="AP130" s="9">
        <f t="shared" si="30"/>
        <v>2.7856876197322205</v>
      </c>
      <c r="AQ130" s="9">
        <f t="shared" si="31"/>
        <v>159.60814365250042</v>
      </c>
      <c r="AR130" s="9">
        <f t="shared" si="32"/>
        <v>-2.0344803794878445</v>
      </c>
      <c r="AS130" s="9">
        <f t="shared" si="33"/>
        <v>11.531062001266717</v>
      </c>
      <c r="AT130" s="9">
        <f t="shared" si="34"/>
        <v>74.510581809675458</v>
      </c>
    </row>
    <row r="131" spans="25:46" x14ac:dyDescent="0.25">
      <c r="Y131" s="9">
        <v>129</v>
      </c>
      <c r="Z131" s="9">
        <f t="shared" ref="Z131:Z194" si="44">10^(LOG($F$3/$F$2,10)*Y131/200)</f>
        <v>2791.6606766374607</v>
      </c>
      <c r="AA131" s="9" t="str">
        <f t="shared" si="35"/>
        <v>17540.5213460795i</v>
      </c>
      <c r="AB131" s="9">
        <f>(Assumed_Efficiency/100)*Rout/'4. Current Sense Resistor'!$B$11</f>
        <v>135.14141414141415</v>
      </c>
      <c r="AD131" s="9" t="str">
        <f t="shared" si="40"/>
        <v>0.0683596706868769-0.226438899124018i</v>
      </c>
      <c r="AE131" s="9" t="str">
        <f t="shared" ref="AE131:AE194" si="45">IMDIV(IMSUM(1,IMDIV(IMPRODUCT(-1,AA131),$W$5)),IMSUM(1,IMDIV(AA131,$W$2*$W$3),IMDIV(IMPOWER(AA131,2),$W$2^2)))</f>
        <v>0.987620700022407-0.233883797197531i</v>
      </c>
      <c r="AF131" s="9" t="str">
        <f t="shared" si="41"/>
        <v>0.273261160667516-4.49939938394787i</v>
      </c>
      <c r="AG131" s="9">
        <f t="shared" si="36"/>
        <v>4.5076897051815612</v>
      </c>
      <c r="AH131" s="9">
        <f t="shared" si="37"/>
        <v>-1.5101380240461753</v>
      </c>
      <c r="AI131" s="9">
        <f t="shared" si="38"/>
        <v>-86.52453526007146</v>
      </c>
      <c r="AJ131" s="9">
        <f t="shared" si="39"/>
        <v>13.079080259435665</v>
      </c>
      <c r="AL131" s="9" t="str">
        <f t="shared" si="42"/>
        <v>0.00116915835037529-0.00040338815558246i</v>
      </c>
      <c r="AM131" s="9" t="str">
        <f t="shared" si="43"/>
        <v>0.999976162680453-0.00451942257927204i</v>
      </c>
      <c r="AN131" s="9" t="str">
        <f t="shared" ref="AN131:AN194" si="46">IMPRODUCT($AK$2,AL131,AM131)</f>
        <v>-0.741583524220226+0.259620857282663i</v>
      </c>
      <c r="AO131" s="9">
        <f t="shared" ref="AO131:AO194" si="47">IMABS(AN131)</f>
        <v>0.78571566926660907</v>
      </c>
      <c r="AP131" s="9">
        <f t="shared" ref="AP131:AP194" si="48">IMARGUMENT(AN131)</f>
        <v>2.8048378008803767</v>
      </c>
      <c r="AQ131" s="9">
        <f t="shared" ref="AQ131:AQ194" si="49">AP131/(PI())*180</f>
        <v>160.70536820920077</v>
      </c>
      <c r="AR131" s="9">
        <f t="shared" ref="AR131:AR194" si="50">20*LOG(AO131,10)</f>
        <v>-2.0946917155629032</v>
      </c>
      <c r="AS131" s="9">
        <f t="shared" ref="AS131:AS194" si="51">AR131+AJ131</f>
        <v>10.984388543872761</v>
      </c>
      <c r="AT131" s="9">
        <f t="shared" ref="AT131:AT194" si="52">AQ131+AI131</f>
        <v>74.180832949129311</v>
      </c>
    </row>
    <row r="132" spans="25:46" x14ac:dyDescent="0.25">
      <c r="Y132" s="9">
        <v>130</v>
      </c>
      <c r="Z132" s="9">
        <f t="shared" si="44"/>
        <v>2968.757625791824</v>
      </c>
      <c r="AA132" s="9" t="str">
        <f t="shared" ref="AA132:AA195" si="53">IMPRODUCT(COMPLEX(0,1),2*PI()*Z132)</f>
        <v>18653.2542949525i</v>
      </c>
      <c r="AB132" s="9">
        <f>(Assumed_Efficiency/100)*Rout/'4. Current Sense Resistor'!$B$11</f>
        <v>135.14141414141415</v>
      </c>
      <c r="AD132" s="9" t="str">
        <f t="shared" si="40"/>
        <v>0.0623054857246094-0.214314727556059i</v>
      </c>
      <c r="AE132" s="9" t="str">
        <f t="shared" si="45"/>
        <v>0.986004908283841-0.248633992468481i</v>
      </c>
      <c r="AF132" s="9" t="str">
        <f t="shared" si="41"/>
        <v>0.152986594563417-4.25872946524131i</v>
      </c>
      <c r="AG132" s="9">
        <f t="shared" si="36"/>
        <v>4.2614764526195197</v>
      </c>
      <c r="AH132" s="9">
        <f t="shared" si="37"/>
        <v>-1.534888707232253</v>
      </c>
      <c r="AI132" s="9">
        <f t="shared" si="38"/>
        <v>-87.942644946699133</v>
      </c>
      <c r="AJ132" s="9">
        <f t="shared" si="39"/>
        <v>12.591201860614415</v>
      </c>
      <c r="AL132" s="9" t="str">
        <f t="shared" si="42"/>
        <v>0.00116913949349282-0.000379324624832089i</v>
      </c>
      <c r="AM132" s="9" t="str">
        <f t="shared" si="43"/>
        <v>0.999973042472078-0.00480610752624634i</v>
      </c>
      <c r="AN132" s="9" t="str">
        <f t="shared" si="46"/>
        <v>-0.741569231508131+0.244545930612105i</v>
      </c>
      <c r="AO132" s="9">
        <f t="shared" si="47"/>
        <v>0.78085058577073529</v>
      </c>
      <c r="AP132" s="9">
        <f t="shared" si="48"/>
        <v>2.8230541679388708</v>
      </c>
      <c r="AQ132" s="9">
        <f t="shared" si="49"/>
        <v>161.74908915971361</v>
      </c>
      <c r="AR132" s="9">
        <f t="shared" si="50"/>
        <v>-2.1486411914208872</v>
      </c>
      <c r="AS132" s="9">
        <f t="shared" si="51"/>
        <v>10.442560669193528</v>
      </c>
      <c r="AT132" s="9">
        <f t="shared" si="52"/>
        <v>73.806444213014473</v>
      </c>
    </row>
    <row r="133" spans="25:46" x14ac:dyDescent="0.25">
      <c r="Y133" s="9">
        <v>131</v>
      </c>
      <c r="Z133" s="9">
        <f t="shared" si="44"/>
        <v>3157.0892245088098</v>
      </c>
      <c r="AA133" s="9" t="str">
        <f t="shared" si="53"/>
        <v>19836.5766288887i</v>
      </c>
      <c r="AB133" s="9">
        <f>(Assumed_Efficiency/100)*Rout/'4. Current Sense Resistor'!$B$11</f>
        <v>135.14141414141415</v>
      </c>
      <c r="AD133" s="9" t="str">
        <f t="shared" si="40"/>
        <v>0.056886134380274-0.202694823502369i</v>
      </c>
      <c r="AE133" s="9" t="str">
        <f t="shared" si="45"/>
        <v>0.984178904758626-0.264302374747984i</v>
      </c>
      <c r="AF133" s="9" t="str">
        <f t="shared" si="41"/>
        <v>0.0453164046907257-4.02808272722872i</v>
      </c>
      <c r="AG133" s="9">
        <f t="shared" si="36"/>
        <v>4.0283376266063478</v>
      </c>
      <c r="AH133" s="9">
        <f t="shared" si="37"/>
        <v>-1.5595466837069423</v>
      </c>
      <c r="AI133" s="9">
        <f t="shared" si="38"/>
        <v>-89.3554429300317</v>
      </c>
      <c r="AJ133" s="9">
        <f t="shared" si="39"/>
        <v>12.102517257627603</v>
      </c>
      <c r="AL133" s="9" t="str">
        <f t="shared" si="42"/>
        <v>0.00116912281926686-0.00035669656805322i</v>
      </c>
      <c r="AM133" s="9" t="str">
        <f t="shared" si="43"/>
        <v>0.999969513855623-0.00511097560333554i</v>
      </c>
      <c r="AN133" s="9" t="str">
        <f t="shared" si="46"/>
        <v>-0.741556022672764+0.230396433007801i</v>
      </c>
      <c r="AO133" s="9">
        <f t="shared" si="47"/>
        <v>0.77652292374724319</v>
      </c>
      <c r="AP133" s="9">
        <f t="shared" si="48"/>
        <v>2.84035465975641</v>
      </c>
      <c r="AQ133" s="9">
        <f t="shared" si="49"/>
        <v>162.74033432435922</v>
      </c>
      <c r="AR133" s="9">
        <f t="shared" si="50"/>
        <v>-2.1969143786188141</v>
      </c>
      <c r="AS133" s="9">
        <f t="shared" si="51"/>
        <v>9.9056028790087893</v>
      </c>
      <c r="AT133" s="9">
        <f t="shared" si="52"/>
        <v>73.384891394327525</v>
      </c>
    </row>
    <row r="134" spans="25:46" x14ac:dyDescent="0.25">
      <c r="Y134" s="9">
        <v>132</v>
      </c>
      <c r="Z134" s="9">
        <f t="shared" si="44"/>
        <v>3357.3681747937244</v>
      </c>
      <c r="AA134" s="9" t="str">
        <f t="shared" si="53"/>
        <v>21094.9663866563i</v>
      </c>
      <c r="AB134" s="9">
        <f>(Assumed_Efficiency/100)*Rout/'4. Current Sense Resistor'!$B$11</f>
        <v>135.14141414141415</v>
      </c>
      <c r="AD134" s="9" t="str">
        <f t="shared" si="40"/>
        <v>0.0520416118545571-0.191582434736101i</v>
      </c>
      <c r="AE134" s="9" t="str">
        <f t="shared" si="45"/>
        <v>0.9821155321843-0.28094366527259i</v>
      </c>
      <c r="AF134" s="9" t="str">
        <f t="shared" si="41"/>
        <v>-0.0509417037481366-3.80752410184009i</v>
      </c>
      <c r="AG134" s="9">
        <f t="shared" si="36"/>
        <v>3.8078648667296413</v>
      </c>
      <c r="AH134" s="9">
        <f t="shared" si="37"/>
        <v>-1.5841747488692934</v>
      </c>
      <c r="AI134" s="9">
        <f t="shared" si="38"/>
        <v>-90.766527121407606</v>
      </c>
      <c r="AJ134" s="9">
        <f t="shared" si="39"/>
        <v>11.613630555409566</v>
      </c>
      <c r="AL134" s="9" t="str">
        <f t="shared" si="42"/>
        <v>0.00116910807505817-0.000335418354322283i</v>
      </c>
      <c r="AM134" s="9" t="str">
        <f t="shared" si="43"/>
        <v>0.999965523378082-0.00543517959062982i</v>
      </c>
      <c r="AN134" s="9" t="str">
        <f t="shared" si="46"/>
        <v>-0.741543697588669+0.217118818109198i</v>
      </c>
      <c r="AO134" s="9">
        <f t="shared" si="47"/>
        <v>0.77267563479807644</v>
      </c>
      <c r="AP134" s="9">
        <f t="shared" si="48"/>
        <v>2.8567608124176176</v>
      </c>
      <c r="AQ134" s="9">
        <f t="shared" si="49"/>
        <v>163.68033762989373</v>
      </c>
      <c r="AR134" s="9">
        <f t="shared" si="50"/>
        <v>-2.2400556476730742</v>
      </c>
      <c r="AS134" s="9">
        <f t="shared" si="51"/>
        <v>9.3735749077364918</v>
      </c>
      <c r="AT134" s="9">
        <f t="shared" si="52"/>
        <v>72.913810508486122</v>
      </c>
    </row>
    <row r="135" spans="25:46" x14ac:dyDescent="0.25">
      <c r="Y135" s="9">
        <v>133</v>
      </c>
      <c r="Z135" s="9">
        <f t="shared" si="44"/>
        <v>3570.3523909342362</v>
      </c>
      <c r="AA135" s="9" t="str">
        <f t="shared" si="53"/>
        <v>22433.1856841715i</v>
      </c>
      <c r="AB135" s="9">
        <f>(Assumed_Efficiency/100)*Rout/'4. Current Sense Resistor'!$B$11</f>
        <v>135.14141414141415</v>
      </c>
      <c r="AD135" s="9" t="str">
        <f t="shared" si="40"/>
        <v>0.0477161844617823-0.180975883030117i</v>
      </c>
      <c r="AE135" s="9" t="str">
        <f t="shared" si="45"/>
        <v>0.97978417784914-0.298615351519173i</v>
      </c>
      <c r="AF135" s="9" t="str">
        <f t="shared" si="41"/>
        <v>-0.136895264197191-3.59702069798229i</v>
      </c>
      <c r="AG135" s="9">
        <f t="shared" si="36"/>
        <v>3.5996247325342985</v>
      </c>
      <c r="AH135" s="9">
        <f t="shared" si="37"/>
        <v>-1.6088359266907206</v>
      </c>
      <c r="AI135" s="9">
        <f t="shared" si="38"/>
        <v>-92.179508528396994</v>
      </c>
      <c r="AJ135" s="9">
        <f t="shared" si="39"/>
        <v>11.125144542653517</v>
      </c>
      <c r="AL135" s="9" t="str">
        <f t="shared" si="42"/>
        <v>0.00116909503747011-0.000315409460870545i</v>
      </c>
      <c r="AM135" s="9" t="str">
        <f t="shared" si="43"/>
        <v>0.999961010591579-0.00577994525251624i</v>
      </c>
      <c r="AN135" s="9" t="str">
        <f t="shared" si="46"/>
        <v>-0.74153206952275+0.204662838845957i</v>
      </c>
      <c r="AO135" s="9">
        <f t="shared" si="47"/>
        <v>0.76925723118809786</v>
      </c>
      <c r="AP135" s="9">
        <f t="shared" si="48"/>
        <v>2.8722970040074727</v>
      </c>
      <c r="AQ135" s="9">
        <f t="shared" si="49"/>
        <v>164.5704958376991</v>
      </c>
      <c r="AR135" s="9">
        <f t="shared" si="50"/>
        <v>-2.2785682519427946</v>
      </c>
      <c r="AS135" s="9">
        <f t="shared" si="51"/>
        <v>8.8465762907107219</v>
      </c>
      <c r="AT135" s="9">
        <f t="shared" si="52"/>
        <v>72.390987309302105</v>
      </c>
    </row>
    <row r="136" spans="25:46" x14ac:dyDescent="0.25">
      <c r="Y136" s="9">
        <v>134</v>
      </c>
      <c r="Z136" s="9">
        <f t="shared" si="44"/>
        <v>3796.8478676703417</v>
      </c>
      <c r="AA136" s="9" t="str">
        <f t="shared" si="53"/>
        <v>23856.2987357424i</v>
      </c>
      <c r="AB136" s="9">
        <f>(Assumed_Efficiency/100)*Rout/'4. Current Sense Resistor'!$B$11</f>
        <v>135.14141414141415</v>
      </c>
      <c r="AD136" s="9" t="str">
        <f t="shared" si="40"/>
        <v>0.043858401961359-0.170869441791572i</v>
      </c>
      <c r="AE136" s="9" t="str">
        <f t="shared" si="45"/>
        <v>0.977150348641986-0.31737772317371i</v>
      </c>
      <c r="AF136" s="9" t="str">
        <f t="shared" si="41"/>
        <v>-0.213566812138303-3.3964592303226i</v>
      </c>
      <c r="AG136" s="9">
        <f t="shared" si="36"/>
        <v>3.4031670670847922</v>
      </c>
      <c r="AH136" s="9">
        <f t="shared" si="37"/>
        <v>-1.6335929030758383</v>
      </c>
      <c r="AI136" s="9">
        <f t="shared" si="38"/>
        <v>-93.597978788769296</v>
      </c>
      <c r="AJ136" s="9">
        <f t="shared" si="39"/>
        <v>10.637665397032549</v>
      </c>
      <c r="AL136" s="9" t="str">
        <f t="shared" si="42"/>
        <v>0.00116908350896388-0.000296594168370276i</v>
      </c>
      <c r="AM136" s="9" t="str">
        <f t="shared" si="43"/>
        <v>0.999955907138332-0.00614657593815017i</v>
      </c>
      <c r="AN136" s="9" t="str">
        <f t="shared" si="46"/>
        <v>-0.741520962305623+0.192981357265039i</v>
      </c>
      <c r="AO136" s="9">
        <f t="shared" si="47"/>
        <v>0.76622133994722041</v>
      </c>
      <c r="AP136" s="9">
        <f t="shared" si="48"/>
        <v>2.8869897737981858</v>
      </c>
      <c r="AQ136" s="9">
        <f t="shared" si="49"/>
        <v>165.41232953606428</v>
      </c>
      <c r="AR136" s="9">
        <f t="shared" si="50"/>
        <v>-2.312915133922246</v>
      </c>
      <c r="AS136" s="9">
        <f t="shared" si="51"/>
        <v>8.3247502631103032</v>
      </c>
      <c r="AT136" s="9">
        <f t="shared" si="52"/>
        <v>71.814350747294981</v>
      </c>
    </row>
    <row r="137" spans="25:46" x14ac:dyDescent="0.25">
      <c r="Y137" s="9">
        <v>135</v>
      </c>
      <c r="Z137" s="9">
        <f t="shared" si="44"/>
        <v>4037.7117303148448</v>
      </c>
      <c r="AA137" s="9" t="str">
        <f t="shared" si="53"/>
        <v>25369.6910185409i</v>
      </c>
      <c r="AB137" s="9">
        <f>(Assumed_Efficiency/100)*Rout/'4. Current Sense Resistor'!$B$11</f>
        <v>135.14141414141415</v>
      </c>
      <c r="AD137" s="9" t="str">
        <f t="shared" si="40"/>
        <v>0.0404210196745525-0.161254112848138i</v>
      </c>
      <c r="AE137" s="9" t="str">
        <f t="shared" si="45"/>
        <v>0.974175197947344-0.337293883309372i</v>
      </c>
      <c r="AF137" s="9" t="str">
        <f t="shared" si="41"/>
        <v>-0.281895441182044-3.20566144443457i</v>
      </c>
      <c r="AG137" s="9">
        <f t="shared" si="36"/>
        <v>3.2180320595192269</v>
      </c>
      <c r="AH137" s="9">
        <f t="shared" si="37"/>
        <v>-1.6585074523921375</v>
      </c>
      <c r="AI137" s="9">
        <f t="shared" si="38"/>
        <v>-95.025477313063774</v>
      </c>
      <c r="AJ137" s="9">
        <f t="shared" si="39"/>
        <v>10.151807328528937</v>
      </c>
      <c r="AL137" s="9" t="str">
        <f t="shared" si="42"/>
        <v>0.00116907331486548-0.000278901274397213i</v>
      </c>
      <c r="AM137" s="9" t="str">
        <f t="shared" si="43"/>
        <v>0.999950135716004-0.00653645746779613i</v>
      </c>
      <c r="AN137" s="9" t="str">
        <f t="shared" si="46"/>
        <v>-0.741510207663173+0.18203016611703i</v>
      </c>
      <c r="AO137" s="9">
        <f t="shared" si="47"/>
        <v>0.76352627292403985</v>
      </c>
      <c r="AP137" s="9">
        <f t="shared" si="48"/>
        <v>2.900867218064846</v>
      </c>
      <c r="AQ137" s="9">
        <f t="shared" si="49"/>
        <v>166.2074485229719</v>
      </c>
      <c r="AR137" s="9">
        <f t="shared" si="50"/>
        <v>-2.3435202857171573</v>
      </c>
      <c r="AS137" s="9">
        <f t="shared" si="51"/>
        <v>7.8082870428117799</v>
      </c>
      <c r="AT137" s="9">
        <f t="shared" si="52"/>
        <v>71.181971209908127</v>
      </c>
    </row>
    <row r="138" spans="25:46" x14ac:dyDescent="0.25">
      <c r="Y138" s="9">
        <v>136</v>
      </c>
      <c r="Z138" s="9">
        <f t="shared" si="44"/>
        <v>4293.8554783669315</v>
      </c>
      <c r="AA138" s="9" t="str">
        <f t="shared" si="53"/>
        <v>26979.0896528277i</v>
      </c>
      <c r="AB138" s="9">
        <f>(Assumed_Efficiency/100)*Rout/'4. Current Sense Resistor'!$B$11</f>
        <v>135.14141414141415</v>
      </c>
      <c r="AD138" s="9" t="str">
        <f t="shared" si="40"/>
        <v>0.0373608541854089-0.152118305527672i</v>
      </c>
      <c r="AE138" s="9" t="str">
        <f t="shared" si="45"/>
        <v>0.970815000094806-0.358429728137881i</v>
      </c>
      <c r="AF138" s="9" t="str">
        <f t="shared" si="41"/>
        <v>-0.342739679268373-3.02439760056079i</v>
      </c>
      <c r="AG138" s="9">
        <f t="shared" si="36"/>
        <v>3.0437561226259326</v>
      </c>
      <c r="AH138" s="9">
        <f t="shared" si="37"/>
        <v>-1.683639845095863</v>
      </c>
      <c r="AI138" s="9">
        <f t="shared" si="38"/>
        <v>-96.465457344052638</v>
      </c>
      <c r="AJ138" s="9">
        <f t="shared" si="39"/>
        <v>9.6681970431740787</v>
      </c>
      <c r="AL138" s="9" t="str">
        <f t="shared" si="42"/>
        <v>0.00116906430071918-0.000262263823985198i</v>
      </c>
      <c r="AM138" s="9" t="str">
        <f t="shared" si="43"/>
        <v>0.999943608907832-0.0069510633219639i</v>
      </c>
      <c r="AN138" s="9" t="str">
        <f t="shared" si="46"/>
        <v>-0.741499642667986+0.171767821525501i</v>
      </c>
      <c r="AO138" s="9">
        <f t="shared" si="47"/>
        <v>0.76113461660101034</v>
      </c>
      <c r="AP138" s="9">
        <f t="shared" si="48"/>
        <v>2.9139584615763225</v>
      </c>
      <c r="AQ138" s="9">
        <f t="shared" si="49"/>
        <v>166.95752152475754</v>
      </c>
      <c r="AR138" s="9">
        <f t="shared" si="50"/>
        <v>-2.3707705156610266</v>
      </c>
      <c r="AS138" s="9">
        <f t="shared" si="51"/>
        <v>7.2974265275130517</v>
      </c>
      <c r="AT138" s="9">
        <f t="shared" si="52"/>
        <v>70.492064180704901</v>
      </c>
    </row>
    <row r="139" spans="25:46" x14ac:dyDescent="0.25">
      <c r="Y139" s="9">
        <v>137</v>
      </c>
      <c r="Z139" s="9">
        <f t="shared" si="44"/>
        <v>4566.248434893605</v>
      </c>
      <c r="AA139" s="9" t="str">
        <f t="shared" si="53"/>
        <v>28690.5850750553i</v>
      </c>
      <c r="AB139" s="9">
        <f>(Assumed_Efficiency/100)*Rout/'4. Current Sense Resistor'!$B$11</f>
        <v>135.14141414141415</v>
      </c>
      <c r="AD139" s="9" t="str">
        <f t="shared" si="40"/>
        <v>0.0346385923592894-0.143448423710605i</v>
      </c>
      <c r="AE139" s="9" t="str">
        <f t="shared" si="45"/>
        <v>0.967020568040217-0.380853887398291i</v>
      </c>
      <c r="AF139" s="9" t="str">
        <f t="shared" si="41"/>
        <v>-0.396881293130215-2.85239812861645i</v>
      </c>
      <c r="AG139" s="9">
        <f t="shared" si="36"/>
        <v>2.8798767065573028</v>
      </c>
      <c r="AH139" s="9">
        <f t="shared" si="37"/>
        <v>-1.709048225367499</v>
      </c>
      <c r="AI139" s="9">
        <f t="shared" si="38"/>
        <v>-97.92125029788086</v>
      </c>
      <c r="AJ139" s="9">
        <f t="shared" si="39"/>
        <v>9.1874779023512705</v>
      </c>
      <c r="AL139" s="9" t="str">
        <f t="shared" si="42"/>
        <v>0.00116905632994723-0.000246618856253518i</v>
      </c>
      <c r="AM139" s="9" t="str">
        <f t="shared" si="43"/>
        <v>0.999936227859893-0.00739196015109369i</v>
      </c>
      <c r="AN139" s="9" t="str">
        <f t="shared" si="46"/>
        <v>-0.741489107272028+0.16215548610491i</v>
      </c>
      <c r="AO139" s="9">
        <f t="shared" si="47"/>
        <v>0.75901284434256366</v>
      </c>
      <c r="AP139" s="9">
        <f t="shared" si="48"/>
        <v>2.9262932015170162</v>
      </c>
      <c r="AQ139" s="9">
        <f t="shared" si="49"/>
        <v>167.66425006475075</v>
      </c>
      <c r="AR139" s="9">
        <f t="shared" si="50"/>
        <v>-2.3950174944777385</v>
      </c>
      <c r="AS139" s="9">
        <f t="shared" si="51"/>
        <v>6.7924604078735324</v>
      </c>
      <c r="AT139" s="9">
        <f t="shared" si="52"/>
        <v>69.742999766869886</v>
      </c>
    </row>
    <row r="140" spans="25:46" x14ac:dyDescent="0.25">
      <c r="Y140" s="9">
        <v>138</v>
      </c>
      <c r="Z140" s="9">
        <f t="shared" si="44"/>
        <v>4855.9214147324665</v>
      </c>
      <c r="AA140" s="9" t="str">
        <f t="shared" si="53"/>
        <v>30510.6540858657i</v>
      </c>
      <c r="AB140" s="9">
        <f>(Assumed_Efficiency/100)*Rout/'4. Current Sense Resistor'!$B$11</f>
        <v>135.14141414141415</v>
      </c>
      <c r="AD140" s="9" t="str">
        <f t="shared" si="40"/>
        <v>0.0322185696985411-0.135229368078963i</v>
      </c>
      <c r="AE140" s="9" t="str">
        <f t="shared" si="45"/>
        <v>0.962736610054694-0.404637615937497i</v>
      </c>
      <c r="AF140" s="9" t="str">
        <f t="shared" si="41"/>
        <v>-0.445029702933005-2.68936359770477i</v>
      </c>
      <c r="AG140" s="9">
        <f t="shared" si="36"/>
        <v>2.7259361689430994</v>
      </c>
      <c r="AH140" s="9">
        <f t="shared" si="37"/>
        <v>-1.7347879493230907</v>
      </c>
      <c r="AI140" s="9">
        <f t="shared" si="38"/>
        <v>-99.396027846368042</v>
      </c>
      <c r="AJ140" s="9">
        <f t="shared" si="39"/>
        <v>8.7103136418560787</v>
      </c>
      <c r="AL140" s="9" t="str">
        <f t="shared" si="42"/>
        <v>0.0011690492817806-0.000231907166148264i</v>
      </c>
      <c r="AM140" s="9" t="str">
        <f t="shared" si="43"/>
        <v>0.999927880785565-0.00786081362437701i</v>
      </c>
      <c r="AN140" s="9" t="str">
        <f t="shared" si="46"/>
        <v>-0.741478441883409+0.153156781931765i</v>
      </c>
      <c r="AO140" s="9">
        <f t="shared" si="47"/>
        <v>0.75713095276150344</v>
      </c>
      <c r="AP140" s="9">
        <f t="shared" si="48"/>
        <v>2.9379013190459808</v>
      </c>
      <c r="AQ140" s="9">
        <f t="shared" si="49"/>
        <v>168.32934620725226</v>
      </c>
      <c r="AR140" s="9">
        <f t="shared" si="50"/>
        <v>-2.4165799755691046</v>
      </c>
      <c r="AS140" s="9">
        <f t="shared" si="51"/>
        <v>6.2937336662869736</v>
      </c>
      <c r="AT140" s="9">
        <f t="shared" si="52"/>
        <v>68.933318360884215</v>
      </c>
    </row>
    <row r="141" spans="25:46" x14ac:dyDescent="0.25">
      <c r="Y141" s="9">
        <v>139</v>
      </c>
      <c r="Z141" s="9">
        <f t="shared" si="44"/>
        <v>5163.9706253973836</v>
      </c>
      <c r="AA141" s="9" t="str">
        <f t="shared" si="53"/>
        <v>32446.1843602037i</v>
      </c>
      <c r="AB141" s="9">
        <f>(Assumed_Efficiency/100)*Rout/'4. Current Sense Resistor'!$B$11</f>
        <v>135.14141414141415</v>
      </c>
      <c r="AD141" s="9" t="str">
        <f t="shared" si="40"/>
        <v>0.0300685307713984-0.127444961577217i</v>
      </c>
      <c r="AE141" s="9" t="str">
        <f t="shared" si="45"/>
        <v>0.957901021475188-0.429854625294583i</v>
      </c>
      <c r="AF141" s="9" t="str">
        <f t="shared" si="41"/>
        <v>-0.487826754209213-2.53497315909481i</v>
      </c>
      <c r="AG141" s="9">
        <f t="shared" si="36"/>
        <v>2.5814848168163644</v>
      </c>
      <c r="AH141" s="9">
        <f t="shared" si="37"/>
        <v>-1.7609108767678208</v>
      </c>
      <c r="AI141" s="9">
        <f t="shared" si="38"/>
        <v>-100.89276133747754</v>
      </c>
      <c r="AJ141" s="9">
        <f t="shared" si="39"/>
        <v>8.2373915011472061</v>
      </c>
      <c r="AL141" s="9" t="str">
        <f t="shared" si="42"/>
        <v>0.00116904304942906-0.000218073080396197i</v>
      </c>
      <c r="AM141" s="9" t="str">
        <f t="shared" si="43"/>
        <v>0.999918441274672-0.00835939463712471i</v>
      </c>
      <c r="AN141" s="9" t="str">
        <f t="shared" si="46"/>
        <v>-0.741467484950398+0.144737652810725i</v>
      </c>
      <c r="AO141" s="9">
        <f t="shared" si="47"/>
        <v>0.75546212306099547</v>
      </c>
      <c r="AP141" s="9">
        <f t="shared" si="48"/>
        <v>2.9488125527565585</v>
      </c>
      <c r="AQ141" s="9">
        <f t="shared" si="49"/>
        <v>168.95451384814922</v>
      </c>
      <c r="AR141" s="9">
        <f t="shared" si="50"/>
        <v>-2.435746103877495</v>
      </c>
      <c r="AS141" s="9">
        <f t="shared" si="51"/>
        <v>5.8016453972697111</v>
      </c>
      <c r="AT141" s="9">
        <f t="shared" si="52"/>
        <v>68.061752510671681</v>
      </c>
    </row>
    <row r="142" spans="25:46" x14ac:dyDescent="0.25">
      <c r="Y142" s="9">
        <v>140</v>
      </c>
      <c r="Z142" s="9">
        <f t="shared" si="44"/>
        <v>5491.5618154492358</v>
      </c>
      <c r="AA142" s="9" t="str">
        <f t="shared" si="53"/>
        <v>34504.5005122991i</v>
      </c>
      <c r="AB142" s="9">
        <f>(Assumed_Efficiency/100)*Rout/'4. Current Sense Resistor'!$B$11</f>
        <v>135.14141414141415</v>
      </c>
      <c r="AD142" s="9" t="str">
        <f t="shared" si="40"/>
        <v>0.0281593816227687-0.120078306340596i</v>
      </c>
      <c r="AE142" s="9" t="str">
        <f t="shared" si="45"/>
        <v>0.95244410808846-0.456580842106163i</v>
      </c>
      <c r="AF142" s="9" t="str">
        <f t="shared" si="41"/>
        <v>-0.525851650351516-2.38889162634665i</v>
      </c>
      <c r="AG142" s="9">
        <f t="shared" si="36"/>
        <v>2.4460832284708864</v>
      </c>
      <c r="AH142" s="9">
        <f t="shared" si="37"/>
        <v>-1.7874646126991696</v>
      </c>
      <c r="AI142" s="9">
        <f t="shared" si="38"/>
        <v>-102.4141783366487</v>
      </c>
      <c r="AJ142" s="9">
        <f t="shared" si="39"/>
        <v>7.7694245981648136</v>
      </c>
      <c r="AL142" s="9" t="str">
        <f t="shared" si="42"/>
        <v>0.0011690375384632-0.000205064246823387i</v>
      </c>
      <c r="AM142" s="9" t="str">
        <f t="shared" si="43"/>
        <v>0.999907766381854-0.00888958589690016i</v>
      </c>
      <c r="AN142" s="9" t="str">
        <f t="shared" si="46"/>
        <v>-0.741456070516435+0.13686623531205i</v>
      </c>
      <c r="AO142" s="9">
        <f t="shared" si="47"/>
        <v>0.75398240753625412</v>
      </c>
      <c r="AP142" s="9">
        <f t="shared" si="48"/>
        <v>2.9590562278319332</v>
      </c>
      <c r="AQ142" s="9">
        <f t="shared" si="49"/>
        <v>169.54143319667153</v>
      </c>
      <c r="AR142" s="9">
        <f t="shared" si="50"/>
        <v>-2.4527757457096073</v>
      </c>
      <c r="AS142" s="9">
        <f t="shared" si="51"/>
        <v>5.3166488524552058</v>
      </c>
      <c r="AT142" s="9">
        <f t="shared" si="52"/>
        <v>67.12725486002283</v>
      </c>
    </row>
    <row r="143" spans="25:46" x14ac:dyDescent="0.25">
      <c r="Y143" s="9">
        <v>141</v>
      </c>
      <c r="Z143" s="9">
        <f t="shared" si="44"/>
        <v>5839.9346860303567</v>
      </c>
      <c r="AA143" s="9" t="str">
        <f t="shared" si="53"/>
        <v>36693.3918141544i</v>
      </c>
      <c r="AB143" s="9">
        <f>(Assumed_Efficiency/100)*Rout/'4. Current Sense Resistor'!$B$11</f>
        <v>135.14141414141415</v>
      </c>
      <c r="AD143" s="9" t="str">
        <f t="shared" si="40"/>
        <v>0.0264649416940174-0.113112080200554i</v>
      </c>
      <c r="AE143" s="9" t="str">
        <f t="shared" si="45"/>
        <v>0.946287738555922-0.484894077886669i</v>
      </c>
      <c r="AF143" s="9" t="str">
        <f t="shared" si="41"/>
        <v>-0.559625896209957-2.25077535332315i</v>
      </c>
      <c r="AG143" s="9">
        <f t="shared" si="36"/>
        <v>2.3193039548182872</v>
      </c>
      <c r="AH143" s="9">
        <f t="shared" si="37"/>
        <v>-1.8144916989369182</v>
      </c>
      <c r="AI143" s="9">
        <f t="shared" si="38"/>
        <v>-103.96271631060782</v>
      </c>
      <c r="AJ143" s="9">
        <f t="shared" si="39"/>
        <v>7.3071533707759606</v>
      </c>
      <c r="AL143" s="9" t="str">
        <f t="shared" si="42"/>
        <v>0.00116903266538369-0.000192831436241413i</v>
      </c>
      <c r="AM143" s="9" t="str">
        <f t="shared" si="43"/>
        <v>0.999895694465433-0.00945338890940714i</v>
      </c>
      <c r="AN143" s="9" t="str">
        <f t="shared" si="46"/>
        <v>-0.741444025709129+0.129512738089512i</v>
      </c>
      <c r="AO143" s="9">
        <f t="shared" si="47"/>
        <v>0.75267044088844226</v>
      </c>
      <c r="AP143" s="9">
        <f t="shared" si="48"/>
        <v>2.9686610345818081</v>
      </c>
      <c r="AQ143" s="9">
        <f t="shared" si="49"/>
        <v>170.09174808647813</v>
      </c>
      <c r="AR143" s="9">
        <f t="shared" si="50"/>
        <v>-2.4679027876209734</v>
      </c>
      <c r="AS143" s="9">
        <f t="shared" si="51"/>
        <v>4.8392505831549872</v>
      </c>
      <c r="AT143" s="9">
        <f t="shared" si="52"/>
        <v>66.129031775870317</v>
      </c>
    </row>
    <row r="144" spans="25:46" x14ac:dyDescent="0.25">
      <c r="Y144" s="9">
        <v>142</v>
      </c>
      <c r="Z144" s="9">
        <f t="shared" si="44"/>
        <v>6210.4075822572904</v>
      </c>
      <c r="AA144" s="9" t="str">
        <f t="shared" si="53"/>
        <v>39021.1416724357i</v>
      </c>
      <c r="AB144" s="9">
        <f>(Assumed_Efficiency/100)*Rout/'4. Current Sense Resistor'!$B$11</f>
        <v>135.14141414141415</v>
      </c>
      <c r="AD144" s="9" t="str">
        <f t="shared" si="40"/>
        <v>0.0249617008114772-0.10652878047463i</v>
      </c>
      <c r="AE144" s="9" t="str">
        <f t="shared" si="45"/>
        <v>0.939344424534688-0.514873592198361i</v>
      </c>
      <c r="AF144" s="9" t="str">
        <f t="shared" si="41"/>
        <v>-0.589618142386402-2.12027706278234i</v>
      </c>
      <c r="AG144" s="9">
        <f t="shared" si="36"/>
        <v>2.200732690899124</v>
      </c>
      <c r="AH144" s="9">
        <f t="shared" si="37"/>
        <v>-1.8420287614130797</v>
      </c>
      <c r="AI144" s="9">
        <f t="shared" si="38"/>
        <v>-105.54047377067994</v>
      </c>
      <c r="AJ144" s="9">
        <f t="shared" si="39"/>
        <v>6.8513458949779107</v>
      </c>
      <c r="AL144" s="9" t="str">
        <f t="shared" si="42"/>
        <v>0.00116902835635609-0.000181328356151488i</v>
      </c>
      <c r="AM144" s="9" t="str">
        <f t="shared" si="43"/>
        <v>0.999882042744322-0.0100529313858397i</v>
      </c>
      <c r="AN144" s="9" t="str">
        <f t="shared" si="46"/>
        <v>-0.741431168125412+0.122649329018606i</v>
      </c>
      <c r="AO144" s="9">
        <f t="shared" si="47"/>
        <v>0.75150717559882774</v>
      </c>
      <c r="AP144" s="9">
        <f t="shared" si="48"/>
        <v>2.9776548501925029</v>
      </c>
      <c r="AQ144" s="9">
        <f t="shared" si="49"/>
        <v>170.60705576268981</v>
      </c>
      <c r="AR144" s="9">
        <f t="shared" si="50"/>
        <v>-2.4813373658635514</v>
      </c>
      <c r="AS144" s="9">
        <f t="shared" si="51"/>
        <v>4.3700085291143598</v>
      </c>
      <c r="AT144" s="9">
        <f t="shared" si="52"/>
        <v>65.066581992009873</v>
      </c>
    </row>
    <row r="145" spans="25:46" x14ac:dyDescent="0.25">
      <c r="Y145" s="9">
        <v>143</v>
      </c>
      <c r="Z145" s="9">
        <f t="shared" si="44"/>
        <v>6604.3824822253073</v>
      </c>
      <c r="AA145" s="9" t="str">
        <f t="shared" si="53"/>
        <v>41496.5589753123i</v>
      </c>
      <c r="AB145" s="9">
        <f>(Assumed_Efficiency/100)*Rout/'4. Current Sense Resistor'!$B$11</f>
        <v>135.14141414141415</v>
      </c>
      <c r="AD145" s="9" t="str">
        <f t="shared" si="40"/>
        <v>0.0236285852067501-0.100310922188116i</v>
      </c>
      <c r="AE145" s="9" t="str">
        <f t="shared" si="45"/>
        <v>0.931516328925973-0.546599528415746i</v>
      </c>
      <c r="AF145" s="9" t="str">
        <f t="shared" si="41"/>
        <v>-0.616248851493241-1.99704976706774i</v>
      </c>
      <c r="AG145" s="9">
        <f t="shared" si="36"/>
        <v>2.0899689995576618</v>
      </c>
      <c r="AH145" s="9">
        <f t="shared" si="37"/>
        <v>-1.8701056247898988</v>
      </c>
      <c r="AI145" s="9">
        <f t="shared" si="38"/>
        <v>-107.14915954413709</v>
      </c>
      <c r="AJ145" s="9">
        <f t="shared" si="39"/>
        <v>6.4027968856574997</v>
      </c>
      <c r="AL145" s="9" t="str">
        <f t="shared" si="42"/>
        <v>0.00116902454609223-0.000170511475561582i</v>
      </c>
      <c r="AM145" s="9" t="str">
        <f t="shared" si="43"/>
        <v>0.999866604536295-0.01069047509404i</v>
      </c>
      <c r="AN145" s="9" t="str">
        <f t="shared" si="46"/>
        <v>-0.741417303073605+0.116250029723787i</v>
      </c>
      <c r="AO145" s="9">
        <f t="shared" si="47"/>
        <v>0.750475640316006</v>
      </c>
      <c r="AP145" s="9">
        <f t="shared" si="48"/>
        <v>2.9860645978443392</v>
      </c>
      <c r="AQ145" s="9">
        <f t="shared" si="49"/>
        <v>171.08889880991009</v>
      </c>
      <c r="AR145" s="9">
        <f t="shared" si="50"/>
        <v>-2.4932679990746816</v>
      </c>
      <c r="AS145" s="9">
        <f t="shared" si="51"/>
        <v>3.9095288865828182</v>
      </c>
      <c r="AT145" s="9">
        <f t="shared" si="52"/>
        <v>63.939739265772999</v>
      </c>
    </row>
    <row r="146" spans="25:46" x14ac:dyDescent="0.25">
      <c r="Y146" s="9">
        <v>144</v>
      </c>
      <c r="Z146" s="9">
        <f t="shared" si="44"/>
        <v>7023.3503025047467</v>
      </c>
      <c r="AA146" s="9" t="str">
        <f t="shared" si="53"/>
        <v>44129.0114278731i</v>
      </c>
      <c r="AB146" s="9">
        <f>(Assumed_Efficiency/100)*Rout/'4. Current Sense Resistor'!$B$11</f>
        <v>135.14141414141415</v>
      </c>
      <c r="AD146" s="9" t="str">
        <f t="shared" si="40"/>
        <v>0.0224467352578696-0.0944411972313612i</v>
      </c>
      <c r="AE146" s="9" t="str">
        <f t="shared" si="45"/>
        <v>0.922694205124299-0.580152198232711i</v>
      </c>
      <c r="AF146" s="9" t="str">
        <f t="shared" si="41"/>
        <v>-0.639894732895144-1.88074990956857i</v>
      </c>
      <c r="AG146" s="9">
        <f t="shared" si="36"/>
        <v>1.9866266613355243</v>
      </c>
      <c r="AH146" s="9">
        <f t="shared" si="37"/>
        <v>-1.8987444130809517</v>
      </c>
      <c r="AI146" s="9">
        <f t="shared" si="38"/>
        <v>-108.7900412435831</v>
      </c>
      <c r="AJ146" s="9">
        <f t="shared" si="39"/>
        <v>5.962325191658179</v>
      </c>
      <c r="AL146" s="9" t="str">
        <f t="shared" si="42"/>
        <v>0.00116902117686092-0.000160339860253631i</v>
      </c>
      <c r="AM146" s="9" t="str">
        <f t="shared" si="43"/>
        <v>0.999849146136289-0.011368424176341i</v>
      </c>
      <c r="AN146" s="9" t="str">
        <f t="shared" si="46"/>
        <v>-0.741402220630802+0.110290617090562i</v>
      </c>
      <c r="AO146" s="9">
        <f t="shared" si="47"/>
        <v>0.74956072000505825</v>
      </c>
      <c r="AP146" s="9">
        <f t="shared" si="48"/>
        <v>2.9939161377806252</v>
      </c>
      <c r="AQ146" s="9">
        <f t="shared" si="49"/>
        <v>171.5387589109377</v>
      </c>
      <c r="AR146" s="9">
        <f t="shared" si="50"/>
        <v>-2.503863606013538</v>
      </c>
      <c r="AS146" s="9">
        <f t="shared" si="51"/>
        <v>3.458461585644641</v>
      </c>
      <c r="AT146" s="9">
        <f t="shared" si="52"/>
        <v>62.748717667354597</v>
      </c>
    </row>
    <row r="147" spans="25:46" x14ac:dyDescent="0.25">
      <c r="Y147" s="9">
        <v>145</v>
      </c>
      <c r="Z147" s="9">
        <f t="shared" si="44"/>
        <v>7468.8965402065769</v>
      </c>
      <c r="AA147" s="9" t="str">
        <f t="shared" si="53"/>
        <v>46928.4610022704i</v>
      </c>
      <c r="AB147" s="9">
        <f>(Assumed_Efficiency/100)*Rout/'4. Current Sense Resistor'!$B$11</f>
        <v>135.14141414141415</v>
      </c>
      <c r="AD147" s="9" t="str">
        <f t="shared" si="40"/>
        <v>0.0213992966409493-0.0889026002820811i</v>
      </c>
      <c r="AE147" s="9" t="str">
        <f t="shared" si="45"/>
        <v>0.912756273413752-0.615611187809959i</v>
      </c>
      <c r="AF147" s="9" t="str">
        <f t="shared" si="41"/>
        <v>-0.660892912234038-1.77103984215954i</v>
      </c>
      <c r="AG147" s="9">
        <f t="shared" si="36"/>
        <v>1.8903337176164627</v>
      </c>
      <c r="AH147" s="9">
        <f t="shared" si="37"/>
        <v>-1.9279586625802303</v>
      </c>
      <c r="AI147" s="9">
        <f t="shared" si="38"/>
        <v>-110.46389444153397</v>
      </c>
      <c r="AJ147" s="9">
        <f t="shared" si="39"/>
        <v>5.5307696170684872</v>
      </c>
      <c r="AL147" s="9" t="str">
        <f t="shared" si="42"/>
        <v>0.00116901819761328-0.000150775017877499i</v>
      </c>
      <c r="AM147" s="9" t="str">
        <f t="shared" si="43"/>
        <v>0.999829403287989-0.0120893339573585i</v>
      </c>
      <c r="AN147" s="9" t="str">
        <f t="shared" si="46"/>
        <v>-0.741385692471561+0.104748531383672i</v>
      </c>
      <c r="AO147" s="9">
        <f t="shared" si="47"/>
        <v>0.74874895647912076</v>
      </c>
      <c r="AP147" s="9">
        <f t="shared" si="48"/>
        <v>3.0012341854020734</v>
      </c>
      <c r="AQ147" s="9">
        <f t="shared" si="49"/>
        <v>171.95805215392244</v>
      </c>
      <c r="AR147" s="9">
        <f t="shared" si="50"/>
        <v>-2.5132753974463107</v>
      </c>
      <c r="AS147" s="9">
        <f t="shared" si="51"/>
        <v>3.0174942196221766</v>
      </c>
      <c r="AT147" s="9">
        <f t="shared" si="52"/>
        <v>61.494157712388471</v>
      </c>
    </row>
    <row r="148" spans="25:46" x14ac:dyDescent="0.25">
      <c r="Y148" s="9">
        <v>146</v>
      </c>
      <c r="Z148" s="9">
        <f t="shared" si="44"/>
        <v>7942.7072729684578</v>
      </c>
      <c r="AA148" s="9" t="str">
        <f t="shared" si="53"/>
        <v>49905.5016367439i</v>
      </c>
      <c r="AB148" s="9">
        <f>(Assumed_Efficiency/100)*Rout/'4. Current Sense Resistor'!$B$11</f>
        <v>135.14141414141415</v>
      </c>
      <c r="AD148" s="9" t="str">
        <f t="shared" si="40"/>
        <v>0.0204712258117658-0.0836785266532554i</v>
      </c>
      <c r="AE148" s="9" t="str">
        <f t="shared" si="45"/>
        <v>0.901567044949891-0.653054255106474i</v>
      </c>
      <c r="AF148" s="9" t="str">
        <f t="shared" si="41"/>
        <v>-0.679544817244761-1.66758974047803i</v>
      </c>
      <c r="AG148" s="9">
        <f t="shared" si="36"/>
        <v>1.8007322680486955</v>
      </c>
      <c r="AH148" s="9">
        <f t="shared" si="37"/>
        <v>-1.9577524812325759</v>
      </c>
      <c r="AI148" s="9">
        <f t="shared" si="38"/>
        <v>-112.1709545058915</v>
      </c>
      <c r="AJ148" s="9">
        <f t="shared" si="39"/>
        <v>5.1089829387619092</v>
      </c>
      <c r="AL148" s="9" t="str">
        <f t="shared" si="42"/>
        <v>0.00116901556320926-0.000141780752285499i</v>
      </c>
      <c r="AM148" s="9" t="str">
        <f t="shared" si="43"/>
        <v>0.999807077196033-0.0128559202651897i</v>
      </c>
      <c r="AN148" s="9" t="str">
        <f t="shared" si="46"/>
        <v>-0.741367468420351+0.0996027906163364i</v>
      </c>
      <c r="AO148" s="9">
        <f t="shared" si="47"/>
        <v>0.74802836786485705</v>
      </c>
      <c r="AP148" s="9">
        <f t="shared" si="48"/>
        <v>3.0080422519718244</v>
      </c>
      <c r="AQ148" s="9">
        <f t="shared" si="49"/>
        <v>172.34812563501328</v>
      </c>
      <c r="AR148" s="9">
        <f t="shared" si="50"/>
        <v>-2.5216386370006427</v>
      </c>
      <c r="AS148" s="9">
        <f t="shared" si="51"/>
        <v>2.5873443017612665</v>
      </c>
      <c r="AT148" s="9">
        <f t="shared" si="52"/>
        <v>60.177171129121774</v>
      </c>
    </row>
    <row r="149" spans="25:46" x14ac:dyDescent="0.25">
      <c r="Y149" s="9">
        <v>147</v>
      </c>
      <c r="Z149" s="9">
        <f t="shared" si="44"/>
        <v>8446.5755395671058</v>
      </c>
      <c r="AA149" s="9" t="str">
        <f t="shared" si="53"/>
        <v>53071.3993261905i</v>
      </c>
      <c r="AB149" s="9">
        <f>(Assumed_Efficiency/100)*Rout/'4. Current Sense Resistor'!$B$11</f>
        <v>135.14141414141415</v>
      </c>
      <c r="AD149" s="9" t="str">
        <f t="shared" si="40"/>
        <v>0.0196491101548366-0.0787528465881252i</v>
      </c>
      <c r="AE149" s="9" t="str">
        <f t="shared" si="45"/>
        <v>0.888976109291291-0.692555984625335i</v>
      </c>
      <c r="AF149" s="9" t="str">
        <f t="shared" si="41"/>
        <v>-0.696119772810912-1.57007904613573i</v>
      </c>
      <c r="AG149" s="9">
        <f t="shared" si="36"/>
        <v>1.7174780782335475</v>
      </c>
      <c r="AH149" s="9">
        <f t="shared" si="37"/>
        <v>-1.9881197959837744</v>
      </c>
      <c r="AI149" s="9">
        <f t="shared" si="38"/>
        <v>-113.91087347628056</v>
      </c>
      <c r="AJ149" s="9">
        <f t="shared" si="39"/>
        <v>4.6978240492697445</v>
      </c>
      <c r="AL149" s="9" t="str">
        <f t="shared" si="42"/>
        <v>0.00116901323373372-0.000133323026556279i</v>
      </c>
      <c r="AM149" s="9" t="str">
        <f t="shared" si="43"/>
        <v>0.999781830019376-0.0136710692894316i</v>
      </c>
      <c r="AN149" s="9" t="str">
        <f t="shared" si="46"/>
        <v>-0.74134727267627+0.0948339108377755i</v>
      </c>
      <c r="AO149" s="9">
        <f t="shared" si="47"/>
        <v>0.74738828553124304</v>
      </c>
      <c r="AP149" s="9">
        <f t="shared" si="48"/>
        <v>3.0143626040232934</v>
      </c>
      <c r="AQ149" s="9">
        <f t="shared" si="49"/>
        <v>172.71025513259929</v>
      </c>
      <c r="AR149" s="9">
        <f t="shared" si="50"/>
        <v>-2.5290742701881546</v>
      </c>
      <c r="AS149" s="9">
        <f t="shared" si="51"/>
        <v>2.1687497790815899</v>
      </c>
      <c r="AT149" s="9">
        <f t="shared" si="52"/>
        <v>58.799381656318729</v>
      </c>
    </row>
    <row r="150" spans="25:46" x14ac:dyDescent="0.25">
      <c r="Y150" s="9">
        <v>148</v>
      </c>
      <c r="Z150" s="9">
        <f t="shared" si="44"/>
        <v>8982.4081253027471</v>
      </c>
      <c r="AA150" s="9" t="str">
        <f t="shared" si="53"/>
        <v>56438.1347559928i</v>
      </c>
      <c r="AB150" s="9">
        <f>(Assumed_Efficiency/100)*Rout/'4. Current Sense Resistor'!$B$11</f>
        <v>135.14141414141415</v>
      </c>
      <c r="AD150" s="9" t="str">
        <f t="shared" si="40"/>
        <v>0.0189210027080528-0.0741099599291232i</v>
      </c>
      <c r="AE150" s="9" t="str">
        <f t="shared" si="45"/>
        <v>0.874816908435252-0.734186162744903i</v>
      </c>
      <c r="AF150" s="9" t="str">
        <f t="shared" si="41"/>
        <v>-0.710858306596005-1.47819751308762i</v>
      </c>
      <c r="AG150" s="9">
        <f t="shared" si="36"/>
        <v>1.6402400494302545</v>
      </c>
      <c r="AH150" s="9">
        <f t="shared" si="37"/>
        <v>-2.0190437358147095</v>
      </c>
      <c r="AI150" s="9">
        <f t="shared" si="38"/>
        <v>-115.68268471450963</v>
      </c>
      <c r="AJ150" s="9">
        <f t="shared" si="39"/>
        <v>4.2981482355138514</v>
      </c>
      <c r="AL150" s="9" t="str">
        <f t="shared" si="42"/>
        <v>0.00116901117389161-0.000125369834189728i</v>
      </c>
      <c r="AM150" s="9" t="str">
        <f t="shared" si="43"/>
        <v>0.999753279778781-0.0145378479990686i</v>
      </c>
      <c r="AN150" s="9" t="str">
        <f t="shared" si="46"/>
        <v>-0.74132479965371+0.0904238320267598i</v>
      </c>
      <c r="AO150" s="9">
        <f t="shared" si="47"/>
        <v>0.74681920702404059</v>
      </c>
      <c r="AP150" s="9">
        <f t="shared" si="48"/>
        <v>3.0202162380483739</v>
      </c>
      <c r="AQ150" s="9">
        <f t="shared" si="49"/>
        <v>173.04564365705059</v>
      </c>
      <c r="AR150" s="9">
        <f t="shared" si="50"/>
        <v>-2.5356904240658156</v>
      </c>
      <c r="AS150" s="9">
        <f t="shared" si="51"/>
        <v>1.7624578114480358</v>
      </c>
      <c r="AT150" s="9">
        <f t="shared" si="52"/>
        <v>57.362958942540956</v>
      </c>
    </row>
    <row r="151" spans="25:46" x14ac:dyDescent="0.25">
      <c r="Y151" s="9">
        <v>149</v>
      </c>
      <c r="Z151" s="9">
        <f t="shared" si="44"/>
        <v>9552.2327778341514</v>
      </c>
      <c r="AA151" s="9" t="str">
        <f t="shared" si="53"/>
        <v>60018.4486404468i</v>
      </c>
      <c r="AB151" s="9">
        <f>(Assumed_Efficiency/100)*Rout/'4. Current Sense Resistor'!$B$11</f>
        <v>135.14141414141415</v>
      </c>
      <c r="AD151" s="9" t="str">
        <f t="shared" si="40"/>
        <v>0.0182762710630098-0.0697348345451732i</v>
      </c>
      <c r="AE151" s="9" t="str">
        <f t="shared" si="45"/>
        <v>0.858905529009189-0.778007834304682i</v>
      </c>
      <c r="AF151" s="9" t="str">
        <f t="shared" si="41"/>
        <v>-0.723975172520521-1.39164592455741i</v>
      </c>
      <c r="AG151" s="9">
        <f t="shared" si="36"/>
        <v>1.5686995983180994</v>
      </c>
      <c r="AH151" s="9">
        <f t="shared" si="37"/>
        <v>-2.0504962021238633</v>
      </c>
      <c r="AI151" s="9">
        <f t="shared" si="38"/>
        <v>-117.48477828930156</v>
      </c>
      <c r="AJ151" s="9">
        <f t="shared" si="39"/>
        <v>3.9107957068739712</v>
      </c>
      <c r="AL151" s="9" t="str">
        <f t="shared" si="42"/>
        <v>0.00116900935247328-0.000117891077985491i</v>
      </c>
      <c r="AM151" s="9" t="str">
        <f t="shared" si="43"/>
        <v>0.999720994602877-0.0154595151425253i</v>
      </c>
      <c r="AN151" s="9" t="str">
        <f t="shared" si="46"/>
        <v>-0.741299709377245+0.0863558492980922i</v>
      </c>
      <c r="AO151" s="9">
        <f t="shared" si="47"/>
        <v>0.74631266358730819</v>
      </c>
      <c r="AP151" s="9">
        <f t="shared" si="48"/>
        <v>3.0256228674957262</v>
      </c>
      <c r="AQ151" s="9">
        <f t="shared" si="49"/>
        <v>173.35542070577503</v>
      </c>
      <c r="AR151" s="9">
        <f t="shared" si="50"/>
        <v>-2.5415837823735883</v>
      </c>
      <c r="AS151" s="9">
        <f t="shared" si="51"/>
        <v>1.3692119245003829</v>
      </c>
      <c r="AT151" s="9">
        <f t="shared" si="52"/>
        <v>55.870642416473473</v>
      </c>
    </row>
    <row r="152" spans="25:46" x14ac:dyDescent="0.25">
      <c r="Y152" s="9">
        <v>150</v>
      </c>
      <c r="Z152" s="9">
        <f t="shared" si="44"/>
        <v>10158.205880770249</v>
      </c>
      <c r="AA152" s="9" t="str">
        <f t="shared" si="53"/>
        <v>63825.8899373609i</v>
      </c>
      <c r="AB152" s="9">
        <f>(Assumed_Efficiency/100)*Rout/'4. Current Sense Resistor'!$B$11</f>
        <v>135.14141414141415</v>
      </c>
      <c r="AD152" s="9" t="str">
        <f t="shared" si="40"/>
        <v>0.0177054598289902-0.0656130314147685i</v>
      </c>
      <c r="AE152" s="9" t="str">
        <f t="shared" si="45"/>
        <v>0.841039554904845-0.824074999587627i</v>
      </c>
      <c r="AF152" s="9" t="str">
        <f t="shared" si="41"/>
        <v>-0.735662103350089-1.31013653721332i</v>
      </c>
      <c r="AG152" s="9">
        <f t="shared" si="36"/>
        <v>1.5025499913303337</v>
      </c>
      <c r="AH152" s="9">
        <f t="shared" si="37"/>
        <v>-2.0824376788470622</v>
      </c>
      <c r="AI152" s="9">
        <f t="shared" si="38"/>
        <v>-119.31489009695622</v>
      </c>
      <c r="AJ152" s="9">
        <f t="shared" si="39"/>
        <v>3.5365786064769775</v>
      </c>
      <c r="AL152" s="9" t="str">
        <f t="shared" si="42"/>
        <v>0.00116900774188148-0.000110858456146753i</v>
      </c>
      <c r="AM152" s="9" t="str">
        <f t="shared" si="43"/>
        <v>0.99968448622764-0.0164395328509396i</v>
      </c>
      <c r="AN152" s="9" t="str">
        <f t="shared" si="46"/>
        <v>-0.74127162236228+0.0826145491464335i</v>
      </c>
      <c r="AO152" s="9">
        <f t="shared" si="47"/>
        <v>0.74586110090973035</v>
      </c>
      <c r="AP152" s="9">
        <f t="shared" si="48"/>
        <v>3.0306009195220898</v>
      </c>
      <c r="AQ152" s="9">
        <f t="shared" si="49"/>
        <v>173.64064207708219</v>
      </c>
      <c r="AR152" s="9">
        <f t="shared" si="50"/>
        <v>-2.5468408426371609</v>
      </c>
      <c r="AS152" s="9">
        <f t="shared" si="51"/>
        <v>0.9897377638398166</v>
      </c>
      <c r="AT152" s="9">
        <f t="shared" si="52"/>
        <v>54.325751980125972</v>
      </c>
    </row>
    <row r="153" spans="25:46" x14ac:dyDescent="0.25">
      <c r="Y153" s="9">
        <v>151</v>
      </c>
      <c r="Z153" s="9">
        <f t="shared" si="44"/>
        <v>10802.620614058389</v>
      </c>
      <c r="AA153" s="9" t="str">
        <f t="shared" si="53"/>
        <v>67874.867121287i</v>
      </c>
      <c r="AB153" s="9">
        <f>(Assumed_Efficiency/100)*Rout/'4. Current Sense Resistor'!$B$11</f>
        <v>135.14141414141415</v>
      </c>
      <c r="AD153" s="9" t="str">
        <f t="shared" si="40"/>
        <v>0.017200165910645-0.0617307188303677i</v>
      </c>
      <c r="AE153" s="9" t="str">
        <f t="shared" si="45"/>
        <v>0.820997035413079-0.872429910841697i</v>
      </c>
      <c r="AF153" s="9" t="str">
        <f t="shared" si="41"/>
        <v>-0.746090306135498-1.23339330071063i</v>
      </c>
      <c r="AG153" s="9">
        <f t="shared" si="36"/>
        <v>1.4414956743421825</v>
      </c>
      <c r="AH153" s="9">
        <f t="shared" si="37"/>
        <v>-2.1148173312399683</v>
      </c>
      <c r="AI153" s="9">
        <f t="shared" si="38"/>
        <v>-121.17010752117041</v>
      </c>
      <c r="AJ153" s="9">
        <f t="shared" si="39"/>
        <v>3.1762668697999752</v>
      </c>
      <c r="AL153" s="9" t="str">
        <f t="shared" si="42"/>
        <v>0.00116900631771339-0.00010424535517828i</v>
      </c>
      <c r="AM153" s="9" t="str">
        <f t="shared" si="43"/>
        <v>0.999643202653415-0.0174815788638476i</v>
      </c>
      <c r="AN153" s="9" t="str">
        <f t="shared" si="46"/>
        <v>-0.741240113906128+0.0791857504678879i</v>
      </c>
      <c r="AO153" s="9">
        <f t="shared" si="47"/>
        <v>0.74545777180248929</v>
      </c>
      <c r="AP153" s="9">
        <f t="shared" si="48"/>
        <v>3.035167539311213</v>
      </c>
      <c r="AQ153" s="9">
        <f t="shared" si="49"/>
        <v>173.90229011763989</v>
      </c>
      <c r="AR153" s="9">
        <f t="shared" si="50"/>
        <v>-2.551539062800309</v>
      </c>
      <c r="AS153" s="9">
        <f t="shared" si="51"/>
        <v>0.62472780699966624</v>
      </c>
      <c r="AT153" s="9">
        <f t="shared" si="52"/>
        <v>52.732182596469485</v>
      </c>
    </row>
    <row r="154" spans="25:46" x14ac:dyDescent="0.25">
      <c r="Y154" s="9">
        <v>152</v>
      </c>
      <c r="Z154" s="9">
        <f t="shared" si="44"/>
        <v>11487.915632049675</v>
      </c>
      <c r="AA154" s="9" t="str">
        <f t="shared" si="53"/>
        <v>72180.7027094132i</v>
      </c>
      <c r="AB154" s="9">
        <f>(Assumed_Efficiency/100)*Rout/'4. Current Sense Resistor'!$B$11</f>
        <v>135.14141414141415</v>
      </c>
      <c r="AD154" s="9" t="str">
        <f t="shared" si="40"/>
        <v>0.0167529257683315-0.0580746778106077i</v>
      </c>
      <c r="AE154" s="9" t="str">
        <f t="shared" si="45"/>
        <v>0.79853563894187-0.923099929728472i</v>
      </c>
      <c r="AF154" s="9" t="str">
        <f t="shared" si="41"/>
        <v>-0.755412715545789-1.16115189323383i</v>
      </c>
      <c r="AG154" s="9">
        <f t="shared" si="36"/>
        <v>1.3852516341693197</v>
      </c>
      <c r="AH154" s="9">
        <f t="shared" si="37"/>
        <v>-2.1475734339016435</v>
      </c>
      <c r="AI154" s="9">
        <f t="shared" si="38"/>
        <v>-123.04689395698165</v>
      </c>
      <c r="AJ154" s="9">
        <f t="shared" si="39"/>
        <v>2.8305734233134277</v>
      </c>
      <c r="AL154" s="9" t="str">
        <f t="shared" si="42"/>
        <v>0.00116900505839069-0.0000980267491734364i</v>
      </c>
      <c r="AM154" s="9" t="str">
        <f t="shared" si="43"/>
        <v>0.999596519851536-0.0185895593938693i</v>
      </c>
      <c r="AN154" s="9" t="str">
        <f t="shared" si="46"/>
        <v>-0.741204707705086+0.0760564501141641i</v>
      </c>
      <c r="AO154" s="9">
        <f t="shared" si="47"/>
        <v>0.74509663958989247</v>
      </c>
      <c r="AP154" s="9">
        <f t="shared" si="48"/>
        <v>3.0393386001048071</v>
      </c>
      <c r="AQ154" s="9">
        <f t="shared" si="49"/>
        <v>174.14127429720531</v>
      </c>
      <c r="AR154" s="9">
        <f t="shared" si="50"/>
        <v>-2.5557479056050632</v>
      </c>
      <c r="AS154" s="9">
        <f t="shared" si="51"/>
        <v>0.2748255177083645</v>
      </c>
      <c r="AT154" s="9">
        <f t="shared" si="52"/>
        <v>51.094380340223665</v>
      </c>
    </row>
    <row r="155" spans="25:46" x14ac:dyDescent="0.25">
      <c r="Y155" s="9">
        <v>153</v>
      </c>
      <c r="Z155" s="9">
        <f t="shared" si="44"/>
        <v>12216.684292082227</v>
      </c>
      <c r="AA155" s="9" t="str">
        <f t="shared" si="53"/>
        <v>76759.6912464627i</v>
      </c>
      <c r="AB155" s="9">
        <f>(Assumed_Efficiency/100)*Rout/'4. Current Sense Resistor'!$B$11</f>
        <v>135.14141414141415</v>
      </c>
      <c r="AD155" s="9" t="str">
        <f t="shared" si="40"/>
        <v>0.016357113791682-0.0546323004769883i</v>
      </c>
      <c r="AE155" s="9" t="str">
        <f t="shared" si="45"/>
        <v>0.773392079663776-0.976093912472255i</v>
      </c>
      <c r="AF155" s="9" t="str">
        <f t="shared" si="41"/>
        <v>-0.763766020541943-1.09315960722967i</v>
      </c>
      <c r="AG155" s="9">
        <f t="shared" si="36"/>
        <v>1.3335428230893083</v>
      </c>
      <c r="AH155" s="9">
        <f t="shared" si="37"/>
        <v>-2.1806341551417852</v>
      </c>
      <c r="AI155" s="9">
        <f t="shared" si="38"/>
        <v>-124.94113375170028</v>
      </c>
      <c r="AJ155" s="9">
        <f t="shared" si="39"/>
        <v>2.5001393286434648</v>
      </c>
      <c r="AL155" s="9" t="str">
        <f t="shared" si="42"/>
        <v>0.0011690039448328-0.0000921791051090565i</v>
      </c>
      <c r="AM155" s="9" t="str">
        <f t="shared" si="43"/>
        <v>0.999543732399174-0.0197676226434364i</v>
      </c>
      <c r="AN155" s="9" t="str">
        <f t="shared" si="46"/>
        <v>-0.741164868704412+0.0732147727468651i</v>
      </c>
      <c r="AO155" s="9">
        <f t="shared" si="47"/>
        <v>0.74477229107291809</v>
      </c>
      <c r="AP155" s="9">
        <f t="shared" si="48"/>
        <v>3.0431287173799482</v>
      </c>
      <c r="AQ155" s="9">
        <f t="shared" si="49"/>
        <v>174.35843202093051</v>
      </c>
      <c r="AR155" s="9">
        <f t="shared" si="50"/>
        <v>-2.5595297892449391</v>
      </c>
      <c r="AS155" s="9">
        <f t="shared" si="51"/>
        <v>-5.9390460601474349E-2</v>
      </c>
      <c r="AT155" s="9">
        <f t="shared" si="52"/>
        <v>49.41729826923023</v>
      </c>
    </row>
    <row r="156" spans="25:46" x14ac:dyDescent="0.25">
      <c r="Y156" s="9">
        <v>154</v>
      </c>
      <c r="Z156" s="9">
        <f t="shared" si="44"/>
        <v>12991.684468506162</v>
      </c>
      <c r="AA156" s="9" t="str">
        <f t="shared" si="53"/>
        <v>81629.1609680312i</v>
      </c>
      <c r="AB156" s="9">
        <f>(Assumed_Efficiency/100)*Rout/'4. Current Sense Resistor'!$B$11</f>
        <v>135.14141414141415</v>
      </c>
      <c r="AD156" s="9" t="str">
        <f t="shared" si="40"/>
        <v>0.0160068509100871-0.0513915828667633i</v>
      </c>
      <c r="AE156" s="9" t="str">
        <f t="shared" si="45"/>
        <v>0.745281923714521-1.03139809909397i</v>
      </c>
      <c r="AF156" s="9" t="str">
        <f t="shared" si="41"/>
        <v>-0.771272479578182-1.02917511405822i</v>
      </c>
      <c r="AG156" s="9">
        <f t="shared" si="36"/>
        <v>1.2861036712300558</v>
      </c>
      <c r="AH156" s="9">
        <f t="shared" si="37"/>
        <v>-2.213918706567398</v>
      </c>
      <c r="AI156" s="9">
        <f t="shared" si="38"/>
        <v>-126.84819807137403</v>
      </c>
      <c r="AJ156" s="9">
        <f t="shared" si="39"/>
        <v>2.1855195588315359</v>
      </c>
      <c r="AL156" s="9" t="str">
        <f t="shared" si="42"/>
        <v>0.00116900296016762-0.0000866802937897741i</v>
      </c>
      <c r="AM156" s="9" t="str">
        <f t="shared" si="43"/>
        <v>0.999484042905927-0.0210201729819314i</v>
      </c>
      <c r="AN156" s="9" t="str">
        <f t="shared" si="46"/>
        <v>-0.741119995076449+0.0706499247704126i</v>
      </c>
      <c r="AO156" s="9">
        <f t="shared" si="47"/>
        <v>0.74447985800300931</v>
      </c>
      <c r="AP156" s="9">
        <f t="shared" si="48"/>
        <v>3.0465512658597458</v>
      </c>
      <c r="AQ156" s="9">
        <f t="shared" si="49"/>
        <v>174.55452960400186</v>
      </c>
      <c r="AR156" s="9">
        <f t="shared" si="50"/>
        <v>-2.5629409529031162</v>
      </c>
      <c r="AS156" s="9">
        <f t="shared" si="51"/>
        <v>-0.37742139407158026</v>
      </c>
      <c r="AT156" s="9">
        <f t="shared" si="52"/>
        <v>47.706331532627829</v>
      </c>
    </row>
    <row r="157" spans="25:46" x14ac:dyDescent="0.25">
      <c r="Y157" s="9">
        <v>155</v>
      </c>
      <c r="Z157" s="9">
        <f t="shared" si="44"/>
        <v>13815.848989288772</v>
      </c>
      <c r="AA157" s="9" t="str">
        <f t="shared" si="53"/>
        <v>86807.5393757111i</v>
      </c>
      <c r="AB157" s="9">
        <f>(Assumed_Efficiency/100)*Rout/'4. Current Sense Resistor'!$B$11</f>
        <v>135.14141414141415</v>
      </c>
      <c r="AD157" s="9" t="str">
        <f t="shared" si="40"/>
        <v>0.015696922579514-0.0483411134091572i</v>
      </c>
      <c r="AE157" s="9" t="str">
        <f t="shared" si="45"/>
        <v>0.713899902313419-1.08897149821232i</v>
      </c>
      <c r="AF157" s="9" t="str">
        <f t="shared" si="41"/>
        <v>-0.778041538776974-0.968968131737993i</v>
      </c>
      <c r="AG157" s="9">
        <f t="shared" si="36"/>
        <v>1.2426777041478849</v>
      </c>
      <c r="AH157" s="9">
        <f t="shared" si="37"/>
        <v>-2.2473388448822447</v>
      </c>
      <c r="AI157" s="9">
        <f t="shared" si="38"/>
        <v>-128.76303094755821</v>
      </c>
      <c r="AJ157" s="9">
        <f t="shared" si="39"/>
        <v>1.8871701277847746</v>
      </c>
      <c r="AL157" s="9" t="str">
        <f t="shared" si="42"/>
        <v>0.00116900208947604-0.000081509506104828i</v>
      </c>
      <c r="AM157" s="9" t="str">
        <f t="shared" si="43"/>
        <v>0.999416550078907-0.0223518857855365i</v>
      </c>
      <c r="AN157" s="9" t="str">
        <f t="shared" si="46"/>
        <v>-0.741069409210912+0.0683521521312355i</v>
      </c>
      <c r="AO157" s="9">
        <f t="shared" si="47"/>
        <v>0.74421494608021799</v>
      </c>
      <c r="AP157" s="9">
        <f t="shared" si="48"/>
        <v>3.0496183982625538</v>
      </c>
      <c r="AQ157" s="9">
        <f t="shared" si="49"/>
        <v>174.73026334589056</v>
      </c>
      <c r="AR157" s="9">
        <f t="shared" si="50"/>
        <v>-2.5660322456827367</v>
      </c>
      <c r="AS157" s="9">
        <f t="shared" si="51"/>
        <v>-0.67886211789796214</v>
      </c>
      <c r="AT157" s="9">
        <f t="shared" si="52"/>
        <v>45.967232398332357</v>
      </c>
    </row>
    <row r="158" spans="25:46" x14ac:dyDescent="0.25">
      <c r="Y158" s="9">
        <v>156</v>
      </c>
      <c r="Z158" s="9">
        <f t="shared" si="44"/>
        <v>14692.296734695852</v>
      </c>
      <c r="AA158" s="9" t="str">
        <f t="shared" si="53"/>
        <v>92314.4229721636i</v>
      </c>
      <c r="AB158" s="9">
        <f>(Assumed_Efficiency/100)*Rout/'4. Current Sense Resistor'!$B$11</f>
        <v>135.14141414141415</v>
      </c>
      <c r="AD158" s="9" t="str">
        <f t="shared" si="40"/>
        <v>0.0154227053165565-0.0454700580831837i</v>
      </c>
      <c r="AE158" s="9" t="str">
        <f t="shared" si="45"/>
        <v>0.678920880429164-1.14874078087456i</v>
      </c>
      <c r="AF158" s="9" t="str">
        <f t="shared" si="41"/>
        <v>-0.784171266459538-0.912319016260008i</v>
      </c>
      <c r="AG158" s="9">
        <f t="shared" si="36"/>
        <v>1.2030172744272565</v>
      </c>
      <c r="AH158" s="9">
        <f t="shared" si="37"/>
        <v>-2.2808006891484549</v>
      </c>
      <c r="AI158" s="9">
        <f t="shared" si="38"/>
        <v>-130.68025339873608</v>
      </c>
      <c r="AJ158" s="9">
        <f t="shared" si="39"/>
        <v>1.6054372705636837</v>
      </c>
      <c r="AL158" s="9" t="str">
        <f t="shared" si="42"/>
        <v>0.00116900131956573-0.0000766471742804171i</v>
      </c>
      <c r="AM158" s="9" t="str">
        <f t="shared" si="43"/>
        <v>0.999340235254379-0.0237677229343387i</v>
      </c>
      <c r="AN158" s="9" t="str">
        <f t="shared" si="46"/>
        <v>-0.741012347587023+0.0663127017778313i</v>
      </c>
      <c r="AO158" s="9">
        <f t="shared" si="47"/>
        <v>0.7439735705611501</v>
      </c>
      <c r="AP158" s="9">
        <f t="shared" si="48"/>
        <v>3.052341064882754</v>
      </c>
      <c r="AQ158" s="9">
        <f t="shared" si="49"/>
        <v>174.88626065224918</v>
      </c>
      <c r="AR158" s="9">
        <f t="shared" si="50"/>
        <v>-2.5688498472364314</v>
      </c>
      <c r="AS158" s="9">
        <f t="shared" si="51"/>
        <v>-0.96341257667274771</v>
      </c>
      <c r="AT158" s="9">
        <f t="shared" si="52"/>
        <v>44.206007253513093</v>
      </c>
    </row>
    <row r="159" spans="25:46" x14ac:dyDescent="0.25">
      <c r="Y159" s="9">
        <v>157</v>
      </c>
      <c r="Z159" s="9">
        <f t="shared" si="44"/>
        <v>15624.344440049217</v>
      </c>
      <c r="AA159" s="9" t="str">
        <f t="shared" si="53"/>
        <v>98170.6514200303i</v>
      </c>
      <c r="AB159" s="9">
        <f>(Assumed_Efficiency/100)*Rout/'4. Current Sense Resistor'!$B$11</f>
        <v>135.14141414141415</v>
      </c>
      <c r="AD159" s="9" t="str">
        <f t="shared" si="40"/>
        <v>0.0151801009925143-0.0427681430978946i</v>
      </c>
      <c r="AE159" s="9" t="str">
        <f t="shared" si="45"/>
        <v>0.64000164983325-1.21059472717506i</v>
      </c>
      <c r="AF159" s="9" t="str">
        <f t="shared" si="41"/>
        <v>-0.789749616162296-0.859018294038099i</v>
      </c>
      <c r="AG159" s="9">
        <f t="shared" si="36"/>
        <v>1.1668834070808529</v>
      </c>
      <c r="AH159" s="9">
        <f t="shared" si="37"/>
        <v>-2.3142067934771857</v>
      </c>
      <c r="AI159" s="9">
        <f t="shared" si="38"/>
        <v>-132.59428218674609</v>
      </c>
      <c r="AJ159" s="9">
        <f t="shared" si="39"/>
        <v>1.3405492855853294</v>
      </c>
      <c r="AL159" s="9" t="str">
        <f t="shared" si="42"/>
        <v>0.00116900063877146-0.0000720748978296237i</v>
      </c>
      <c r="AM159" s="9" t="str">
        <f t="shared" si="43"/>
        <v>0.999253947203204-0.0252729489514276i</v>
      </c>
      <c r="AN159" s="9" t="str">
        <f t="shared" si="46"/>
        <v>-0.740947949382868+0.0645237865810863i</v>
      </c>
      <c r="AO159" s="9">
        <f t="shared" si="47"/>
        <v>0.74375209763027805</v>
      </c>
      <c r="AP159" s="9">
        <f t="shared" si="48"/>
        <v>3.0547290332570025</v>
      </c>
      <c r="AQ159" s="9">
        <f t="shared" si="49"/>
        <v>175.02308116170434</v>
      </c>
      <c r="AR159" s="9">
        <f t="shared" si="50"/>
        <v>-2.5714359281123795</v>
      </c>
      <c r="AS159" s="9">
        <f t="shared" si="51"/>
        <v>-1.2308866425270502</v>
      </c>
      <c r="AT159" s="9">
        <f t="shared" si="52"/>
        <v>42.428798974958255</v>
      </c>
    </row>
    <row r="160" spans="25:46" x14ac:dyDescent="0.25">
      <c r="Y160" s="9">
        <v>158</v>
      </c>
      <c r="Z160" s="9">
        <f t="shared" si="44"/>
        <v>16615.519247226184</v>
      </c>
      <c r="AA160" s="9" t="str">
        <f t="shared" si="53"/>
        <v>104398.386405331i</v>
      </c>
      <c r="AB160" s="9">
        <f>(Assumed_Efficiency/100)*Rout/'4. Current Sense Resistor'!$B$11</f>
        <v>135.14141414141415</v>
      </c>
      <c r="AD160" s="9" t="str">
        <f t="shared" si="40"/>
        <v>0.0149654781485951-0.0402256357857713i</v>
      </c>
      <c r="AE160" s="9" t="str">
        <f t="shared" si="45"/>
        <v>0.596783732320474-1.27437830934679i</v>
      </c>
      <c r="AF160" s="9" t="str">
        <f t="shared" si="41"/>
        <v>-0.794855528957017-0.80886615089362i</v>
      </c>
      <c r="AG160" s="9">
        <f t="shared" si="36"/>
        <v>1.1340457495070471</v>
      </c>
      <c r="AH160" s="9">
        <f t="shared" si="37"/>
        <v>-2.3474583948438976</v>
      </c>
      <c r="AI160" s="9">
        <f t="shared" si="38"/>
        <v>-134.49945860711011</v>
      </c>
      <c r="AJ160" s="9">
        <f t="shared" si="39"/>
        <v>1.0926115030898484</v>
      </c>
      <c r="AL160" s="9" t="str">
        <f t="shared" si="42"/>
        <v>0.00116900003677814-0.0000677753739196629i</v>
      </c>
      <c r="AM160" s="9" t="str">
        <f t="shared" si="43"/>
        <v>0.999156384994353-0.0268731477564393i</v>
      </c>
      <c r="AN160" s="9" t="str">
        <f t="shared" si="46"/>
        <v>-0.74087524365962+0.062978553516388i</v>
      </c>
      <c r="AO160" s="9">
        <f t="shared" si="47"/>
        <v>0.743547190748992</v>
      </c>
      <c r="AP160" s="9">
        <f t="shared" si="48"/>
        <v>3.0567909073070525</v>
      </c>
      <c r="AQ160" s="9">
        <f t="shared" si="49"/>
        <v>175.14121784265976</v>
      </c>
      <c r="AR160" s="9">
        <f t="shared" si="50"/>
        <v>-2.5738292575277804</v>
      </c>
      <c r="AS160" s="9">
        <f t="shared" si="51"/>
        <v>-1.4812177544379319</v>
      </c>
      <c r="AT160" s="9">
        <f t="shared" si="52"/>
        <v>40.641759235549642</v>
      </c>
    </row>
    <row r="161" spans="25:46" x14ac:dyDescent="0.25">
      <c r="Y161" s="9">
        <v>159</v>
      </c>
      <c r="Z161" s="9">
        <f t="shared" si="44"/>
        <v>17669.572052398642</v>
      </c>
      <c r="AA161" s="9" t="str">
        <f t="shared" si="53"/>
        <v>111021.195503782i</v>
      </c>
      <c r="AB161" s="9">
        <f>(Assumed_Efficiency/100)*Rout/'4. Current Sense Resistor'!$B$11</f>
        <v>135.14141414141415</v>
      </c>
      <c r="AD161" s="9" t="str">
        <f t="shared" si="40"/>
        <v>0.0147756196449911-0.0378333242734868i</v>
      </c>
      <c r="AE161" s="9" t="str">
        <f t="shared" si="45"/>
        <v>0.548897389453538-1.33988654552013i</v>
      </c>
      <c r="AF161" s="9" t="str">
        <f t="shared" si="41"/>
        <v>-0.799559884641031-0.761671891489084i</v>
      </c>
      <c r="AG161" s="9">
        <f t="shared" si="36"/>
        <v>1.1042826084892117</v>
      </c>
      <c r="AH161" s="9">
        <f t="shared" si="37"/>
        <v>-2.3804577408414556</v>
      </c>
      <c r="AI161" s="9">
        <f t="shared" si="38"/>
        <v>-136.3901818594621</v>
      </c>
      <c r="AJ161" s="9">
        <f t="shared" si="39"/>
        <v>0.86160464903800182</v>
      </c>
      <c r="AL161" s="9" t="str">
        <f t="shared" si="42"/>
        <v>0.00116899950446468-0.0000637323318929724i</v>
      </c>
      <c r="AM161" s="9" t="str">
        <f t="shared" si="43"/>
        <v>0.999046078675327-0.0285742399907191i</v>
      </c>
      <c r="AN161" s="9" t="str">
        <f t="shared" si="46"/>
        <v>-0.740793134940667+0.0616710549084019i</v>
      </c>
      <c r="AO161" s="9">
        <f t="shared" si="47"/>
        <v>0.74335576125347702</v>
      </c>
      <c r="AP161" s="9">
        <f t="shared" si="48"/>
        <v>3.0585341454674468</v>
      </c>
      <c r="AQ161" s="9">
        <f t="shared" si="49"/>
        <v>175.24109803193647</v>
      </c>
      <c r="AR161" s="9">
        <f t="shared" si="50"/>
        <v>-2.5760657659407347</v>
      </c>
      <c r="AS161" s="9">
        <f t="shared" si="51"/>
        <v>-1.7144611169027328</v>
      </c>
      <c r="AT161" s="9">
        <f t="shared" si="52"/>
        <v>38.850916172474371</v>
      </c>
    </row>
    <row r="162" spans="25:46" x14ac:dyDescent="0.25">
      <c r="Y162" s="9">
        <v>160</v>
      </c>
      <c r="Z162" s="9">
        <f t="shared" si="44"/>
        <v>18790.49170052441</v>
      </c>
      <c r="AA162" s="9" t="str">
        <f t="shared" si="53"/>
        <v>118064.141367415i</v>
      </c>
      <c r="AB162" s="9">
        <f>(Assumed_Efficiency/100)*Rout/'4. Current Sense Resistor'!$B$11</f>
        <v>135.14141414141415</v>
      </c>
      <c r="AD162" s="9" t="str">
        <f t="shared" si="40"/>
        <v>0.0146076760093774-0.0355824963880806i</v>
      </c>
      <c r="AE162" s="9" t="str">
        <f t="shared" si="45"/>
        <v>0.495967035430936-1.40685831967828i</v>
      </c>
      <c r="AF162" s="9" t="str">
        <f t="shared" si="41"/>
        <v>-0.803926310298962-0.717253382265157i</v>
      </c>
      <c r="AG162" s="9">
        <f t="shared" si="36"/>
        <v>1.077381049936238</v>
      </c>
      <c r="AH162" s="9">
        <f t="shared" si="37"/>
        <v>-2.4131103944926471</v>
      </c>
      <c r="AI162" s="9">
        <f t="shared" si="38"/>
        <v>-138.26104110357781</v>
      </c>
      <c r="AJ162" s="9">
        <f t="shared" si="39"/>
        <v>0.64738664936113022</v>
      </c>
      <c r="AL162" s="9" t="str">
        <f t="shared" si="42"/>
        <v>0.00116899903376574-0.0000599304716943364i</v>
      </c>
      <c r="AM162" s="9" t="str">
        <f t="shared" si="43"/>
        <v>0.998921367500358-0.0303825008523953i</v>
      </c>
      <c r="AN162" s="9" t="str">
        <f t="shared" si="46"/>
        <v>-0.740700386984244+0.0605962225353292i</v>
      </c>
      <c r="AO162" s="9">
        <f t="shared" si="47"/>
        <v>0.74317492252104411</v>
      </c>
      <c r="AP162" s="9">
        <f t="shared" si="48"/>
        <v>3.0599650774063285</v>
      </c>
      <c r="AQ162" s="9">
        <f t="shared" si="49"/>
        <v>175.32308439280487</v>
      </c>
      <c r="AR162" s="9">
        <f t="shared" si="50"/>
        <v>-2.5781790694831281</v>
      </c>
      <c r="AS162" s="9">
        <f t="shared" si="51"/>
        <v>-1.9307924201219979</v>
      </c>
      <c r="AT162" s="9">
        <f t="shared" si="52"/>
        <v>37.062043289227063</v>
      </c>
    </row>
    <row r="163" spans="25:46" x14ac:dyDescent="0.25">
      <c r="Y163" s="9">
        <v>161</v>
      </c>
      <c r="Z163" s="9">
        <f t="shared" si="44"/>
        <v>19982.5200803064</v>
      </c>
      <c r="AA163" s="9" t="str">
        <f t="shared" si="53"/>
        <v>125553.876569002i</v>
      </c>
      <c r="AB163" s="9">
        <f>(Assumed_Efficiency/100)*Rout/'4. Current Sense Resistor'!$B$11</f>
        <v>135.14141414141415</v>
      </c>
      <c r="AD163" s="9" t="str">
        <f t="shared" si="40"/>
        <v>0.0144591239027218-0.0334649181677692i</v>
      </c>
      <c r="AE163" s="9" t="str">
        <f t="shared" si="45"/>
        <v>0.437618234753374-1.47497043458319i</v>
      </c>
      <c r="AF163" s="9" t="str">
        <f t="shared" si="41"/>
        <v>-0.808011853988049-0.675436490622875i</v>
      </c>
      <c r="AG163" s="9">
        <f t="shared" si="36"/>
        <v>1.0531370324179798</v>
      </c>
      <c r="AH163" s="9">
        <f t="shared" si="37"/>
        <v>-2.4453274136444461</v>
      </c>
      <c r="AI163" s="9">
        <f t="shared" si="38"/>
        <v>-140.10694032946802</v>
      </c>
      <c r="AJ163" s="9">
        <f t="shared" si="39"/>
        <v>0.44969769058483788</v>
      </c>
      <c r="AL163" s="9" t="str">
        <f t="shared" si="42"/>
        <v>0.00116899861754953-0.0000563554059710441i</v>
      </c>
      <c r="AM163" s="9" t="str">
        <f t="shared" si="43"/>
        <v>0.998780375406605-0.0323045783564475i</v>
      </c>
      <c r="AN163" s="9" t="str">
        <f t="shared" si="46"/>
        <v>-0.740595604526209+0.0597498443816773i</v>
      </c>
      <c r="AO163" s="9">
        <f t="shared" si="47"/>
        <v>0.74300194706822642</v>
      </c>
      <c r="AP163" s="9">
        <f t="shared" si="48"/>
        <v>3.0610889190334425</v>
      </c>
      <c r="AQ163" s="9">
        <f t="shared" si="49"/>
        <v>175.38747577487962</v>
      </c>
      <c r="AR163" s="9">
        <f t="shared" si="50"/>
        <v>-2.5802009630151783</v>
      </c>
      <c r="AS163" s="9">
        <f t="shared" si="51"/>
        <v>-2.1305032724303405</v>
      </c>
      <c r="AT163" s="9">
        <f t="shared" si="52"/>
        <v>35.280535445411601</v>
      </c>
    </row>
    <row r="164" spans="25:46" x14ac:dyDescent="0.25">
      <c r="Y164" s="9">
        <v>162</v>
      </c>
      <c r="Z164" s="9">
        <f t="shared" si="44"/>
        <v>21250.168176743602</v>
      </c>
      <c r="AA164" s="9" t="str">
        <f t="shared" si="53"/>
        <v>133518.744463211i</v>
      </c>
      <c r="AB164" s="9">
        <f>(Assumed_Efficiency/100)*Rout/'4. Current Sense Resistor'!$B$11</f>
        <v>135.14141414141415</v>
      </c>
      <c r="AD164" s="9" t="str">
        <f t="shared" si="40"/>
        <v>0.0143277291710404-0.031472812272565i</v>
      </c>
      <c r="AE164" s="9" t="str">
        <f t="shared" si="45"/>
        <v>0.373486430804807-1.54383224299446i</v>
      </c>
      <c r="AF164" s="9" t="str">
        <f t="shared" si="41"/>
        <v>-0.811867530999445-0.63605453322286i</v>
      </c>
      <c r="AG164" s="9">
        <f t="shared" si="36"/>
        <v>1.0313555435079045</v>
      </c>
      <c r="AH164" s="9">
        <f t="shared" si="37"/>
        <v>-2.4770273108090728</v>
      </c>
      <c r="AI164" s="9">
        <f t="shared" si="38"/>
        <v>-141.92321064799987</v>
      </c>
      <c r="AJ164" s="9">
        <f t="shared" si="39"/>
        <v>0.26816814495641306</v>
      </c>
      <c r="AL164" s="9" t="str">
        <f t="shared" si="42"/>
        <v>0.00116899824950974-0.0000529936056269701i</v>
      </c>
      <c r="AM164" s="9" t="str">
        <f t="shared" si="43"/>
        <v>0.998620983405187-0.0343475119064659i</v>
      </c>
      <c r="AN164" s="9" t="str">
        <f t="shared" si="46"/>
        <v>-0.740477212744735+0.0591285438163473i</v>
      </c>
      <c r="AO164" s="9">
        <f t="shared" si="47"/>
        <v>0.74283422598050319</v>
      </c>
      <c r="AP164" s="9">
        <f t="shared" si="48"/>
        <v>3.0619097855635591</v>
      </c>
      <c r="AQ164" s="9">
        <f t="shared" si="49"/>
        <v>175.43450796259887</v>
      </c>
      <c r="AR164" s="9">
        <f t="shared" si="50"/>
        <v>-2.582161888304995</v>
      </c>
      <c r="AS164" s="9">
        <f t="shared" si="51"/>
        <v>-2.3139937433485818</v>
      </c>
      <c r="AT164" s="9">
        <f t="shared" si="52"/>
        <v>33.511297314599005</v>
      </c>
    </row>
    <row r="165" spans="25:46" x14ac:dyDescent="0.25">
      <c r="Y165" s="9">
        <v>163</v>
      </c>
      <c r="Z165" s="9">
        <f t="shared" si="44"/>
        <v>22598.233142021272</v>
      </c>
      <c r="AA165" s="9" t="str">
        <f t="shared" si="53"/>
        <v>141988.886446167i</v>
      </c>
      <c r="AB165" s="9">
        <f>(Assumed_Efficiency/100)*Rout/'4. Current Sense Resistor'!$B$11</f>
        <v>135.14141414141415</v>
      </c>
      <c r="AD165" s="9" t="str">
        <f t="shared" si="40"/>
        <v>0.0142115140001492-0.0295988365283655i</v>
      </c>
      <c r="AE165" s="9" t="str">
        <f t="shared" si="45"/>
        <v>0.303227489635002-1.6129812834883i</v>
      </c>
      <c r="AF165" s="9" t="str">
        <f t="shared" si="41"/>
        <v>-0.815538750426967-0.598947746703443i</v>
      </c>
      <c r="AG165" s="9">
        <f t="shared" si="36"/>
        <v>1.0118507087160191</v>
      </c>
      <c r="AH165" s="9">
        <f t="shared" si="37"/>
        <v>-2.5081377144472548</v>
      </c>
      <c r="AI165" s="9">
        <f t="shared" si="38"/>
        <v>-143.70570547541615</v>
      </c>
      <c r="AJ165" s="9">
        <f t="shared" si="39"/>
        <v>0.10232880415338436</v>
      </c>
      <c r="AL165" s="9" t="str">
        <f t="shared" si="42"/>
        <v>0.00116899792407004-0.0000498323486245498i</v>
      </c>
      <c r="AM165" s="9" t="str">
        <f t="shared" si="43"/>
        <v>0.998440798517717-0.0365187510302086i</v>
      </c>
      <c r="AN165" s="9" t="str">
        <f t="shared" si="46"/>
        <v>-0.740343434172167+0.0587297609555209i</v>
      </c>
      <c r="AO165" s="9">
        <f t="shared" si="47"/>
        <v>0.74266923010431118</v>
      </c>
      <c r="AP165" s="9">
        <f t="shared" si="48"/>
        <v>3.0624307024685828</v>
      </c>
      <c r="AQ165" s="9">
        <f t="shared" si="49"/>
        <v>175.46435430273374</v>
      </c>
      <c r="AR165" s="9">
        <f t="shared" si="50"/>
        <v>-2.5840913836169892</v>
      </c>
      <c r="AS165" s="9">
        <f t="shared" si="51"/>
        <v>-2.4817625794636049</v>
      </c>
      <c r="AT165" s="9">
        <f t="shared" si="52"/>
        <v>31.758648827317586</v>
      </c>
    </row>
    <row r="166" spans="25:46" x14ac:dyDescent="0.25">
      <c r="Y166" s="9">
        <v>164</v>
      </c>
      <c r="Z166" s="9">
        <f t="shared" si="44"/>
        <v>24031.816449341983</v>
      </c>
      <c r="AA166" s="9" t="str">
        <f t="shared" si="53"/>
        <v>150996.356019342i</v>
      </c>
      <c r="AB166" s="9">
        <f>(Assumed_Efficiency/100)*Rout/'4. Current Sense Resistor'!$B$11</f>
        <v>135.14141414141415</v>
      </c>
      <c r="AD166" s="9" t="str">
        <f t="shared" si="40"/>
        <v>0.0141087277360639-0.0278360627872247i</v>
      </c>
      <c r="AE166" s="9" t="str">
        <f t="shared" si="45"/>
        <v>0.226530050124274-1.68188042297561i</v>
      </c>
      <c r="AF166" s="9" t="str">
        <f t="shared" si="41"/>
        <v>-0.819065630743006-0.563962794655396i</v>
      </c>
      <c r="AG166" s="9">
        <f t="shared" si="36"/>
        <v>0.99444584629831023</v>
      </c>
      <c r="AH166" s="9">
        <f t="shared" si="37"/>
        <v>-2.5385966726968876</v>
      </c>
      <c r="AI166" s="9">
        <f t="shared" si="38"/>
        <v>-145.45087523148527</v>
      </c>
      <c r="AJ166" s="9">
        <f t="shared" si="39"/>
        <v>-4.8377238104631112E-2</v>
      </c>
      <c r="AL166" s="9" t="str">
        <f t="shared" si="42"/>
        <v>0.00116899763629951-0.0000468596718408833i</v>
      </c>
      <c r="AM166" s="9" t="str">
        <f t="shared" si="43"/>
        <v>0.998237118850082-0.0388261740891142i</v>
      </c>
      <c r="AN166" s="9" t="str">
        <f t="shared" si="46"/>
        <v>-0.740192262750334+0.0585517359465094i</v>
      </c>
      <c r="AO166" s="9">
        <f t="shared" si="47"/>
        <v>0.74250447245643536</v>
      </c>
      <c r="AP166" s="9">
        <f t="shared" si="48"/>
        <v>3.0626536142096872</v>
      </c>
      <c r="AQ166" s="9">
        <f t="shared" si="49"/>
        <v>175.47712620470293</v>
      </c>
      <c r="AR166" s="9">
        <f t="shared" si="50"/>
        <v>-2.5860185208264337</v>
      </c>
      <c r="AS166" s="9">
        <f t="shared" si="51"/>
        <v>-2.6343957589310647</v>
      </c>
      <c r="AT166" s="9">
        <f t="shared" si="52"/>
        <v>30.026250973217657</v>
      </c>
    </row>
    <row r="167" spans="25:46" x14ac:dyDescent="0.25">
      <c r="Y167" s="9">
        <v>165</v>
      </c>
      <c r="Z167" s="9">
        <f t="shared" si="44"/>
        <v>25556.343198396022</v>
      </c>
      <c r="AA167" s="9" t="str">
        <f t="shared" si="53"/>
        <v>160575.240089401i</v>
      </c>
      <c r="AB167" s="9">
        <f>(Assumed_Efficiency/100)*Rout/'4. Current Sense Resistor'!$B$11</f>
        <v>135.14141414141415</v>
      </c>
      <c r="AD167" s="9" t="str">
        <f t="shared" si="40"/>
        <v>0.0140178209762261-0.0261779562445146i</v>
      </c>
      <c r="AE167" s="9" t="str">
        <f t="shared" si="45"/>
        <v>0.143129544113221-1.74991706795065i</v>
      </c>
      <c r="AF167" s="9" t="str">
        <f t="shared" si="41"/>
        <v>-0.822483214810353-0.530952325084024i</v>
      </c>
      <c r="AG167" s="9">
        <f t="shared" si="36"/>
        <v>0.97897344711534662</v>
      </c>
      <c r="AH167" s="9">
        <f t="shared" si="37"/>
        <v>-2.5683535631428756</v>
      </c>
      <c r="AI167" s="9">
        <f t="shared" si="38"/>
        <v>-147.15581946547354</v>
      </c>
      <c r="AJ167" s="9">
        <f t="shared" si="39"/>
        <v>-0.18458174979365585</v>
      </c>
      <c r="AL167" s="9" t="str">
        <f t="shared" si="42"/>
        <v>0.00116899738183801-0.0000440643257957997i</v>
      </c>
      <c r="AM167" s="9" t="str">
        <f t="shared" si="43"/>
        <v>0.998006894353889-0.0412781067211852i</v>
      </c>
      <c r="AN167" s="9" t="str">
        <f t="shared" si="46"/>
        <v>-0.740021434695434+0.0585934938784966i</v>
      </c>
      <c r="AO167" s="9">
        <f t="shared" si="47"/>
        <v>0.74233747132525774</v>
      </c>
      <c r="AP167" s="9">
        <f t="shared" si="48"/>
        <v>3.0625793906940828</v>
      </c>
      <c r="AQ167" s="9">
        <f t="shared" si="49"/>
        <v>175.47287351051818</v>
      </c>
      <c r="AR167" s="9">
        <f t="shared" si="50"/>
        <v>-2.5879723360550946</v>
      </c>
      <c r="AS167" s="9">
        <f t="shared" si="51"/>
        <v>-2.7725540858487503</v>
      </c>
      <c r="AT167" s="9">
        <f t="shared" si="52"/>
        <v>28.317054045044642</v>
      </c>
    </row>
    <row r="168" spans="25:46" x14ac:dyDescent="0.25">
      <c r="Y168" s="9">
        <v>166</v>
      </c>
      <c r="Z168" s="9">
        <f t="shared" si="44"/>
        <v>27177.582645530147</v>
      </c>
      <c r="AA168" s="9" t="str">
        <f t="shared" si="53"/>
        <v>170761.787963054i</v>
      </c>
      <c r="AB168" s="9">
        <f>(Assumed_Efficiency/100)*Rout/'4. Current Sense Resistor'!$B$11</f>
        <v>135.14141414141415</v>
      </c>
      <c r="AD168" s="9" t="str">
        <f t="shared" si="40"/>
        <v>0.0139374225760751-0.0246183553191356i</v>
      </c>
      <c r="AE168" s="9" t="str">
        <f t="shared" si="45"/>
        <v>0.0528235880661945-1.81640503703184i</v>
      </c>
      <c r="AF168" s="9" t="str">
        <f t="shared" si="41"/>
        <v>-0.825821597247614-0.499774592535408i</v>
      </c>
      <c r="AG168" s="9">
        <f t="shared" si="36"/>
        <v>0.96527506640570249</v>
      </c>
      <c r="AH168" s="9">
        <f t="shared" si="37"/>
        <v>-2.5973695951355795</v>
      </c>
      <c r="AI168" s="9">
        <f t="shared" si="38"/>
        <v>-148.81831563687206</v>
      </c>
      <c r="AJ168" s="9">
        <f t="shared" si="39"/>
        <v>-0.30697823468268359</v>
      </c>
      <c r="AL168" s="9" t="str">
        <f t="shared" si="42"/>
        <v>0.00116899715683006-0.0000414357320805458i</v>
      </c>
      <c r="AM168" s="9" t="str">
        <f t="shared" si="43"/>
        <v>0.997746682782331-0.0438833397155475i</v>
      </c>
      <c r="AN168" s="9" t="str">
        <f t="shared" si="46"/>
        <v>-0.739828395805923+0.0588548309876712i</v>
      </c>
      <c r="AO168" s="9">
        <f t="shared" si="47"/>
        <v>0.74216571355146332</v>
      </c>
      <c r="AP168" s="9">
        <f t="shared" si="48"/>
        <v>3.0622078314514649</v>
      </c>
      <c r="AQ168" s="9">
        <f t="shared" si="49"/>
        <v>175.4515847340771</v>
      </c>
      <c r="AR168" s="9">
        <f t="shared" si="50"/>
        <v>-2.5899822597649438</v>
      </c>
      <c r="AS168" s="9">
        <f t="shared" si="51"/>
        <v>-2.8969604944476273</v>
      </c>
      <c r="AT168" s="9">
        <f t="shared" si="52"/>
        <v>26.633269097205044</v>
      </c>
    </row>
    <row r="169" spans="25:46" x14ac:dyDescent="0.25">
      <c r="Y169" s="9">
        <v>167</v>
      </c>
      <c r="Z169" s="9">
        <f t="shared" si="44"/>
        <v>28901.670036305419</v>
      </c>
      <c r="AA169" s="9" t="str">
        <f t="shared" si="53"/>
        <v>181594.548525067i</v>
      </c>
      <c r="AB169" s="9">
        <f>(Assumed_Efficiency/100)*Rout/'4. Current Sense Resistor'!$B$11</f>
        <v>135.14141414141415</v>
      </c>
      <c r="AD169" s="9" t="str">
        <f t="shared" si="40"/>
        <v>0.0138663192516355-0.0231514521746777i</v>
      </c>
      <c r="AE169" s="9" t="str">
        <f t="shared" si="45"/>
        <v>-0.0445117435244286-1.88058967290764i</v>
      </c>
      <c r="AF169" s="9" t="str">
        <f t="shared" si="41"/>
        <v>-0.829105980212872-0.470293158223062i</v>
      </c>
      <c r="AG169" s="9">
        <f t="shared" si="36"/>
        <v>0.95320112310895289</v>
      </c>
      <c r="AH169" s="9">
        <f t="shared" si="37"/>
        <v>-2.6256179125056436</v>
      </c>
      <c r="AI169" s="9">
        <f t="shared" si="38"/>
        <v>-150.43682500052282</v>
      </c>
      <c r="AJ169" s="9">
        <f t="shared" si="39"/>
        <v>-0.41630909235859881</v>
      </c>
      <c r="AL169" s="9" t="str">
        <f t="shared" si="42"/>
        <v>0.00116899695786646-0.0000389639433260014i</v>
      </c>
      <c r="AM169" s="9" t="str">
        <f t="shared" si="43"/>
        <v>0.997452600302169-0.0466511459436075i</v>
      </c>
      <c r="AN169" s="9" t="str">
        <f t="shared" si="46"/>
        <v>-0.739610264813878+0.0593363017763626i</v>
      </c>
      <c r="AO169" s="9">
        <f t="shared" si="47"/>
        <v>0.74198661748481032</v>
      </c>
      <c r="AP169" s="9">
        <f t="shared" si="48"/>
        <v>3.0615376675747292</v>
      </c>
      <c r="AQ169" s="9">
        <f t="shared" si="49"/>
        <v>175.41318717235802</v>
      </c>
      <c r="AR169" s="9">
        <f t="shared" si="50"/>
        <v>-2.5920785522338226</v>
      </c>
      <c r="AS169" s="9">
        <f t="shared" si="51"/>
        <v>-3.0083876445924211</v>
      </c>
      <c r="AT169" s="9">
        <f t="shared" si="52"/>
        <v>24.976362171835206</v>
      </c>
    </row>
    <row r="170" spans="25:46" x14ac:dyDescent="0.25">
      <c r="Y170" s="9">
        <v>168</v>
      </c>
      <c r="Z170" s="9">
        <f t="shared" si="44"/>
        <v>30735.129823066054</v>
      </c>
      <c r="AA170" s="9" t="str">
        <f t="shared" si="53"/>
        <v>193114.516118546i</v>
      </c>
      <c r="AB170" s="9">
        <f>(Assumed_Efficiency/100)*Rout/'4. Current Sense Resistor'!$B$11</f>
        <v>135.14141414141415</v>
      </c>
      <c r="AD170" s="9" t="str">
        <f t="shared" si="40"/>
        <v>0.0138034374918365-0.021771773936401i</v>
      </c>
      <c r="AE170" s="9" t="str">
        <f t="shared" si="45"/>
        <v>-0.148905461826336-1.94165669650627i</v>
      </c>
      <c r="AF170" s="9" t="str">
        <f t="shared" si="41"/>
        <v>-0.832356677235346-0.442376679521657i</v>
      </c>
      <c r="AG170" s="9">
        <f t="shared" si="36"/>
        <v>0.94261061139946478</v>
      </c>
      <c r="AH170" s="9">
        <f t="shared" si="37"/>
        <v>-2.6530833229899398</v>
      </c>
      <c r="AI170" s="9">
        <f t="shared" si="38"/>
        <v>-152.01047710386734</v>
      </c>
      <c r="AJ170" s="9">
        <f t="shared" si="39"/>
        <v>-0.5133535099385903</v>
      </c>
      <c r="AL170" s="9" t="str">
        <f t="shared" si="42"/>
        <v>0.00116899678193261-0.0000366396055589335i</v>
      </c>
      <c r="AM170" s="9" t="str">
        <f t="shared" si="43"/>
        <v>0.99712026617759-0.0495912958839171i</v>
      </c>
      <c r="AN170" s="9" t="str">
        <f t="shared" si="46"/>
        <v>-0.739363792346077+0.0600392066067949i</v>
      </c>
      <c r="AO170" s="9">
        <f t="shared" si="47"/>
        <v>0.74179749511733073</v>
      </c>
      <c r="AP170" s="9">
        <f t="shared" si="48"/>
        <v>3.060566561520111</v>
      </c>
      <c r="AQ170" s="9">
        <f t="shared" si="49"/>
        <v>175.35754689396879</v>
      </c>
      <c r="AR170" s="9">
        <f t="shared" si="50"/>
        <v>-2.5942927503869924</v>
      </c>
      <c r="AS170" s="9">
        <f t="shared" si="51"/>
        <v>-3.1076462603255828</v>
      </c>
      <c r="AT170" s="9">
        <f t="shared" si="52"/>
        <v>23.347069790101443</v>
      </c>
    </row>
    <row r="171" spans="25:46" x14ac:dyDescent="0.25">
      <c r="Y171" s="9">
        <v>169</v>
      </c>
      <c r="Z171" s="9">
        <f t="shared" si="44"/>
        <v>32684.900355380338</v>
      </c>
      <c r="AA171" s="9" t="str">
        <f t="shared" si="53"/>
        <v>205365.285679555i</v>
      </c>
      <c r="AB171" s="9">
        <f>(Assumed_Efficiency/100)*Rout/'4. Current Sense Resistor'!$B$11</f>
        <v>135.14141414141415</v>
      </c>
      <c r="AD171" s="9" t="str">
        <f t="shared" si="40"/>
        <v>0.0137478275243373-0.0204741646402461i</v>
      </c>
      <c r="AE171" s="9" t="str">
        <f t="shared" si="45"/>
        <v>-0.260275930672083-1.99874515665745i</v>
      </c>
      <c r="AF171" s="9" t="str">
        <f t="shared" si="41"/>
        <v>-0.835589088313425-0.415898796806086i</v>
      </c>
      <c r="AG171" s="9">
        <f t="shared" si="36"/>
        <v>0.9333707375385254</v>
      </c>
      <c r="AH171" s="9">
        <f t="shared" si="37"/>
        <v>-2.6797616956174788</v>
      </c>
      <c r="AI171" s="9">
        <f t="shared" si="38"/>
        <v>-153.5390352597027</v>
      </c>
      <c r="AJ171" s="9">
        <f t="shared" si="39"/>
        <v>-0.59891637938276354</v>
      </c>
      <c r="AL171" s="9" t="str">
        <f t="shared" si="42"/>
        <v>0.00116899662636285-0.0000344539228038299i</v>
      </c>
      <c r="AM171" s="9" t="str">
        <f t="shared" si="43"/>
        <v>0.996744740896442-0.0527140711731568i</v>
      </c>
      <c r="AN171" s="9" t="str">
        <f t="shared" si="46"/>
        <v>-0.739085315027704+0.0609655792582001i</v>
      </c>
      <c r="AO171" s="9">
        <f t="shared" si="47"/>
        <v>0.7415955128935775</v>
      </c>
      <c r="AP171" s="9">
        <f t="shared" si="48"/>
        <v>3.0592911049154159</v>
      </c>
      <c r="AQ171" s="9">
        <f t="shared" si="49"/>
        <v>175.28446861356767</v>
      </c>
      <c r="AR171" s="9">
        <f t="shared" si="50"/>
        <v>-2.596658132056906</v>
      </c>
      <c r="AS171" s="9">
        <f t="shared" si="51"/>
        <v>-3.1955745114396694</v>
      </c>
      <c r="AT171" s="9">
        <f t="shared" si="52"/>
        <v>21.745433353864968</v>
      </c>
    </row>
    <row r="172" spans="25:46" x14ac:dyDescent="0.25">
      <c r="Y172" s="9">
        <v>170</v>
      </c>
      <c r="Z172" s="9">
        <f t="shared" si="44"/>
        <v>34758.360136790499</v>
      </c>
      <c r="AA172" s="9" t="str">
        <f t="shared" si="53"/>
        <v>218393.217713139i</v>
      </c>
      <c r="AB172" s="9">
        <f>(Assumed_Efficiency/100)*Rout/'4. Current Sense Resistor'!$B$11</f>
        <v>135.14141414141415</v>
      </c>
      <c r="AD172" s="9" t="str">
        <f t="shared" si="40"/>
        <v>0.0136986491058844-0.0192537679350416i</v>
      </c>
      <c r="AE172" s="9" t="str">
        <f t="shared" si="45"/>
        <v>-0.37841694193887-2.05096459737467i</v>
      </c>
      <c r="AF172" s="9" t="str">
        <f t="shared" si="41"/>
        <v>-0.838813672558231-0.390738120644995i</v>
      </c>
      <c r="AG172" s="9">
        <f t="shared" si="36"/>
        <v>0.92535650221728594</v>
      </c>
      <c r="AH172" s="9">
        <f t="shared" si="37"/>
        <v>-2.7056590785880368</v>
      </c>
      <c r="AI172" s="9">
        <f t="shared" si="38"/>
        <v>-155.02284600434962</v>
      </c>
      <c r="AJ172" s="9">
        <f t="shared" si="39"/>
        <v>-0.67381838051316756</v>
      </c>
      <c r="AL172" s="9" t="str">
        <f t="shared" si="42"/>
        <v>0.00116899648880006-0.0000323986237963591i</v>
      </c>
      <c r="AM172" s="9" t="str">
        <f t="shared" si="43"/>
        <v>0.996320457066355-0.0560302754912517i</v>
      </c>
      <c r="AN172" s="9" t="str">
        <f t="shared" si="46"/>
        <v>-0.738770704229685+0.0621181738492196i</v>
      </c>
      <c r="AO172" s="9">
        <f t="shared" si="47"/>
        <v>0.74137765069523553</v>
      </c>
      <c r="AP172" s="9">
        <f t="shared" si="48"/>
        <v>3.0577068145834918</v>
      </c>
      <c r="AQ172" s="9">
        <f t="shared" si="49"/>
        <v>175.19369546402504</v>
      </c>
      <c r="AR172" s="9">
        <f t="shared" si="50"/>
        <v>-2.5992102038963432</v>
      </c>
      <c r="AS172" s="9">
        <f t="shared" si="51"/>
        <v>-3.2730285844095106</v>
      </c>
      <c r="AT172" s="9">
        <f t="shared" si="52"/>
        <v>20.170849459675424</v>
      </c>
    </row>
    <row r="173" spans="25:46" x14ac:dyDescent="0.25">
      <c r="Y173" s="9">
        <v>171</v>
      </c>
      <c r="Z173" s="9">
        <f t="shared" si="44"/>
        <v>36963.355747234389</v>
      </c>
      <c r="AA173" s="9" t="str">
        <f t="shared" si="53"/>
        <v>232247.613735075i</v>
      </c>
      <c r="AB173" s="9">
        <f>(Assumed_Efficiency/100)*Rout/'4. Current Sense Resistor'!$B$11</f>
        <v>135.14141414141415</v>
      </c>
      <c r="AD173" s="9" t="str">
        <f t="shared" si="40"/>
        <v>0.0136551589328375-0.0181060105470584i</v>
      </c>
      <c r="AE173" s="9" t="str">
        <f t="shared" si="45"/>
        <v>-0.502986801971353-2.09741625493446i</v>
      </c>
      <c r="AF173" s="9" t="str">
        <f t="shared" si="41"/>
        <v>-0.842035946528818-0.366778315852216i</v>
      </c>
      <c r="AG173" s="9">
        <f t="shared" si="36"/>
        <v>0.91845025353911802</v>
      </c>
      <c r="AH173" s="9">
        <f t="shared" si="37"/>
        <v>-2.7307905980432516</v>
      </c>
      <c r="AI173" s="9">
        <f t="shared" si="38"/>
        <v>-156.46277600188438</v>
      </c>
      <c r="AJ173" s="9">
        <f t="shared" si="39"/>
        <v>-0.73888723242279775</v>
      </c>
      <c r="AL173" s="9" t="str">
        <f t="shared" si="42"/>
        <v>0.00116899636715997-0.000030465930682488i</v>
      </c>
      <c r="AM173" s="9" t="str">
        <f t="shared" si="43"/>
        <v>0.995841142370011-0.0595512419414292i</v>
      </c>
      <c r="AN173" s="9" t="str">
        <f t="shared" si="46"/>
        <v>-0.738415308932429+0.0635004504234696i</v>
      </c>
      <c r="AO173" s="9">
        <f t="shared" si="47"/>
        <v>0.74114065849186705</v>
      </c>
      <c r="AP173" s="9">
        <f t="shared" si="48"/>
        <v>3.0558081270535964</v>
      </c>
      <c r="AQ173" s="9">
        <f t="shared" si="49"/>
        <v>175.08490868194792</v>
      </c>
      <c r="AR173" s="9">
        <f t="shared" si="50"/>
        <v>-2.6019872193683531</v>
      </c>
      <c r="AS173" s="9">
        <f t="shared" si="51"/>
        <v>-3.3408744517911506</v>
      </c>
      <c r="AT173" s="9">
        <f t="shared" si="52"/>
        <v>18.622132680063544</v>
      </c>
    </row>
    <row r="174" spans="25:46" x14ac:dyDescent="0.25">
      <c r="Y174" s="9">
        <v>172</v>
      </c>
      <c r="Z174" s="9">
        <f t="shared" si="44"/>
        <v>39308.231536804677</v>
      </c>
      <c r="AA174" s="9" t="str">
        <f t="shared" si="53"/>
        <v>246980.902843264i</v>
      </c>
      <c r="AB174" s="9">
        <f>(Assumed_Efficiency/100)*Rout/'4. Current Sense Resistor'!$B$11</f>
        <v>135.14141414141415</v>
      </c>
      <c r="AD174" s="9" t="str">
        <f t="shared" si="40"/>
        <v>0.0136166994896748-0.0170265865065151i</v>
      </c>
      <c r="AE174" s="9" t="str">
        <f t="shared" si="45"/>
        <v>-0.633501653642441-2.13721772462067i</v>
      </c>
      <c r="AF174" s="9" t="str">
        <f t="shared" si="41"/>
        <v>-0.845256536372246-0.343908271183227i</v>
      </c>
      <c r="AG174" s="9">
        <f t="shared" si="36"/>
        <v>0.91254123811926546</v>
      </c>
      <c r="AH174" s="9">
        <f t="shared" si="37"/>
        <v>-2.7551792029297939</v>
      </c>
      <c r="AI174" s="9">
        <f t="shared" si="38"/>
        <v>-157.86014013009537</v>
      </c>
      <c r="AJ174" s="9">
        <f t="shared" si="39"/>
        <v>-0.79495000958391571</v>
      </c>
      <c r="AL174" s="9" t="str">
        <f t="shared" si="42"/>
        <v>0.00116899625959955-0.0000286485295848086i</v>
      </c>
      <c r="AM174" s="9" t="str">
        <f t="shared" si="43"/>
        <v>0.995299733838616-0.0632888359125504i</v>
      </c>
      <c r="AN174" s="9" t="str">
        <f t="shared" si="46"/>
        <v>-0.738013892156306+0.0651165583723256i</v>
      </c>
      <c r="AO174" s="9">
        <f t="shared" si="47"/>
        <v>0.74088101014262486</v>
      </c>
      <c r="AP174" s="9">
        <f t="shared" si="48"/>
        <v>3.0535883919081348</v>
      </c>
      <c r="AQ174" s="9">
        <f t="shared" si="49"/>
        <v>174.95772722647612</v>
      </c>
      <c r="AR174" s="9">
        <f t="shared" si="50"/>
        <v>-2.6050307334775313</v>
      </c>
      <c r="AS174" s="9">
        <f t="shared" si="51"/>
        <v>-3.3999807430614473</v>
      </c>
      <c r="AT174" s="9">
        <f t="shared" si="52"/>
        <v>17.097587096380749</v>
      </c>
    </row>
    <row r="175" spans="25:46" x14ac:dyDescent="0.25">
      <c r="Y175" s="9">
        <v>173</v>
      </c>
      <c r="Z175" s="9">
        <f t="shared" si="44"/>
        <v>41801.861203217486</v>
      </c>
      <c r="AA175" s="9" t="str">
        <f t="shared" si="53"/>
        <v>262648.840124816i</v>
      </c>
      <c r="AB175" s="9">
        <f>(Assumed_Efficiency/100)*Rout/'4. Current Sense Resistor'!$B$11</f>
        <v>135.14141414141415</v>
      </c>
      <c r="AD175" s="9" t="str">
        <f t="shared" si="40"/>
        <v>0.0135826891732177-0.0160114421281561i</v>
      </c>
      <c r="AE175" s="9" t="str">
        <f t="shared" si="45"/>
        <v>-0.769334154726901-2.16953013440584i</v>
      </c>
      <c r="AF175" s="9" t="str">
        <f t="shared" si="41"/>
        <v>-0.848471309333834-0.32202233518087i</v>
      </c>
      <c r="AG175" s="9">
        <f t="shared" si="36"/>
        <v>0.90752517712623881</v>
      </c>
      <c r="AH175" s="9">
        <f t="shared" si="37"/>
        <v>-2.7788543231654552</v>
      </c>
      <c r="AI175" s="9">
        <f t="shared" si="38"/>
        <v>-159.21662459906355</v>
      </c>
      <c r="AJ175" s="9">
        <f t="shared" si="39"/>
        <v>-0.84282635315773757</v>
      </c>
      <c r="AL175" s="9" t="str">
        <f t="shared" si="42"/>
        <v>0.00116899616448909-0.000026939542924687i</v>
      </c>
      <c r="AM175" s="9" t="str">
        <f t="shared" si="43"/>
        <v>0.994688282684603-0.0672554522075896i</v>
      </c>
      <c r="AN175" s="9" t="str">
        <f t="shared" si="46"/>
        <v>-0.737560560395991+0.0669713167226435i</v>
      </c>
      <c r="AO175" s="9">
        <f t="shared" si="47"/>
        <v>0.74059485382711976</v>
      </c>
      <c r="AP175" s="9">
        <f t="shared" si="48"/>
        <v>3.0510398643987808</v>
      </c>
      <c r="AQ175" s="9">
        <f t="shared" si="49"/>
        <v>174.81170735621714</v>
      </c>
      <c r="AR175" s="9">
        <f t="shared" si="50"/>
        <v>-2.6083862011798038</v>
      </c>
      <c r="AS175" s="9">
        <f t="shared" si="51"/>
        <v>-3.4512125543375411</v>
      </c>
      <c r="AT175" s="9">
        <f t="shared" si="52"/>
        <v>15.595082757153591</v>
      </c>
    </row>
    <row r="176" spans="25:46" x14ac:dyDescent="0.25">
      <c r="Y176" s="9">
        <v>174</v>
      </c>
      <c r="Z176" s="9">
        <f t="shared" si="44"/>
        <v>44453.681372487059</v>
      </c>
      <c r="AA176" s="9" t="str">
        <f t="shared" si="53"/>
        <v>279310.717649654i</v>
      </c>
      <c r="AB176" s="9">
        <f>(Assumed_Efficiency/100)*Rout/'4. Current Sense Resistor'!$B$11</f>
        <v>135.14141414141415</v>
      </c>
      <c r="AD176" s="9" t="str">
        <f t="shared" si="40"/>
        <v>0.0135526135481864-0.0150567617322279i</v>
      </c>
      <c r="AE176" s="9" t="str">
        <f t="shared" si="45"/>
        <v>-0.909718385092612-2.19358647666576i</v>
      </c>
      <c r="AF176" s="9" t="str">
        <f t="shared" si="41"/>
        <v>-0.851671604761709-0.301020590768966i</v>
      </c>
      <c r="AG176" s="9">
        <f t="shared" si="36"/>
        <v>0.90330389040692272</v>
      </c>
      <c r="AH176" s="9">
        <f t="shared" si="37"/>
        <v>-2.8018505076391294</v>
      </c>
      <c r="AI176" s="9">
        <f t="shared" si="38"/>
        <v>-160.53420891430935</v>
      </c>
      <c r="AJ176" s="9">
        <f t="shared" si="39"/>
        <v>-0.8833223863264239</v>
      </c>
      <c r="AL176" s="9" t="str">
        <f t="shared" si="42"/>
        <v>0.00116899608038753-0.0000253325033954932i</v>
      </c>
      <c r="AM176" s="9" t="str">
        <f t="shared" si="43"/>
        <v>0.993997848934507-0.0714640049847596i</v>
      </c>
      <c r="AN176" s="9" t="str">
        <f t="shared" si="46"/>
        <v>-0.737048685495691+0.0690701901453901i</v>
      </c>
      <c r="AO176" s="9">
        <f t="shared" si="47"/>
        <v>0.74027795857883449</v>
      </c>
      <c r="AP176" s="9">
        <f t="shared" si="48"/>
        <v>3.0481536978668573</v>
      </c>
      <c r="AQ176" s="9">
        <f t="shared" si="49"/>
        <v>174.646342194966</v>
      </c>
      <c r="AR176" s="9">
        <f t="shared" si="50"/>
        <v>-2.6121036267039797</v>
      </c>
      <c r="AS176" s="9">
        <f t="shared" si="51"/>
        <v>-3.4954260130304036</v>
      </c>
      <c r="AT176" s="9">
        <f t="shared" si="52"/>
        <v>14.11213328065665</v>
      </c>
    </row>
    <row r="177" spans="25:46" x14ac:dyDescent="0.25">
      <c r="Y177" s="9">
        <v>175</v>
      </c>
      <c r="Z177" s="9">
        <f t="shared" si="44"/>
        <v>47273.727309885995</v>
      </c>
      <c r="AA177" s="9" t="str">
        <f t="shared" si="53"/>
        <v>297029.58884909i</v>
      </c>
      <c r="AB177" s="9">
        <f>(Assumed_Efficiency/100)*Rout/'4. Current Sense Resistor'!$B$11</f>
        <v>135.14141414141415</v>
      </c>
      <c r="AD177" s="9" t="str">
        <f t="shared" si="40"/>
        <v>0.0135260176056992-0.0141589540877664i</v>
      </c>
      <c r="AE177" s="9" t="str">
        <f t="shared" si="45"/>
        <v>-1.05376146351734-2.20871943582754i</v>
      </c>
      <c r="AF177" s="9" t="str">
        <f t="shared" si="41"/>
        <v>-0.854844576406839-0.280809134809239i</v>
      </c>
      <c r="AG177" s="9">
        <f t="shared" si="36"/>
        <v>0.89978498542957541</v>
      </c>
      <c r="AH177" s="9">
        <f t="shared" si="37"/>
        <v>-2.8242061051305445</v>
      </c>
      <c r="AI177" s="9">
        <f t="shared" si="38"/>
        <v>-161.81509029906067</v>
      </c>
      <c r="AJ177" s="9">
        <f t="shared" si="39"/>
        <v>-0.91722516227297712</v>
      </c>
      <c r="AL177" s="9" t="str">
        <f t="shared" si="42"/>
        <v>0.00116899600602061-0.0000238213294884207i</v>
      </c>
      <c r="AM177" s="9" t="str">
        <f t="shared" si="43"/>
        <v>0.993218385127828-0.0759279087824847i</v>
      </c>
      <c r="AN177" s="9" t="str">
        <f t="shared" si="46"/>
        <v>-0.736470818420737+0.0714192593410433i</v>
      </c>
      <c r="AO177" s="9">
        <f t="shared" si="47"/>
        <v>0.73992565639402819</v>
      </c>
      <c r="AP177" s="9">
        <f t="shared" si="48"/>
        <v>3.0449199366209432</v>
      </c>
      <c r="AQ177" s="9">
        <f t="shared" si="49"/>
        <v>174.46106132362218</v>
      </c>
      <c r="AR177" s="9">
        <f t="shared" si="50"/>
        <v>-2.6162382713208494</v>
      </c>
      <c r="AS177" s="9">
        <f t="shared" si="51"/>
        <v>-3.5334634335938264</v>
      </c>
      <c r="AT177" s="9">
        <f t="shared" si="52"/>
        <v>12.645971024561504</v>
      </c>
    </row>
    <row r="178" spans="25:46" x14ac:dyDescent="0.25">
      <c r="Y178" s="9">
        <v>176</v>
      </c>
      <c r="Z178" s="9">
        <f t="shared" si="44"/>
        <v>50272.670896332245</v>
      </c>
      <c r="AA178" s="9" t="str">
        <f t="shared" si="53"/>
        <v>315872.50712851i</v>
      </c>
      <c r="AB178" s="9">
        <f>(Assumed_Efficiency/100)*Rout/'4. Current Sense Resistor'!$B$11</f>
        <v>135.14141414141415</v>
      </c>
      <c r="AD178" s="9" t="str">
        <f t="shared" si="40"/>
        <v>0.0135024989106312-0.0133146395568253i</v>
      </c>
      <c r="AE178" s="9" t="str">
        <f t="shared" si="45"/>
        <v>-1.20046184472394-2.21438686738314i</v>
      </c>
      <c r="AF178" s="9" t="str">
        <f t="shared" si="41"/>
        <v>-0.857973647121022-0.261300325146977i</v>
      </c>
      <c r="AG178" s="9">
        <f t="shared" si="36"/>
        <v>0.8968816193211141</v>
      </c>
      <c r="AH178" s="9">
        <f t="shared" si="37"/>
        <v>-2.8459620448883709</v>
      </c>
      <c r="AI178" s="9">
        <f t="shared" si="38"/>
        <v>-163.06161382652499</v>
      </c>
      <c r="AJ178" s="9">
        <f t="shared" si="39"/>
        <v>-0.94529752637415121</v>
      </c>
      <c r="AL178" s="9" t="str">
        <f t="shared" si="42"/>
        <v>0.00116899594026155-0.0000224003024782764i</v>
      </c>
      <c r="AM178" s="9" t="str">
        <f t="shared" si="43"/>
        <v>0.992338608406775-0.0806610485824103i</v>
      </c>
      <c r="AN178" s="9" t="str">
        <f t="shared" si="46"/>
        <v>-0.735818594424896+0.074025184226354i</v>
      </c>
      <c r="AO178" s="9">
        <f t="shared" si="47"/>
        <v>0.7395327793960017</v>
      </c>
      <c r="AP178" s="9">
        <f t="shared" si="48"/>
        <v>3.0413275100630264</v>
      </c>
      <c r="AQ178" s="9">
        <f t="shared" si="49"/>
        <v>174.25523044364283</v>
      </c>
      <c r="AR178" s="9">
        <f t="shared" si="50"/>
        <v>-2.6208514273837102</v>
      </c>
      <c r="AS178" s="9">
        <f t="shared" si="51"/>
        <v>-3.5661489537578612</v>
      </c>
      <c r="AT178" s="9">
        <f t="shared" si="52"/>
        <v>11.19361661711784</v>
      </c>
    </row>
    <row r="179" spans="25:46" x14ac:dyDescent="0.25">
      <c r="Y179" s="9">
        <v>177</v>
      </c>
      <c r="Z179" s="9">
        <f t="shared" si="44"/>
        <v>53461.861013916772</v>
      </c>
      <c r="AA179" s="9" t="str">
        <f t="shared" si="53"/>
        <v>335910.779617119i</v>
      </c>
      <c r="AB179" s="9">
        <f>(Assumed_Efficiency/100)*Rout/'4. Current Sense Resistor'!$B$11</f>
        <v>135.14141414141415</v>
      </c>
      <c r="AD179" s="9" t="str">
        <f t="shared" si="40"/>
        <v>0.013481701536519-0.0125206379159214i</v>
      </c>
      <c r="AE179" s="9" t="str">
        <f t="shared" si="45"/>
        <v>-1.34873368860004-2.21019307949775i</v>
      </c>
      <c r="AF179" s="9" t="str">
        <f t="shared" si="41"/>
        <v>-0.86103906499711-0.242412957638588i</v>
      </c>
      <c r="AG179" s="9">
        <f t="shared" si="36"/>
        <v>0.89451233277254771</v>
      </c>
      <c r="AH179" s="9">
        <f t="shared" si="37"/>
        <v>-2.867160764330444</v>
      </c>
      <c r="AI179" s="9">
        <f t="shared" si="38"/>
        <v>-164.27621098163772</v>
      </c>
      <c r="AJ179" s="9">
        <f t="shared" si="39"/>
        <v>-0.96827334747399696</v>
      </c>
      <c r="AL179" s="9" t="str">
        <f t="shared" si="42"/>
        <v>0.00116899588211401-0.0000210640447821504i</v>
      </c>
      <c r="AM179" s="9" t="str">
        <f t="shared" si="43"/>
        <v>0.991345860426539-0.0856777365024928i</v>
      </c>
      <c r="AN179" s="9" t="str">
        <f t="shared" si="46"/>
        <v>-0.735082629190437+0.0768951580821167i</v>
      </c>
      <c r="AO179" s="9">
        <f t="shared" si="47"/>
        <v>0.73909359155251719</v>
      </c>
      <c r="AP179" s="9">
        <f t="shared" si="48"/>
        <v>3.0373642290165135</v>
      </c>
      <c r="AQ179" s="9">
        <f t="shared" si="49"/>
        <v>174.02815116665343</v>
      </c>
      <c r="AR179" s="9">
        <f t="shared" si="50"/>
        <v>-2.6260112667129958</v>
      </c>
      <c r="AS179" s="9">
        <f t="shared" si="51"/>
        <v>-3.5942846141869929</v>
      </c>
      <c r="AT179" s="9">
        <f t="shared" si="52"/>
        <v>9.7519401850157124</v>
      </c>
    </row>
    <row r="180" spans="25:46" x14ac:dyDescent="0.25">
      <c r="Y180" s="9">
        <v>178</v>
      </c>
      <c r="Z180" s="9">
        <f t="shared" si="44"/>
        <v>56853.366493401947</v>
      </c>
      <c r="AA180" s="9" t="str">
        <f t="shared" si="53"/>
        <v>357220.237015039i</v>
      </c>
      <c r="AB180" s="9">
        <f>(Assumed_Efficiency/100)*Rout/'4. Current Sense Resistor'!$B$11</f>
        <v>135.14141414141415</v>
      </c>
      <c r="AD180" s="9" t="str">
        <f t="shared" si="40"/>
        <v>0.0134633106980801-0.0117739568293532i</v>
      </c>
      <c r="AE180" s="9" t="str">
        <f t="shared" si="45"/>
        <v>-1.49743611674355-2.19590426812907i</v>
      </c>
      <c r="AF180" s="9" t="str">
        <f t="shared" si="41"/>
        <v>-0.864018538003292-0.224072339799203i</v>
      </c>
      <c r="AG180" s="9">
        <f t="shared" si="36"/>
        <v>0.89260094525853817</v>
      </c>
      <c r="AH180" s="9">
        <f t="shared" si="37"/>
        <v>-2.8878453193884726</v>
      </c>
      <c r="AI180" s="9">
        <f t="shared" si="38"/>
        <v>-165.46134868756872</v>
      </c>
      <c r="AJ180" s="9">
        <f t="shared" si="39"/>
        <v>-0.98685315160484166</v>
      </c>
      <c r="AL180" s="9" t="str">
        <f t="shared" si="42"/>
        <v>0.00116899583069696-0.0000198074996090672i</v>
      </c>
      <c r="AM180" s="9" t="str">
        <f t="shared" si="43"/>
        <v>0.99022595468049-0.0909926523026098i</v>
      </c>
      <c r="AN180" s="9" t="str">
        <f t="shared" si="46"/>
        <v>-0.734252405640034+0.0800368505212432i</v>
      </c>
      <c r="AO180" s="9">
        <f t="shared" si="47"/>
        <v>0.73860171447779399</v>
      </c>
      <c r="AP180" s="9">
        <f t="shared" si="48"/>
        <v>3.0330167853984142</v>
      </c>
      <c r="AQ180" s="9">
        <f t="shared" si="49"/>
        <v>173.77906099566528</v>
      </c>
      <c r="AR180" s="9">
        <f t="shared" si="50"/>
        <v>-2.6317937715729616</v>
      </c>
      <c r="AS180" s="9">
        <f t="shared" si="51"/>
        <v>-3.6186469231778031</v>
      </c>
      <c r="AT180" s="9">
        <f t="shared" si="52"/>
        <v>8.31771230809656</v>
      </c>
    </row>
    <row r="181" spans="25:46" x14ac:dyDescent="0.25">
      <c r="Y181" s="9">
        <v>179</v>
      </c>
      <c r="Z181" s="9">
        <f t="shared" si="44"/>
        <v>60460.02178621637</v>
      </c>
      <c r="AA181" s="9" t="str">
        <f t="shared" si="53"/>
        <v>379881.520558912i</v>
      </c>
      <c r="AB181" s="9">
        <f>(Assumed_Efficiency/100)*Rout/'4. Current Sense Resistor'!$B$11</f>
        <v>135.14141414141415</v>
      </c>
      <c r="AD181" s="9" t="str">
        <f t="shared" si="40"/>
        <v>0.0134470480015614-0.0110717809480435i</v>
      </c>
      <c r="AE181" s="9" t="str">
        <f t="shared" si="45"/>
        <v>-1.64540567597592-2.17145685501433i</v>
      </c>
      <c r="AF181" s="9" t="str">
        <f t="shared" si="41"/>
        <v>-0.866887913852873-0.206210235927106i</v>
      </c>
      <c r="AG181" s="9">
        <f t="shared" si="36"/>
        <v>0.89107649311677994</v>
      </c>
      <c r="AH181" s="9">
        <f t="shared" si="37"/>
        <v>-2.9080586990701569</v>
      </c>
      <c r="AI181" s="9">
        <f t="shared" si="38"/>
        <v>-166.61949003302473</v>
      </c>
      <c r="AJ181" s="9">
        <f t="shared" si="39"/>
        <v>-1.001700260169422</v>
      </c>
      <c r="AL181" s="9" t="str">
        <f t="shared" si="42"/>
        <v>0.00116899578523136-0.0000186259118236079i</v>
      </c>
      <c r="AM181" s="9" t="str">
        <f t="shared" si="43"/>
        <v>0.98896301107709-0.0966207644272253i</v>
      </c>
      <c r="AN181" s="9" t="str">
        <f t="shared" si="46"/>
        <v>-0.733316151299473+0.0834583368001067i</v>
      </c>
      <c r="AO181" s="9">
        <f t="shared" si="47"/>
        <v>0.73805004690611042</v>
      </c>
      <c r="AP181" s="9">
        <f t="shared" si="48"/>
        <v>3.0282707565977325</v>
      </c>
      <c r="AQ181" s="9">
        <f t="shared" si="49"/>
        <v>173.50713357593867</v>
      </c>
      <c r="AR181" s="9">
        <f t="shared" si="50"/>
        <v>-2.6382837565413646</v>
      </c>
      <c r="AS181" s="9">
        <f t="shared" si="51"/>
        <v>-3.6399840167107866</v>
      </c>
      <c r="AT181" s="9">
        <f t="shared" si="52"/>
        <v>6.8876435429139349</v>
      </c>
    </row>
    <row r="182" spans="25:46" x14ac:dyDescent="0.25">
      <c r="Y182" s="9">
        <v>180</v>
      </c>
      <c r="Z182" s="9">
        <f t="shared" si="44"/>
        <v>64295.47553378361</v>
      </c>
      <c r="AA182" s="9" t="str">
        <f t="shared" si="53"/>
        <v>403980.387191994i</v>
      </c>
      <c r="AB182" s="9">
        <f>(Assumed_Efficiency/100)*Rout/'4. Current Sense Resistor'!$B$11</f>
        <v>135.14141414141415</v>
      </c>
      <c r="AD182" s="9" t="str">
        <f t="shared" si="40"/>
        <v>0.0134326672421545-0.0104114616070209i</v>
      </c>
      <c r="AE182" s="9" t="str">
        <f t="shared" si="45"/>
        <v>-1.79148998839567-2.13695803621237i</v>
      </c>
      <c r="AF182" s="9" t="str">
        <f t="shared" si="41"/>
        <v>-0.869621864728952-0.188764670064702i</v>
      </c>
      <c r="AG182" s="9">
        <f t="shared" si="36"/>
        <v>0.88987318662790127</v>
      </c>
      <c r="AH182" s="9">
        <f t="shared" si="37"/>
        <v>-2.9278433509110227</v>
      </c>
      <c r="AI182" s="9">
        <f t="shared" si="38"/>
        <v>-167.75306708264208</v>
      </c>
      <c r="AJ182" s="9">
        <f t="shared" si="39"/>
        <v>-1.0134375810746494</v>
      </c>
      <c r="AL182" s="9" t="str">
        <f t="shared" si="42"/>
        <v>0.00116899574502834-0.0000175148099510842i</v>
      </c>
      <c r="AM182" s="9" t="str">
        <f t="shared" si="43"/>
        <v>0.987539277946635-0.102577227805279i</v>
      </c>
      <c r="AN182" s="9" t="str">
        <f t="shared" si="46"/>
        <v>-0.732260706342982+0.0871680106251361i</v>
      </c>
      <c r="AO182" s="9">
        <f t="shared" si="47"/>
        <v>0.73743067750824343</v>
      </c>
      <c r="AP182" s="9">
        <f t="shared" si="48"/>
        <v>3.0231106161759076</v>
      </c>
      <c r="AQ182" s="9">
        <f t="shared" si="49"/>
        <v>173.21147930807325</v>
      </c>
      <c r="AR182" s="9">
        <f t="shared" si="50"/>
        <v>-2.6455759894550734</v>
      </c>
      <c r="AS182" s="9">
        <f t="shared" si="51"/>
        <v>-3.6590135705297229</v>
      </c>
      <c r="AT182" s="9">
        <f t="shared" si="52"/>
        <v>5.4584122254311751</v>
      </c>
    </row>
    <row r="183" spans="25:46" x14ac:dyDescent="0.25">
      <c r="Y183" s="9">
        <v>181</v>
      </c>
      <c r="Z183" s="9">
        <f t="shared" si="44"/>
        <v>68374.242217984312</v>
      </c>
      <c r="AA183" s="9" t="str">
        <f t="shared" si="53"/>
        <v>429608.034093577i</v>
      </c>
      <c r="AB183" s="9">
        <f>(Assumed_Efficiency/100)*Rout/'4. Current Sense Resistor'!$B$11</f>
        <v>135.14141414141415</v>
      </c>
      <c r="AD183" s="9" t="str">
        <f t="shared" si="40"/>
        <v>0.0134199506857433-0.00979050709451471i</v>
      </c>
      <c r="AE183" s="9" t="str">
        <f t="shared" si="45"/>
        <v>-1.93458043635123-2.09267849910406i</v>
      </c>
      <c r="AF183" s="9" t="str">
        <f t="shared" si="41"/>
        <v>-0.872194533637779-0.171679586562379i</v>
      </c>
      <c r="AG183" s="9">
        <f t="shared" si="36"/>
        <v>0.88893036001131842</v>
      </c>
      <c r="AH183" s="9">
        <f t="shared" si="37"/>
        <v>-2.9472409094669514</v>
      </c>
      <c r="AI183" s="9">
        <f t="shared" si="38"/>
        <v>-168.86446532075468</v>
      </c>
      <c r="AJ183" s="9">
        <f t="shared" si="39"/>
        <v>-1.0226452181089138</v>
      </c>
      <c r="AL183" s="9" t="str">
        <f t="shared" si="42"/>
        <v>0.00116899570947876-0.0000164699892561688i</v>
      </c>
      <c r="AM183" s="9" t="str">
        <f t="shared" si="43"/>
        <v>0.985934942121839-0.108877254082102i</v>
      </c>
      <c r="AN183" s="9" t="str">
        <f t="shared" si="46"/>
        <v>-0.731071382798528+0.0911744772051182i</v>
      </c>
      <c r="AO183" s="9">
        <f t="shared" si="47"/>
        <v>0.73673479084442495</v>
      </c>
      <c r="AP183" s="9">
        <f t="shared" si="48"/>
        <v>3.0175197527963697</v>
      </c>
      <c r="AQ183" s="9">
        <f t="shared" si="49"/>
        <v>172.89114643259148</v>
      </c>
      <c r="AR183" s="9">
        <f t="shared" si="50"/>
        <v>-2.6537764192457018</v>
      </c>
      <c r="AS183" s="9">
        <f t="shared" si="51"/>
        <v>-3.6764216373546157</v>
      </c>
      <c r="AT183" s="9">
        <f t="shared" si="52"/>
        <v>4.0266811118368082</v>
      </c>
    </row>
    <row r="184" spans="25:46" x14ac:dyDescent="0.25">
      <c r="Y184" s="9">
        <v>182</v>
      </c>
      <c r="Z184" s="9">
        <f t="shared" si="44"/>
        <v>72711.757088212587</v>
      </c>
      <c r="AA184" s="9" t="str">
        <f t="shared" si="53"/>
        <v>456861.443795868i</v>
      </c>
      <c r="AB184" s="9">
        <f>(Assumed_Efficiency/100)*Rout/'4. Current Sense Resistor'!$B$11</f>
        <v>135.14141414141415</v>
      </c>
      <c r="AD184" s="9" t="str">
        <f t="shared" si="40"/>
        <v>0.0134087057793844-0.00920657346578686i</v>
      </c>
      <c r="AE184" s="9" t="str">
        <f t="shared" si="45"/>
        <v>-2.07364182953272-2.0390379224484i</v>
      </c>
      <c r="AF184" s="9" t="str">
        <f t="shared" si="41"/>
        <v>-0.874580101028014-0.154904381589059i</v>
      </c>
      <c r="AG184" s="9">
        <f t="shared" si="36"/>
        <v>0.88819238937837108</v>
      </c>
      <c r="AH184" s="9">
        <f t="shared" si="37"/>
        <v>-2.9662921072394668</v>
      </c>
      <c r="AI184" s="9">
        <f t="shared" si="38"/>
        <v>-169.95601854778883</v>
      </c>
      <c r="AJ184" s="9">
        <f t="shared" si="39"/>
        <v>-1.0298590493927262</v>
      </c>
      <c r="AL184" s="9" t="str">
        <f t="shared" si="42"/>
        <v>0.00116899567804399-0.0000154874958309443i</v>
      </c>
      <c r="AM184" s="9" t="str">
        <f t="shared" si="43"/>
        <v>0.984127928356577-0.115535949382803i</v>
      </c>
      <c r="AN184" s="9" t="str">
        <f t="shared" si="46"/>
        <v>-0.729731815850224+0.0954864228757199i</v>
      </c>
      <c r="AO184" s="9">
        <f t="shared" si="47"/>
        <v>0.73595256641828899</v>
      </c>
      <c r="AP184" s="9">
        <f t="shared" si="48"/>
        <v>3.0114804996214772</v>
      </c>
      <c r="AQ184" s="9">
        <f t="shared" si="49"/>
        <v>172.54512271425915</v>
      </c>
      <c r="AR184" s="9">
        <f t="shared" si="50"/>
        <v>-2.6630035177782698</v>
      </c>
      <c r="AS184" s="9">
        <f t="shared" si="51"/>
        <v>-3.6928625671709963</v>
      </c>
      <c r="AT184" s="9">
        <f t="shared" si="52"/>
        <v>2.5891041664703209</v>
      </c>
    </row>
    <row r="185" spans="25:46" x14ac:dyDescent="0.25">
      <c r="Y185" s="9">
        <v>183</v>
      </c>
      <c r="Z185" s="9">
        <f t="shared" si="44"/>
        <v>77324.434572886516</v>
      </c>
      <c r="AA185" s="9" t="str">
        <f t="shared" si="53"/>
        <v>485843.75119433i</v>
      </c>
      <c r="AB185" s="9">
        <f>(Assumed_Efficiency/100)*Rout/'4. Current Sense Resistor'!$B$11</f>
        <v>135.14141414141415</v>
      </c>
      <c r="AD185" s="9" t="str">
        <f t="shared" si="40"/>
        <v>0.0133987622412525-0.00865745587521845i</v>
      </c>
      <c r="AE185" s="9" t="str">
        <f t="shared" si="45"/>
        <v>-2.20773731430653-1.97658445063594i</v>
      </c>
      <c r="AF185" s="9" t="str">
        <f t="shared" si="41"/>
        <v>-0.876753236567309-0.138393330922282i</v>
      </c>
      <c r="AG185" s="9">
        <f t="shared" ref="AG185:AG202" si="54">IMABS(AF185)</f>
        <v>0.88760855779730741</v>
      </c>
      <c r="AH185" s="9">
        <f t="shared" ref="AH185:AH202" si="55">IMARGUMENT(AF185)</f>
        <v>-2.9850368376128502</v>
      </c>
      <c r="AI185" s="9">
        <f t="shared" ref="AI185:AI202" si="56">AH185/(PI())*180</f>
        <v>-171.0300124862944</v>
      </c>
      <c r="AJ185" s="9">
        <f t="shared" ref="AJ185:AJ202" si="57">20*LOG(AG185,10)</f>
        <v>-1.035570384180686</v>
      </c>
      <c r="AL185" s="9" t="str">
        <f t="shared" si="42"/>
        <v>0.00116899565024776-0.0000145636116321571i</v>
      </c>
      <c r="AM185" s="9" t="str">
        <f t="shared" si="43"/>
        <v>0.98209369015629-0.12256811411953i</v>
      </c>
      <c r="AN185" s="9" t="str">
        <f t="shared" si="46"/>
        <v>-0.72822380877484+0.10011245719i</v>
      </c>
      <c r="AO185" s="9">
        <f t="shared" si="47"/>
        <v>0.73507307102842112</v>
      </c>
      <c r="AP185" s="9">
        <f t="shared" si="48"/>
        <v>3.004974176787889</v>
      </c>
      <c r="AQ185" s="9">
        <f t="shared" si="49"/>
        <v>172.17233787574497</v>
      </c>
      <c r="AR185" s="9">
        <f t="shared" si="50"/>
        <v>-2.6733897416609116</v>
      </c>
      <c r="AS185" s="9">
        <f t="shared" si="51"/>
        <v>-3.7089601258415978</v>
      </c>
      <c r="AT185" s="9">
        <f t="shared" si="52"/>
        <v>1.1423253894505763</v>
      </c>
    </row>
    <row r="186" spans="25:46" x14ac:dyDescent="0.25">
      <c r="Y186" s="9">
        <v>184</v>
      </c>
      <c r="Z186" s="9">
        <f t="shared" si="44"/>
        <v>82229.730396460247</v>
      </c>
      <c r="AA186" s="9" t="str">
        <f t="shared" si="53"/>
        <v>516664.633840378i</v>
      </c>
      <c r="AB186" s="9">
        <f>(Assumed_Efficiency/100)*Rout/'4. Current Sense Resistor'!$B$11</f>
        <v>135.14141414141415</v>
      </c>
      <c r="AD186" s="9" t="str">
        <f t="shared" si="40"/>
        <v>0.0133899694864127-0.00814108040073692i</v>
      </c>
      <c r="AE186" s="9" t="str">
        <f t="shared" si="45"/>
        <v>-2.33604726307168-1.90596975834125i</v>
      </c>
      <c r="AF186" s="9" t="str">
        <f t="shared" si="41"/>
        <v>-0.878689410615961-0.122104948305322i</v>
      </c>
      <c r="AG186" s="9">
        <f t="shared" si="54"/>
        <v>0.88713285291960076</v>
      </c>
      <c r="AH186" s="9">
        <f t="shared" si="55"/>
        <v>-3.0035143332764997</v>
      </c>
      <c r="AI186" s="9">
        <f t="shared" si="56"/>
        <v>-172.08869500379279</v>
      </c>
      <c r="AJ186" s="9">
        <f t="shared" si="57"/>
        <v>-1.0402267472339768</v>
      </c>
      <c r="AL186" s="9" t="str">
        <f t="shared" si="42"/>
        <v>0.00116899562566889-0.0000136948404110522i</v>
      </c>
      <c r="AM186" s="9" t="str">
        <f t="shared" si="43"/>
        <v>0.979804995130028-0.12998799878475i</v>
      </c>
      <c r="AN186" s="9" t="str">
        <f t="shared" si="46"/>
        <v>-0.726527173817746+0.105060922948218i</v>
      </c>
      <c r="AO186" s="9">
        <f t="shared" si="47"/>
        <v>0.73408414492231921</v>
      </c>
      <c r="AP186" s="9">
        <f t="shared" si="48"/>
        <v>2.9979811499856699</v>
      </c>
      <c r="AQ186" s="9">
        <f t="shared" si="49"/>
        <v>171.77166695395593</v>
      </c>
      <c r="AR186" s="9">
        <f t="shared" si="50"/>
        <v>-2.6850831182742056</v>
      </c>
      <c r="AS186" s="9">
        <f t="shared" si="51"/>
        <v>-3.7253098655081827</v>
      </c>
      <c r="AT186" s="9">
        <f t="shared" si="52"/>
        <v>-0.31702804983686406</v>
      </c>
    </row>
    <row r="187" spans="25:46" x14ac:dyDescent="0.25">
      <c r="Y187" s="9">
        <v>185</v>
      </c>
      <c r="Z187" s="9">
        <f t="shared" si="44"/>
        <v>87446.207637003507</v>
      </c>
      <c r="AA187" s="9" t="str">
        <f t="shared" si="53"/>
        <v>549440.726993396i</v>
      </c>
      <c r="AB187" s="9">
        <f>(Assumed_Efficiency/100)*Rout/'4. Current Sense Resistor'!$B$11</f>
        <v>135.14141414141415</v>
      </c>
      <c r="AD187" s="9" t="str">
        <f t="shared" si="40"/>
        <v>0.0133821943497648-0.00765549633537351i</v>
      </c>
      <c r="AE187" s="9" t="str">
        <f t="shared" si="45"/>
        <v>-2.4578814518145-1.82792155188241i</v>
      </c>
      <c r="AF187" s="9" t="str">
        <f t="shared" si="41"/>
        <v>-0.880365051525901-0.106001313697515i</v>
      </c>
      <c r="AG187" s="9">
        <f t="shared" si="54"/>
        <v>0.88672369002626827</v>
      </c>
      <c r="AH187" s="9">
        <f t="shared" si="55"/>
        <v>-3.0217634214286142</v>
      </c>
      <c r="AI187" s="9">
        <f t="shared" si="56"/>
        <v>-173.13429073487114</v>
      </c>
      <c r="AJ187" s="9">
        <f t="shared" si="57"/>
        <v>-1.0442337722807766</v>
      </c>
      <c r="AL187" s="9" t="str">
        <f t="shared" si="42"/>
        <v>0.001168995603935-0.000012877894482543i</v>
      </c>
      <c r="AM187" s="9" t="str">
        <f t="shared" si="43"/>
        <v>0.977231709279085-0.137809009160928i</v>
      </c>
      <c r="AN187" s="9" t="str">
        <f t="shared" si="46"/>
        <v>-0.72461957228116+0.110339669263037i</v>
      </c>
      <c r="AO187" s="9">
        <f t="shared" si="47"/>
        <v>0.7329722826587699</v>
      </c>
      <c r="AP187" s="9">
        <f t="shared" si="48"/>
        <v>2.9904809086194231</v>
      </c>
      <c r="AQ187" s="9">
        <f t="shared" si="49"/>
        <v>171.34193477834054</v>
      </c>
      <c r="AR187" s="9">
        <f t="shared" si="50"/>
        <v>-2.6982489578171451</v>
      </c>
      <c r="AS187" s="9">
        <f t="shared" si="51"/>
        <v>-3.7424827300979215</v>
      </c>
      <c r="AT187" s="9">
        <f t="shared" si="52"/>
        <v>-1.7923559565305993</v>
      </c>
    </row>
    <row r="188" spans="25:46" x14ac:dyDescent="0.25">
      <c r="Y188" s="9">
        <v>186</v>
      </c>
      <c r="Z188" s="9">
        <f t="shared" si="44"/>
        <v>92993.606974334747</v>
      </c>
      <c r="AA188" s="9" t="str">
        <f t="shared" si="53"/>
        <v>584296.065002773i</v>
      </c>
      <c r="AB188" s="9">
        <f>(Assumed_Efficiency/100)*Rout/'4. Current Sense Resistor'!$B$11</f>
        <v>135.14141414141415</v>
      </c>
      <c r="AD188" s="9" t="str">
        <f t="shared" si="40"/>
        <v>0.0133753190719367-0.00719886892154844i</v>
      </c>
      <c r="AE188" s="9" t="str">
        <f t="shared" si="45"/>
        <v>-2.57268441754447-1.74321537882374i</v>
      </c>
      <c r="AF188" s="9" t="str">
        <f t="shared" si="41"/>
        <v>-0.881757546816103-0.0900474116665687i</v>
      </c>
      <c r="AG188" s="9">
        <f t="shared" si="54"/>
        <v>0.88634356076805831</v>
      </c>
      <c r="AH188" s="9">
        <f t="shared" si="55"/>
        <v>-3.0398228184870941</v>
      </c>
      <c r="AI188" s="9">
        <f t="shared" si="56"/>
        <v>-174.16901796687301</v>
      </c>
      <c r="AJ188" s="9">
        <f t="shared" si="57"/>
        <v>-1.047958121522599</v>
      </c>
      <c r="AL188" s="9" t="str">
        <f t="shared" si="42"/>
        <v>0.00116899558471677-0.0000121096822836471i</v>
      </c>
      <c r="AM188" s="9" t="str">
        <f t="shared" si="43"/>
        <v>0.974340586252807-0.146043353982053i</v>
      </c>
      <c r="AN188" s="9" t="str">
        <f t="shared" si="46"/>
        <v>-0.722476358294942+0.115955782465446i</v>
      </c>
      <c r="AO188" s="9">
        <f t="shared" si="47"/>
        <v>0.7317225100967546</v>
      </c>
      <c r="AP188" s="9">
        <f t="shared" si="48"/>
        <v>2.9824521675154192</v>
      </c>
      <c r="AQ188" s="9">
        <f t="shared" si="49"/>
        <v>170.88192179827792</v>
      </c>
      <c r="AR188" s="9">
        <f t="shared" si="50"/>
        <v>-2.7130716898081375</v>
      </c>
      <c r="AS188" s="9">
        <f t="shared" si="51"/>
        <v>-3.7610298113307365</v>
      </c>
      <c r="AT188" s="9">
        <f t="shared" si="52"/>
        <v>-3.2870961685950988</v>
      </c>
    </row>
    <row r="189" spans="25:46" x14ac:dyDescent="0.25">
      <c r="Y189" s="9">
        <v>187</v>
      </c>
      <c r="Z189" s="9">
        <f t="shared" si="44"/>
        <v>98892.921394542427</v>
      </c>
      <c r="AA189" s="9" t="str">
        <f t="shared" si="53"/>
        <v>621362.550690255i</v>
      </c>
      <c r="AB189" s="9">
        <f>(Assumed_Efficiency/100)*Rout/'4. Current Sense Resistor'!$B$11</f>
        <v>135.14141414141415</v>
      </c>
      <c r="AD189" s="9" t="str">
        <f t="shared" si="40"/>
        <v>0.0133692395178257-0.00676947250455242i</v>
      </c>
      <c r="AE189" s="9" t="str">
        <f t="shared" si="45"/>
        <v>-2.68003441167914-1.65264745938697i</v>
      </c>
      <c r="AF189" s="9" t="str">
        <f t="shared" si="41"/>
        <v>-0.882845097079773-0.0742105174202937i</v>
      </c>
      <c r="AG189" s="9">
        <f t="shared" si="54"/>
        <v>0.88595861434582912</v>
      </c>
      <c r="AH189" s="9">
        <f t="shared" si="55"/>
        <v>-3.0577314313162223</v>
      </c>
      <c r="AI189" s="9">
        <f t="shared" si="56"/>
        <v>-175.1951058989159</v>
      </c>
      <c r="AJ189" s="9">
        <f t="shared" si="57"/>
        <v>-1.0517312954650344</v>
      </c>
      <c r="AL189" s="9" t="str">
        <f t="shared" si="42"/>
        <v>0.00116899556772303-0.000011387296674106i</v>
      </c>
      <c r="AM189" s="9" t="str">
        <f t="shared" si="43"/>
        <v>0.97109506956778-0.15470162788422i</v>
      </c>
      <c r="AN189" s="9" t="str">
        <f t="shared" si="46"/>
        <v>-0.720070432197716+0.1219152695117i</v>
      </c>
      <c r="AO189" s="9">
        <f t="shared" si="47"/>
        <v>0.73031825957284957</v>
      </c>
      <c r="AP189" s="9">
        <f t="shared" si="48"/>
        <v>2.9738729966456843</v>
      </c>
      <c r="AQ189" s="9">
        <f t="shared" si="49"/>
        <v>170.39037151572055</v>
      </c>
      <c r="AR189" s="9">
        <f t="shared" si="50"/>
        <v>-2.7297568179913334</v>
      </c>
      <c r="AS189" s="9">
        <f t="shared" si="51"/>
        <v>-3.7814881134563678</v>
      </c>
      <c r="AT189" s="9">
        <f t="shared" si="52"/>
        <v>-4.8047343831953526</v>
      </c>
    </row>
    <row r="190" spans="25:46" x14ac:dyDescent="0.25">
      <c r="Y190" s="9">
        <v>188</v>
      </c>
      <c r="Z190" s="9">
        <f t="shared" si="44"/>
        <v>105166.47563360249</v>
      </c>
      <c r="AA190" s="9" t="str">
        <f t="shared" si="53"/>
        <v>660780.454508911i</v>
      </c>
      <c r="AB190" s="9">
        <f>(Assumed_Efficiency/100)*Rout/'4. Current Sense Resistor'!$B$11</f>
        <v>135.14141414141415</v>
      </c>
      <c r="AD190" s="9" t="str">
        <f t="shared" si="40"/>
        <v>0.013363863600962-0.00636568408261235i</v>
      </c>
      <c r="AE190" s="9" t="str">
        <f t="shared" si="45"/>
        <v>-2.77963677739634-1.55700995714691i</v>
      </c>
      <c r="AF190" s="9" t="str">
        <f t="shared" si="41"/>
        <v>-0.883606440099884-0.0584596624627037i</v>
      </c>
      <c r="AG190" s="9">
        <f t="shared" si="54"/>
        <v>0.88553818275738017</v>
      </c>
      <c r="AH190" s="9">
        <f t="shared" si="55"/>
        <v>-3.0755286381125861</v>
      </c>
      <c r="AI190" s="9">
        <f t="shared" si="56"/>
        <v>-176.21481073546909</v>
      </c>
      <c r="AJ190" s="9">
        <f t="shared" si="57"/>
        <v>-1.0558541620173869</v>
      </c>
      <c r="AL190" s="9" t="str">
        <f t="shared" si="42"/>
        <v>0.00116899555269628-0.0000107080039349139i</v>
      </c>
      <c r="AM190" s="9" t="str">
        <f t="shared" si="43"/>
        <v>0.967455118133247-0.163792322585619i</v>
      </c>
      <c r="AN190" s="9" t="str">
        <f t="shared" si="46"/>
        <v>-0.717372111195274+0.128222688629778i</v>
      </c>
      <c r="AO190" s="9">
        <f t="shared" si="47"/>
        <v>0.728741246122527</v>
      </c>
      <c r="AP190" s="9">
        <f t="shared" si="48"/>
        <v>2.9647209838506248</v>
      </c>
      <c r="AQ190" s="9">
        <f t="shared" si="49"/>
        <v>169.86599980851389</v>
      </c>
      <c r="AR190" s="9">
        <f t="shared" si="50"/>
        <v>-2.7485329817705129</v>
      </c>
      <c r="AS190" s="9">
        <f t="shared" si="51"/>
        <v>-3.8043871437879</v>
      </c>
      <c r="AT190" s="9">
        <f t="shared" si="52"/>
        <v>-6.3488109269551956</v>
      </c>
    </row>
    <row r="191" spans="25:46" x14ac:dyDescent="0.25">
      <c r="Y191" s="9">
        <v>189</v>
      </c>
      <c r="Z191" s="9">
        <f t="shared" si="44"/>
        <v>111838.01066072512</v>
      </c>
      <c r="AA191" s="9" t="str">
        <f t="shared" si="53"/>
        <v>702698.945367662i</v>
      </c>
      <c r="AB191" s="9">
        <f>(Assumed_Efficiency/100)*Rout/'4. Current Sense Resistor'!$B$11</f>
        <v>135.14141414141415</v>
      </c>
      <c r="AD191" s="9" t="str">
        <f t="shared" si="40"/>
        <v>0.0133591098899565-0.0059859772318771i</v>
      </c>
      <c r="AE191" s="9" t="str">
        <f t="shared" si="45"/>
        <v>-2.87131284994916-1.45706972928274i</v>
      </c>
      <c r="AF191" s="9" t="str">
        <f t="shared" si="41"/>
        <v>-0.884020468531981-0.0427652047411167i</v>
      </c>
      <c r="AG191" s="9">
        <f t="shared" si="54"/>
        <v>0.88505426473185977</v>
      </c>
      <c r="AH191" s="9">
        <f t="shared" si="55"/>
        <v>-3.0932545290251428</v>
      </c>
      <c r="AI191" s="9">
        <f t="shared" si="56"/>
        <v>-177.23042947286788</v>
      </c>
      <c r="AJ191" s="9">
        <f t="shared" si="57"/>
        <v>-1.0606020176565076</v>
      </c>
      <c r="AL191" s="9" t="str">
        <f t="shared" si="42"/>
        <v>0.00116899553940887-0.0000100692334231236i</v>
      </c>
      <c r="AM191" s="9" t="str">
        <f t="shared" si="43"/>
        <v>0.963377068168408-0.17332125977523i</v>
      </c>
      <c r="AN191" s="9" t="str">
        <f t="shared" si="46"/>
        <v>-0.714349026996859+0.134880722345123i</v>
      </c>
      <c r="AO191" s="9">
        <f t="shared" si="47"/>
        <v>0.72697134856313372</v>
      </c>
      <c r="AP191" s="9">
        <f t="shared" si="48"/>
        <v>2.9549734360295483</v>
      </c>
      <c r="AQ191" s="9">
        <f t="shared" si="49"/>
        <v>169.30750645776428</v>
      </c>
      <c r="AR191" s="9">
        <f t="shared" si="50"/>
        <v>-2.7696541048586294</v>
      </c>
      <c r="AS191" s="9">
        <f t="shared" si="51"/>
        <v>-3.830256122515137</v>
      </c>
      <c r="AT191" s="9">
        <f t="shared" si="52"/>
        <v>-7.9229230151036063</v>
      </c>
    </row>
    <row r="192" spans="25:46" x14ac:dyDescent="0.25">
      <c r="Y192" s="9">
        <v>190</v>
      </c>
      <c r="Z192" s="9">
        <f t="shared" si="44"/>
        <v>118932.77352114675</v>
      </c>
      <c r="AA192" s="9" t="str">
        <f t="shared" si="53"/>
        <v>747276.655130187i</v>
      </c>
      <c r="AB192" s="9">
        <f>(Assumed_Efficiency/100)*Rout/'4. Current Sense Resistor'!$B$11</f>
        <v>135.14141414141415</v>
      </c>
      <c r="AD192" s="9" t="str">
        <f t="shared" si="40"/>
        <v>0.0133549063760177-0.00562891638561432i</v>
      </c>
      <c r="AE192" s="9" t="str">
        <f t="shared" si="45"/>
        <v>-2.95498560514042-1.35355119561701i</v>
      </c>
      <c r="AF192" s="9" t="str">
        <f t="shared" si="41"/>
        <v>-0.884065767605923-0.0270985205790479i</v>
      </c>
      <c r="AG192" s="9">
        <f t="shared" si="54"/>
        <v>0.88448098412019183</v>
      </c>
      <c r="AH192" s="9">
        <f t="shared" si="55"/>
        <v>-3.1109500933794494</v>
      </c>
      <c r="AI192" s="9">
        <f t="shared" si="56"/>
        <v>-178.24431062647179</v>
      </c>
      <c r="AJ192" s="9">
        <f t="shared" si="57"/>
        <v>-1.0662299951743694</v>
      </c>
      <c r="AL192" s="9" t="str">
        <f t="shared" si="42"/>
        <v>0.00116899552765944-9.46856784377976E-06i</v>
      </c>
      <c r="AM192" s="9" t="str">
        <f t="shared" si="43"/>
        <v>0.95881354772391-0.183290940330805i</v>
      </c>
      <c r="AN192" s="9" t="str">
        <f t="shared" si="46"/>
        <v>-0.710966062447323+0.14188968887296i</v>
      </c>
      <c r="AO192" s="9">
        <f t="shared" si="47"/>
        <v>0.72498650039867363</v>
      </c>
      <c r="AP192" s="9">
        <f t="shared" si="48"/>
        <v>2.9446076246962223</v>
      </c>
      <c r="AQ192" s="9">
        <f t="shared" si="49"/>
        <v>168.71358921713582</v>
      </c>
      <c r="AR192" s="9">
        <f t="shared" si="50"/>
        <v>-2.7934016025648898</v>
      </c>
      <c r="AS192" s="9">
        <f t="shared" si="51"/>
        <v>-3.8596315977392592</v>
      </c>
      <c r="AT192" s="9">
        <f t="shared" si="52"/>
        <v>-9.5307214093359676</v>
      </c>
    </row>
    <row r="193" spans="25:46" x14ac:dyDescent="0.25">
      <c r="Y193" s="9">
        <v>191</v>
      </c>
      <c r="Z193" s="9">
        <f t="shared" si="44"/>
        <v>126477.61287835392</v>
      </c>
      <c r="AA193" s="9" t="str">
        <f t="shared" si="53"/>
        <v>794682.278924421i</v>
      </c>
      <c r="AB193" s="9">
        <f>(Assumed_Efficiency/100)*Rout/'4. Current Sense Resistor'!$B$11</f>
        <v>135.14141414141415</v>
      </c>
      <c r="AD193" s="9" t="str">
        <f t="shared" si="40"/>
        <v>0.0133511893829472-0.0052931514478663i</v>
      </c>
      <c r="AE193" s="9" t="str">
        <f t="shared" si="45"/>
        <v>-3.0306632788348-1.24712358921497i</v>
      </c>
      <c r="AF193" s="9" t="str">
        <f t="shared" si="41"/>
        <v>-0.883720099965254-0.0114318286330169i</v>
      </c>
      <c r="AG193" s="9">
        <f t="shared" si="54"/>
        <v>0.88379403810418034</v>
      </c>
      <c r="AH193" s="9">
        <f t="shared" si="55"/>
        <v>-3.1286573463280472</v>
      </c>
      <c r="AI193" s="9">
        <f t="shared" si="56"/>
        <v>-179.25886148719704</v>
      </c>
      <c r="AJ193" s="9">
        <f t="shared" si="57"/>
        <v>-1.07297864853152</v>
      </c>
      <c r="AL193" s="9" t="str">
        <f t="shared" si="42"/>
        <v>0.00116899551727001-0.0000089037341021663i</v>
      </c>
      <c r="AM193" s="9" t="str">
        <f t="shared" si="43"/>
        <v>0.953713463476404-0.193699806429727i</v>
      </c>
      <c r="AN193" s="9" t="str">
        <f t="shared" si="46"/>
        <v>-0.707185341736018+0.149246989306435i</v>
      </c>
      <c r="AO193" s="9">
        <f t="shared" si="47"/>
        <v>0.72276259683475852</v>
      </c>
      <c r="AP193" s="9">
        <f t="shared" si="48"/>
        <v>2.9336010821139</v>
      </c>
      <c r="AQ193" s="9">
        <f t="shared" si="49"/>
        <v>168.08296078013774</v>
      </c>
      <c r="AR193" s="9">
        <f t="shared" si="50"/>
        <v>-2.8200866077942868</v>
      </c>
      <c r="AS193" s="9">
        <f t="shared" si="51"/>
        <v>-3.8930652563258068</v>
      </c>
      <c r="AT193" s="9">
        <f t="shared" si="52"/>
        <v>-11.175900707059299</v>
      </c>
    </row>
    <row r="194" spans="25:46" x14ac:dyDescent="0.25">
      <c r="Y194" s="9">
        <v>192</v>
      </c>
      <c r="Z194" s="9">
        <f t="shared" si="44"/>
        <v>134501.0806172993</v>
      </c>
      <c r="AA194" s="9" t="str">
        <f t="shared" si="53"/>
        <v>845095.213534392i</v>
      </c>
      <c r="AB194" s="9">
        <f>(Assumed_Efficiency/100)*Rout/'4. Current Sense Resistor'!$B$11</f>
        <v>135.14141414141415</v>
      </c>
      <c r="AD194" s="9" t="str">
        <f t="shared" ref="AD194:AD202" si="58">IMDIV(IMSUM(1,IMDIV(AA194,$W$4)),IMSUM(1,IMDIV(AA194,$W$6)))</f>
        <v>0.01334790260316-0.00497741272276046i</v>
      </c>
      <c r="AE194" s="9" t="str">
        <f t="shared" si="45"/>
        <v>-3.09842207868871-1.13839253359823i</v>
      </c>
      <c r="AF194" s="9" t="str">
        <f t="shared" ref="AF194:AF202" si="59">IF(D_&lt;Dmax,IMPRODUCT(AB194,AC$2,AD194,AE194),0)</f>
        <v>-0.882959863631977+0.00426184976376193i</v>
      </c>
      <c r="AG194" s="9">
        <f t="shared" si="54"/>
        <v>0.88297014906983584</v>
      </c>
      <c r="AH194" s="9">
        <f t="shared" si="55"/>
        <v>3.1367659147508431</v>
      </c>
      <c r="AI194" s="9">
        <f t="shared" si="56"/>
        <v>179.72344823571629</v>
      </c>
      <c r="AJ194" s="9">
        <f t="shared" si="57"/>
        <v>-1.0810795708809884</v>
      </c>
      <c r="AL194" s="9" t="str">
        <f t="shared" ref="AL194:AL202" si="60">IMDIV(IMSUM(1,IMDIV(AA194,wz1e)),IMSUM(1,IMDIV(AA194,wp1e)))</f>
        <v>0.00116899550808313-8.37259470174921E-06i</v>
      </c>
      <c r="AM194" s="9" t="str">
        <f t="shared" ref="AM194:AM202" si="61">IMDIV(IMSUM(1,IMDIV(AA194,wz2e)),IMSUM(1,IMDIV(AA194,wp2e)))</f>
        <v>0.948022083137149-0.204541416089827i</v>
      </c>
      <c r="AN194" s="9" t="str">
        <f t="shared" si="46"/>
        <v>-0.702966291484847+0.156946490235351i</v>
      </c>
      <c r="AO194" s="9">
        <f t="shared" si="47"/>
        <v>0.72027342569412767</v>
      </c>
      <c r="AP194" s="9">
        <f t="shared" si="48"/>
        <v>2.9219319543652986</v>
      </c>
      <c r="AQ194" s="9">
        <f t="shared" si="49"/>
        <v>167.41436900954386</v>
      </c>
      <c r="AR194" s="9">
        <f t="shared" si="50"/>
        <v>-2.8500521622560324</v>
      </c>
      <c r="AS194" s="9">
        <f t="shared" si="51"/>
        <v>-3.931131733137021</v>
      </c>
      <c r="AT194" s="9">
        <f t="shared" si="52"/>
        <v>347.13781724526018</v>
      </c>
    </row>
    <row r="195" spans="25:46" x14ac:dyDescent="0.25">
      <c r="Y195" s="9">
        <v>193</v>
      </c>
      <c r="Z195" s="9">
        <f t="shared" ref="Z195:Z202" si="62">10^(LOG($F$3/$F$2,10)*Y195/200)</f>
        <v>143033.53989310883</v>
      </c>
      <c r="AA195" s="9" t="str">
        <f t="shared" si="53"/>
        <v>898706.236290267i</v>
      </c>
      <c r="AB195" s="9">
        <f>(Assumed_Efficiency/100)*Rout/'4. Current Sense Resistor'!$B$11</f>
        <v>135.14141414141415</v>
      </c>
      <c r="AD195" s="9" t="str">
        <f t="shared" si="58"/>
        <v>0.0133449962451744-0.00468050614159656i</v>
      </c>
      <c r="AE195" s="9" t="str">
        <f t="shared" ref="AE195:AE202" si="63">IMDIV(IMSUM(1,IMDIV(IMPRODUCT(-1,AA195),$W$5)),IMSUM(1,IMDIV(AA195,$W$2*$W$3),IMDIV(IMPOWER(AA195,2),$W$2^2)))</f>
        <v>-3.15838894264702-1.02789565108065i</v>
      </c>
      <c r="AF195" s="9" t="str">
        <f t="shared" si="59"/>
        <v>-0.881759546895643+0.0200085938640589i</v>
      </c>
      <c r="AG195" s="9">
        <f t="shared" si="54"/>
        <v>0.88198653185296794</v>
      </c>
      <c r="AH195" s="9">
        <f t="shared" si="55"/>
        <v>3.1189048802902497</v>
      </c>
      <c r="AI195" s="9">
        <f t="shared" si="56"/>
        <v>178.70008634338654</v>
      </c>
      <c r="AJ195" s="9">
        <f t="shared" si="57"/>
        <v>-1.0907609319802984</v>
      </c>
      <c r="AL195" s="9" t="str">
        <f t="shared" si="60"/>
        <v>0.00116899549995961-7.87313965526317E-06i</v>
      </c>
      <c r="AM195" s="9" t="str">
        <f t="shared" si="61"/>
        <v>0.94168124050656-0.215803533929266i</v>
      </c>
      <c r="AN195" s="9" t="str">
        <f t="shared" ref="AN195:AN202" si="64">IMPRODUCT($AK$2,AL195,AM195)</f>
        <v>-0.69826579275462+0.164977844583775i</v>
      </c>
      <c r="AO195" s="9">
        <f t="shared" ref="AO195:AO202" si="65">IMABS(AN195)</f>
        <v>0.71749063167036975</v>
      </c>
      <c r="AP195" s="9">
        <f t="shared" ref="AP195:AP202" si="66">IMARGUMENT(AN195)</f>
        <v>2.9095794175946157</v>
      </c>
      <c r="AQ195" s="9">
        <f t="shared" ref="AQ195:AQ202" si="67">AP195/(PI())*180</f>
        <v>166.70662078630357</v>
      </c>
      <c r="AR195" s="9">
        <f t="shared" ref="AR195:AR202" si="68">20*LOG(AO195,10)</f>
        <v>-2.883675303459194</v>
      </c>
      <c r="AS195" s="9">
        <f t="shared" ref="AS195:AS202" si="69">AR195+AJ195</f>
        <v>-3.9744362354394926</v>
      </c>
      <c r="AT195" s="9">
        <f t="shared" ref="AT195:AT202" si="70">AQ195+AI195</f>
        <v>345.40670712969012</v>
      </c>
    </row>
    <row r="196" spans="25:46" x14ac:dyDescent="0.25">
      <c r="Y196" s="9">
        <v>194</v>
      </c>
      <c r="Z196" s="9">
        <f t="shared" si="62"/>
        <v>152107.28003416685</v>
      </c>
      <c r="AA196" s="9" t="str">
        <f t="shared" ref="AA196:AA202" si="71">IMPRODUCT(COMPLEX(0,1),2*PI()*Z196)</f>
        <v>955718.227025728i</v>
      </c>
      <c r="AB196" s="9">
        <f>(Assumed_Efficiency/100)*Rout/'4. Current Sense Resistor'!$B$11</f>
        <v>135.14141414141415</v>
      </c>
      <c r="AD196" s="9" t="str">
        <f t="shared" si="58"/>
        <v>0.0133424262796912-0.004401308770741i</v>
      </c>
      <c r="AE196" s="9" t="str">
        <f t="shared" si="63"/>
        <v>-3.21072510060165-0.916101747629697i</v>
      </c>
      <c r="AF196" s="9" t="str">
        <f t="shared" si="59"/>
        <v>-0.880091201398532+0.0358333531754618i</v>
      </c>
      <c r="AG196" s="9">
        <f t="shared" si="54"/>
        <v>0.88082038576483279</v>
      </c>
      <c r="AH196" s="9">
        <f t="shared" si="55"/>
        <v>3.1008996301241378</v>
      </c>
      <c r="AI196" s="9">
        <f t="shared" si="56"/>
        <v>177.66846149979114</v>
      </c>
      <c r="AJ196" s="9">
        <f t="shared" si="57"/>
        <v>-1.102252851599768</v>
      </c>
      <c r="AL196" s="9" t="str">
        <f t="shared" si="60"/>
        <v>0.00116899549277639-7.40347887833015E-06i</v>
      </c>
      <c r="AM196" s="9" t="str">
        <f t="shared" si="61"/>
        <v>0.93462969361277-0.227467147713358i</v>
      </c>
      <c r="AN196" s="9" t="str">
        <f t="shared" si="64"/>
        <v>-0.693038446533337+0.173325757739721i</v>
      </c>
      <c r="AO196" s="9">
        <f t="shared" si="65"/>
        <v>0.71438372508714765</v>
      </c>
      <c r="AP196" s="9">
        <f t="shared" si="66"/>
        <v>2.8965241631798349</v>
      </c>
      <c r="AQ196" s="9">
        <f t="shared" si="67"/>
        <v>165.95860980786711</v>
      </c>
      <c r="AR196" s="9">
        <f t="shared" si="68"/>
        <v>-2.9213689599197776</v>
      </c>
      <c r="AS196" s="9">
        <f t="shared" si="69"/>
        <v>-4.0236218115195452</v>
      </c>
      <c r="AT196" s="9">
        <f t="shared" si="70"/>
        <v>343.62707130765824</v>
      </c>
    </row>
    <row r="197" spans="25:46" x14ac:dyDescent="0.25">
      <c r="Y197" s="9">
        <v>195</v>
      </c>
      <c r="Z197" s="9">
        <f t="shared" si="62"/>
        <v>161756.63873440344</v>
      </c>
      <c r="AA197" s="9" t="str">
        <f t="shared" si="71"/>
        <v>1016346.93583476i</v>
      </c>
      <c r="AB197" s="9">
        <f>(Assumed_Efficiency/100)*Rout/'4. Current Sense Resistor'!$B$11</f>
        <v>135.14141414141415</v>
      </c>
      <c r="AD197" s="9" t="str">
        <f t="shared" si="58"/>
        <v>0.0133401537728718-0.00413876458423568i</v>
      </c>
      <c r="AE197" s="9" t="str">
        <f t="shared" si="63"/>
        <v>-3.25561099399521-0.803413035503677i</v>
      </c>
      <c r="AF197" s="9" t="str">
        <f t="shared" si="59"/>
        <v>-0.877923952432655+0.0517595877972928i</v>
      </c>
      <c r="AG197" s="9">
        <f t="shared" si="54"/>
        <v>0.87944841871705026</v>
      </c>
      <c r="AH197" s="9">
        <f t="shared" si="55"/>
        <v>3.0827040198353282</v>
      </c>
      <c r="AI197" s="9">
        <f t="shared" si="56"/>
        <v>176.62592982457753</v>
      </c>
      <c r="AJ197" s="9">
        <f t="shared" si="57"/>
        <v>-1.1157925527486028</v>
      </c>
      <c r="AL197" s="9" t="str">
        <f t="shared" si="60"/>
        <v>0.00116899548642461-6.96183503682591E-06i</v>
      </c>
      <c r="AM197" s="9" t="str">
        <f t="shared" si="61"/>
        <v>0.926803669059127-0.239505427777933i</v>
      </c>
      <c r="AN197" s="9" t="str">
        <f t="shared" si="64"/>
        <v>-0.687236977262079+0.181969211627225i</v>
      </c>
      <c r="AO197" s="9">
        <f t="shared" si="65"/>
        <v>0.71092014804516057</v>
      </c>
      <c r="AP197" s="9">
        <f t="shared" si="66"/>
        <v>2.882748956636044</v>
      </c>
      <c r="AQ197" s="9">
        <f t="shared" si="67"/>
        <v>165.1693486109869</v>
      </c>
      <c r="AR197" s="9">
        <f t="shared" si="68"/>
        <v>-2.9635835468928509</v>
      </c>
      <c r="AS197" s="9">
        <f t="shared" si="69"/>
        <v>-4.0793760996414541</v>
      </c>
      <c r="AT197" s="9">
        <f t="shared" si="70"/>
        <v>341.79527843556446</v>
      </c>
    </row>
    <row r="198" spans="25:46" x14ac:dyDescent="0.25">
      <c r="Y198" s="9">
        <v>196</v>
      </c>
      <c r="Z198" s="9">
        <f t="shared" si="62"/>
        <v>172018.13199719929</v>
      </c>
      <c r="AA198" s="9" t="str">
        <f t="shared" si="71"/>
        <v>1080821.79953328i</v>
      </c>
      <c r="AB198" s="9">
        <f>(Assumed_Efficiency/100)*Rout/'4. Current Sense Resistor'!$B$11</f>
        <v>135.14141414141415</v>
      </c>
      <c r="AD198" s="9" t="str">
        <f t="shared" si="58"/>
        <v>0.0133381442967354-0.00389188048587911i</v>
      </c>
      <c r="AE198" s="9" t="str">
        <f t="shared" si="63"/>
        <v>-3.29323292367905-0.690169832468591i</v>
      </c>
      <c r="AF198" s="9" t="str">
        <f t="shared" si="59"/>
        <v>-0.875223563929364+0.0678087841743337i</v>
      </c>
      <c r="AG198" s="9">
        <f t="shared" si="54"/>
        <v>0.87784640915619117</v>
      </c>
      <c r="AH198" s="9">
        <f t="shared" si="55"/>
        <v>3.0642711566693213</v>
      </c>
      <c r="AI198" s="9">
        <f t="shared" si="56"/>
        <v>175.56980456082317</v>
      </c>
      <c r="AJ198" s="9">
        <f t="shared" si="57"/>
        <v>-1.1316292602592768</v>
      </c>
      <c r="AL198" s="9" t="str">
        <f t="shared" si="60"/>
        <v>0.00116899548080805-6.54653682092673E-06i</v>
      </c>
      <c r="AM198" s="9" t="str">
        <f t="shared" si="61"/>
        <v>0.91813762708823-0.251882655820012i</v>
      </c>
      <c r="AN198" s="9" t="str">
        <f t="shared" si="64"/>
        <v>-0.680812799979233+0.19088066634137i</v>
      </c>
      <c r="AO198" s="9">
        <f t="shared" si="65"/>
        <v>0.70706541239017529</v>
      </c>
      <c r="AP198" s="9">
        <f t="shared" si="66"/>
        <v>2.8682392734832218</v>
      </c>
      <c r="AQ198" s="9">
        <f t="shared" si="67"/>
        <v>164.33800500425809</v>
      </c>
      <c r="AR198" s="9">
        <f t="shared" si="68"/>
        <v>-3.0108081335103281</v>
      </c>
      <c r="AS198" s="9">
        <f t="shared" si="69"/>
        <v>-4.1424373937696046</v>
      </c>
      <c r="AT198" s="9">
        <f t="shared" si="70"/>
        <v>339.90780956508127</v>
      </c>
    </row>
    <row r="199" spans="25:46" x14ac:dyDescent="0.25">
      <c r="Y199" s="9">
        <v>197</v>
      </c>
      <c r="Z199" s="9">
        <f t="shared" si="62"/>
        <v>182930.59232265301</v>
      </c>
      <c r="AA199" s="9" t="str">
        <f t="shared" si="71"/>
        <v>1149386.80991535i</v>
      </c>
      <c r="AB199" s="9">
        <f>(Assumed_Efficiency/100)*Rout/'4. Current Sense Resistor'!$B$11</f>
        <v>135.14141414141415</v>
      </c>
      <c r="AD199" s="9" t="str">
        <f t="shared" si="58"/>
        <v>0.0133363674077595-0.00365972256635316i</v>
      </c>
      <c r="AE199" s="9" t="str">
        <f t="shared" si="63"/>
        <v>-3.32377164179361-0.576657199358062i</v>
      </c>
      <c r="AF199" s="9" t="str">
        <f t="shared" si="59"/>
        <v>-0.871952075086297+0.0839998509849472i</v>
      </c>
      <c r="AG199" s="9">
        <f t="shared" si="54"/>
        <v>0.87598881055227684</v>
      </c>
      <c r="AH199" s="9">
        <f t="shared" si="55"/>
        <v>3.0455536200160691</v>
      </c>
      <c r="AI199" s="9">
        <f t="shared" si="56"/>
        <v>174.49736870771039</v>
      </c>
      <c r="AJ199" s="9">
        <f t="shared" si="57"/>
        <v>-1.1500288251872004</v>
      </c>
      <c r="AL199" s="9" t="str">
        <f t="shared" si="60"/>
        <v>0.00116899547584158-6.15601262038249E-06i</v>
      </c>
      <c r="AM199" s="9" t="str">
        <f t="shared" si="61"/>
        <v>0.908565281206743-0.264553160818226i</v>
      </c>
      <c r="AN199" s="9" t="str">
        <f t="shared" si="64"/>
        <v>-0.673716776171711+0.200025267323493i</v>
      </c>
      <c r="AO199" s="9">
        <f t="shared" si="65"/>
        <v>0.70278332511737795</v>
      </c>
      <c r="AP199" s="9">
        <f t="shared" si="66"/>
        <v>2.8529840129985535</v>
      </c>
      <c r="AQ199" s="9">
        <f t="shared" si="67"/>
        <v>163.46394296311391</v>
      </c>
      <c r="AR199" s="9">
        <f t="shared" si="68"/>
        <v>-3.0635710304848058</v>
      </c>
      <c r="AS199" s="9">
        <f t="shared" si="69"/>
        <v>-4.2135998556720065</v>
      </c>
      <c r="AT199" s="9">
        <f t="shared" si="70"/>
        <v>337.96131167082433</v>
      </c>
    </row>
    <row r="200" spans="25:46" x14ac:dyDescent="0.25">
      <c r="Y200" s="9">
        <v>198</v>
      </c>
      <c r="Z200" s="9">
        <f t="shared" si="62"/>
        <v>194535.31566115122</v>
      </c>
      <c r="AA200" s="9" t="str">
        <f t="shared" si="71"/>
        <v>1222301.43708969i</v>
      </c>
      <c r="AB200" s="9">
        <f>(Assumed_Efficiency/100)*Rout/'4. Current Sense Resistor'!$B$11</f>
        <v>135.14141414141415</v>
      </c>
      <c r="AD200" s="9" t="str">
        <f t="shared" si="58"/>
        <v>0.0133347961858014-0.00344141258175408i</v>
      </c>
      <c r="AE200" s="9" t="str">
        <f t="shared" si="63"/>
        <v>-3.34739298471236-0.463113029622239i</v>
      </c>
      <c r="AF200" s="9" t="str">
        <f t="shared" si="59"/>
        <v>-0.868067526151397+0.100348399825782i</v>
      </c>
      <c r="AG200" s="9">
        <f t="shared" si="54"/>
        <v>0.87384840293165345</v>
      </c>
      <c r="AH200" s="9">
        <f t="shared" si="55"/>
        <v>3.0265037330480857</v>
      </c>
      <c r="AI200" s="9">
        <f t="shared" si="56"/>
        <v>173.40589058424368</v>
      </c>
      <c r="AJ200" s="9">
        <f t="shared" si="57"/>
        <v>-1.1712780631188773</v>
      </c>
      <c r="AL200" s="9" t="str">
        <f t="shared" si="60"/>
        <v>0.00116899547144999-5.78878457708301E-06i</v>
      </c>
      <c r="AM200" s="9" t="str">
        <f t="shared" si="61"/>
        <v>0.898020902621494-0.277460312749485i</v>
      </c>
      <c r="AN200" s="9" t="str">
        <f t="shared" si="64"/>
        <v>-0.665900180758225+0.209360095620717i</v>
      </c>
      <c r="AO200" s="9">
        <f t="shared" si="65"/>
        <v>0.69803631737335303</v>
      </c>
      <c r="AP200" s="9">
        <f t="shared" si="66"/>
        <v>2.8369762875857663</v>
      </c>
      <c r="AQ200" s="9">
        <f t="shared" si="67"/>
        <v>162.54676785735688</v>
      </c>
      <c r="AR200" s="9">
        <f t="shared" si="68"/>
        <v>-3.1224396270630277</v>
      </c>
      <c r="AS200" s="9">
        <f t="shared" si="69"/>
        <v>-4.2937176901819054</v>
      </c>
      <c r="AT200" s="9">
        <f t="shared" si="70"/>
        <v>335.95265844160053</v>
      </c>
    </row>
    <row r="201" spans="25:46" x14ac:dyDescent="0.25">
      <c r="Y201" s="9">
        <v>199</v>
      </c>
      <c r="Z201" s="9">
        <f t="shared" si="62"/>
        <v>206876.21768935499</v>
      </c>
      <c r="AA201" s="9" t="str">
        <f t="shared" si="71"/>
        <v>1299841.61139064i</v>
      </c>
      <c r="AB201" s="9">
        <f>(Assumed_Efficiency/100)*Rout/'4. Current Sense Resistor'!$B$11</f>
        <v>135.14141414141415</v>
      </c>
      <c r="AD201" s="9" t="str">
        <f t="shared" si="58"/>
        <v>0.0133334068263617-0.00323612464063495i</v>
      </c>
      <c r="AE201" s="9" t="str">
        <f t="shared" si="63"/>
        <v>-3.36424056165047-0.349737170527735i</v>
      </c>
      <c r="AF201" s="9" t="str">
        <f t="shared" si="59"/>
        <v>-0.863523792533312+0.116865915766794i</v>
      </c>
      <c r="AG201" s="9">
        <f t="shared" si="54"/>
        <v>0.87139599639838006</v>
      </c>
      <c r="AH201" s="9">
        <f t="shared" si="55"/>
        <v>3.0070738863605051</v>
      </c>
      <c r="AI201" s="9">
        <f t="shared" si="56"/>
        <v>172.29264237245906</v>
      </c>
      <c r="AJ201" s="9">
        <f t="shared" si="57"/>
        <v>-1.1956887949615882</v>
      </c>
      <c r="AL201" s="9" t="str">
        <f t="shared" si="60"/>
        <v>0.00116899546756671-5.44346299240936E-06i</v>
      </c>
      <c r="AM201" s="9" t="str">
        <f t="shared" si="61"/>
        <v>0.886440932237023-0.290535638741106i</v>
      </c>
      <c r="AN201" s="9" t="str">
        <f t="shared" si="64"/>
        <v>-0.657315897069108+0.218833509132767i</v>
      </c>
      <c r="AO201" s="9">
        <f t="shared" si="65"/>
        <v>0.69278589279742619</v>
      </c>
      <c r="AP201" s="9">
        <f t="shared" si="66"/>
        <v>2.8202142813321212</v>
      </c>
      <c r="AQ201" s="9">
        <f t="shared" si="67"/>
        <v>161.58637564285112</v>
      </c>
      <c r="AR201" s="9">
        <f t="shared" si="68"/>
        <v>-3.1880192888272232</v>
      </c>
      <c r="AS201" s="9">
        <f t="shared" si="69"/>
        <v>-4.3837080837888109</v>
      </c>
      <c r="AT201" s="9">
        <f t="shared" si="70"/>
        <v>333.87901801531018</v>
      </c>
    </row>
    <row r="202" spans="25:46" x14ac:dyDescent="0.25">
      <c r="Y202" s="9">
        <v>200</v>
      </c>
      <c r="Z202" s="9">
        <f t="shared" si="62"/>
        <v>219999.99999999985</v>
      </c>
      <c r="AA202" s="9" t="str">
        <f t="shared" si="71"/>
        <v>1382300.76757951i</v>
      </c>
      <c r="AB202" s="9">
        <f>(Assumed_Efficiency/100)*Rout/'4. Current Sense Resistor'!$B$11</f>
        <v>135.14141414141415</v>
      </c>
      <c r="AD202" s="9" t="str">
        <f t="shared" si="58"/>
        <v>0.0133321782800239-0.00304308208738356i</v>
      </c>
      <c r="AE202" s="9" t="str">
        <f t="shared" si="63"/>
        <v>-3.37443046406441-0.236701223698175i</v>
      </c>
      <c r="AF202" s="9" t="str">
        <f t="shared" si="59"/>
        <v>-0.858270548963021+0.133558824194997i</v>
      </c>
      <c r="AG202" s="9">
        <f t="shared" si="54"/>
        <v>0.86860019268800281</v>
      </c>
      <c r="AH202" s="9">
        <f t="shared" si="55"/>
        <v>2.9872169157832071</v>
      </c>
      <c r="AI202" s="9">
        <f t="shared" si="56"/>
        <v>171.15492176446443</v>
      </c>
      <c r="AJ202" s="9">
        <f t="shared" si="57"/>
        <v>-1.2236015726204619</v>
      </c>
      <c r="AL202" s="9" t="str">
        <f t="shared" si="60"/>
        <v>0.00116899546413291-5.11874106820678E-06i</v>
      </c>
      <c r="AM202" s="9" t="str">
        <f t="shared" si="61"/>
        <v>0.873765910587117-0.303698140351535i</v>
      </c>
      <c r="AN202" s="9" t="str">
        <f t="shared" si="64"/>
        <v>-0.647919847512178+0.228384633168253i</v>
      </c>
      <c r="AO202" s="9">
        <f t="shared" si="65"/>
        <v>0.68699320918594342</v>
      </c>
      <c r="AP202" s="9">
        <f t="shared" si="66"/>
        <v>2.8027021661424643</v>
      </c>
      <c r="AQ202" s="9">
        <f t="shared" si="67"/>
        <v>160.58300535213684</v>
      </c>
      <c r="AR202" s="9">
        <f t="shared" si="68"/>
        <v>-3.2609511169646996</v>
      </c>
      <c r="AS202" s="9">
        <f t="shared" si="69"/>
        <v>-4.4845526895851613</v>
      </c>
      <c r="AT202" s="9">
        <f t="shared" si="70"/>
        <v>331.73792711660127</v>
      </c>
    </row>
  </sheetData>
  <sheetProtection algorithmName="SHA-512" hashValue="nqNMU53AXlGl4oQb85HJ+FtO0JcH/kBB+T+zvCMRjW8TM9gaOoE5H2w5Ef65KSF960LEmav6fBKJBgopaAGNeg==" saltValue="73mgViHxfHdsKY58wcVlZA==" spinCount="100000" sheet="1" objects="1" scenarios="1" selectLockedCells="1"/>
  <customSheetViews>
    <customSheetView guid="{25ED444C-8CCE-464F-9E26-1EDA12EA830D}" scale="85">
      <selection activeCell="E7" sqref="E7"/>
      <pageMargins left="0.7" right="0.7" top="0.75" bottom="0.75" header="0.3" footer="0.3"/>
      <pageSetup orientation="portrait" r:id="rId1"/>
    </customSheetView>
  </customSheetViews>
  <conditionalFormatting sqref="E4">
    <cfRule type="notContainsBlanks" dxfId="0" priority="1">
      <formula>LEN(TRIM(E4))&gt;0</formula>
    </cfRule>
  </conditionalFormatting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>
      <selection activeCell="F35" sqref="F35"/>
    </sheetView>
  </sheetViews>
  <sheetFormatPr defaultRowHeight="15" x14ac:dyDescent="0.25"/>
  <sheetData/>
  <customSheetViews>
    <customSheetView guid="{25ED444C-8CCE-464F-9E26-1EDA12EA830D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3"/>
  <sheetViews>
    <sheetView topLeftCell="A4" workbookViewId="0">
      <selection activeCell="J45" sqref="J45"/>
    </sheetView>
  </sheetViews>
  <sheetFormatPr defaultRowHeight="15" x14ac:dyDescent="0.25"/>
  <sheetData>
    <row r="1" spans="1:4" hidden="1" x14ac:dyDescent="0.25">
      <c r="B1" t="s">
        <v>30</v>
      </c>
      <c r="C1" t="s">
        <v>63</v>
      </c>
      <c r="D1" t="s">
        <v>32</v>
      </c>
    </row>
    <row r="2" spans="1:4" hidden="1" x14ac:dyDescent="0.25">
      <c r="A2" t="s">
        <v>62</v>
      </c>
      <c r="B2">
        <f>1-Vin_max/Vout</f>
        <v>0.61764705882352944</v>
      </c>
      <c r="C2">
        <f>1-Vin_nominal/Vout</f>
        <v>0.61764705882352944</v>
      </c>
      <c r="D2">
        <f>1-Vin_min/Vout</f>
        <v>0.61764705882352944</v>
      </c>
    </row>
    <row r="3" spans="1:4" hidden="1" x14ac:dyDescent="0.25">
      <c r="A3" t="s">
        <v>8</v>
      </c>
      <c r="C3">
        <f>1/('2. Design Parameters'!C7*1000)</f>
        <v>2.2727272727272728E-6</v>
      </c>
    </row>
  </sheetData>
  <sheetProtection password="F725" sheet="1" objects="1" scenarios="1"/>
  <customSheetViews>
    <customSheetView guid="{25ED444C-8CCE-464F-9E26-1EDA12EA830D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>
      <selection activeCell="I31" sqref="I3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11"/>
  <sheetViews>
    <sheetView workbookViewId="0">
      <selection activeCell="B2" sqref="B2"/>
    </sheetView>
  </sheetViews>
  <sheetFormatPr defaultRowHeight="15" x14ac:dyDescent="0.25"/>
  <cols>
    <col min="1" max="1" width="20.5703125" style="17" customWidth="1"/>
    <col min="2" max="2" width="13" style="17" customWidth="1"/>
    <col min="3" max="5" width="9.140625" style="17"/>
    <col min="6" max="6" width="39" style="17" customWidth="1"/>
    <col min="7" max="7" width="9.140625" style="17"/>
    <col min="8" max="8" width="12.28515625" style="17" bestFit="1" customWidth="1"/>
    <col min="9" max="9" width="5.5703125" style="17" bestFit="1" customWidth="1"/>
    <col min="10" max="10" width="15.5703125" style="17" bestFit="1" customWidth="1"/>
    <col min="11" max="11" width="14.5703125" style="17" bestFit="1" customWidth="1"/>
    <col min="12" max="12" width="15.85546875" style="17" bestFit="1" customWidth="1"/>
    <col min="13" max="13" width="11" style="17" bestFit="1" customWidth="1"/>
    <col min="14" max="16384" width="9.140625" style="17"/>
  </cols>
  <sheetData>
    <row r="1" spans="1:13" x14ac:dyDescent="0.25">
      <c r="A1" s="17" t="s">
        <v>29</v>
      </c>
      <c r="H1" s="17" t="s">
        <v>117</v>
      </c>
      <c r="I1" s="17" t="s">
        <v>1</v>
      </c>
      <c r="J1" s="17" t="s">
        <v>115</v>
      </c>
      <c r="K1" s="17" t="s">
        <v>114</v>
      </c>
      <c r="L1" s="17" t="s">
        <v>116</v>
      </c>
      <c r="M1" s="17" t="s">
        <v>144</v>
      </c>
    </row>
    <row r="2" spans="1:13" x14ac:dyDescent="0.25">
      <c r="A2" s="17" t="s">
        <v>117</v>
      </c>
      <c r="B2" s="16" t="s">
        <v>141</v>
      </c>
      <c r="H2" s="17" t="s">
        <v>140</v>
      </c>
      <c r="I2" s="17">
        <v>6.8</v>
      </c>
      <c r="J2" s="17">
        <v>0.36</v>
      </c>
      <c r="K2" s="17">
        <v>0.4</v>
      </c>
      <c r="L2" s="17">
        <v>0.44</v>
      </c>
      <c r="M2" s="17">
        <v>34</v>
      </c>
    </row>
    <row r="3" spans="1:13" x14ac:dyDescent="0.25">
      <c r="B3" s="17" t="s">
        <v>30</v>
      </c>
      <c r="C3" s="17" t="s">
        <v>31</v>
      </c>
      <c r="D3" s="17" t="s">
        <v>32</v>
      </c>
      <c r="E3" s="17" t="s">
        <v>34</v>
      </c>
      <c r="H3" s="17" t="s">
        <v>141</v>
      </c>
      <c r="I3" s="17">
        <v>6.8</v>
      </c>
      <c r="J3" s="17">
        <v>0.18</v>
      </c>
      <c r="K3" s="17">
        <v>0.2</v>
      </c>
      <c r="L3" s="17">
        <v>0.22</v>
      </c>
      <c r="M3" s="17">
        <v>53</v>
      </c>
    </row>
    <row r="4" spans="1:13" x14ac:dyDescent="0.25">
      <c r="A4" s="17" t="s">
        <v>0</v>
      </c>
      <c r="B4" s="16">
        <v>2.6</v>
      </c>
      <c r="C4" s="16">
        <v>2.6</v>
      </c>
      <c r="D4" s="16">
        <v>2.6</v>
      </c>
      <c r="E4" s="17" t="s">
        <v>35</v>
      </c>
      <c r="H4" s="17" t="s">
        <v>151</v>
      </c>
      <c r="I4" s="17">
        <v>8.5500000000000007</v>
      </c>
      <c r="J4" s="17">
        <v>0.18</v>
      </c>
      <c r="K4" s="17">
        <v>0.2</v>
      </c>
      <c r="L4" s="17">
        <v>0.22</v>
      </c>
      <c r="M4" s="17">
        <v>53</v>
      </c>
    </row>
    <row r="5" spans="1:13" x14ac:dyDescent="0.25">
      <c r="A5" s="17" t="s">
        <v>1</v>
      </c>
      <c r="C5" s="11">
        <f>VLOOKUP($B$2,H2:M7,2,FALSE)</f>
        <v>6.8</v>
      </c>
      <c r="E5" s="17" t="s">
        <v>35</v>
      </c>
      <c r="H5" s="17" t="s">
        <v>142</v>
      </c>
      <c r="I5" s="17">
        <v>10</v>
      </c>
      <c r="J5" s="17">
        <v>0.18</v>
      </c>
      <c r="K5" s="17">
        <v>0.2</v>
      </c>
      <c r="L5" s="17">
        <v>0.22</v>
      </c>
      <c r="M5" s="17">
        <v>53</v>
      </c>
    </row>
    <row r="6" spans="1:13" x14ac:dyDescent="0.25">
      <c r="A6" s="17" t="s">
        <v>2</v>
      </c>
      <c r="D6" s="16">
        <v>3.6</v>
      </c>
      <c r="E6" s="17" t="s">
        <v>36</v>
      </c>
      <c r="H6" s="17" t="s">
        <v>152</v>
      </c>
      <c r="I6" s="32">
        <v>10.28</v>
      </c>
      <c r="J6" s="17">
        <v>0.18</v>
      </c>
      <c r="K6" s="17">
        <v>0.2</v>
      </c>
      <c r="L6" s="17">
        <v>0.22</v>
      </c>
      <c r="M6" s="17">
        <v>53</v>
      </c>
    </row>
    <row r="7" spans="1:13" x14ac:dyDescent="0.25">
      <c r="A7" s="17" t="s">
        <v>7</v>
      </c>
      <c r="B7" s="16">
        <v>435</v>
      </c>
      <c r="C7" s="16">
        <v>440</v>
      </c>
      <c r="D7" s="16">
        <v>445</v>
      </c>
      <c r="E7" s="17" t="s">
        <v>44</v>
      </c>
      <c r="H7" s="17" t="s">
        <v>153</v>
      </c>
      <c r="I7" s="17">
        <v>12</v>
      </c>
      <c r="J7" s="17">
        <v>0.18</v>
      </c>
      <c r="K7" s="17">
        <v>0.2</v>
      </c>
      <c r="L7" s="17">
        <v>0.22</v>
      </c>
      <c r="M7" s="17">
        <v>53</v>
      </c>
    </row>
    <row r="8" spans="1:13" x14ac:dyDescent="0.25">
      <c r="A8" s="17" t="s">
        <v>118</v>
      </c>
      <c r="B8" s="11"/>
      <c r="C8" s="11">
        <f>VLOOKUP($B$2,$H$2:$M$7,6,FALSE)</f>
        <v>53</v>
      </c>
      <c r="D8" s="11"/>
      <c r="E8" s="17" t="s">
        <v>143</v>
      </c>
    </row>
    <row r="9" spans="1:13" x14ac:dyDescent="0.25">
      <c r="A9" s="17" t="s">
        <v>33</v>
      </c>
      <c r="B9" s="11">
        <v>82</v>
      </c>
      <c r="C9" s="12">
        <v>83</v>
      </c>
      <c r="D9" s="11"/>
      <c r="E9" s="17" t="s">
        <v>37</v>
      </c>
    </row>
    <row r="10" spans="1:13" x14ac:dyDescent="0.25">
      <c r="A10" s="17" t="s">
        <v>38</v>
      </c>
      <c r="B10" s="11"/>
      <c r="C10" s="12">
        <v>6</v>
      </c>
      <c r="D10" s="11"/>
      <c r="E10" s="17" t="s">
        <v>35</v>
      </c>
    </row>
    <row r="11" spans="1:13" x14ac:dyDescent="0.25">
      <c r="A11" s="17" t="s">
        <v>42</v>
      </c>
      <c r="B11" s="11">
        <f>VLOOKUP($B$2,$H$2:$M$7,3,FALSE)</f>
        <v>0.18</v>
      </c>
      <c r="C11" s="11">
        <f>VLOOKUP($B$2,$H$2:$M$7,4,FALSE)</f>
        <v>0.2</v>
      </c>
      <c r="D11" s="11">
        <f>VLOOKUP($B$2,$H$2:$M$7,5,FALSE)</f>
        <v>0.22</v>
      </c>
      <c r="E11" s="17" t="s">
        <v>35</v>
      </c>
    </row>
  </sheetData>
  <sheetProtection password="F725" sheet="1" objects="1" scenarios="1" selectLockedCells="1"/>
  <customSheetViews>
    <customSheetView guid="{25ED444C-8CCE-464F-9E26-1EDA12EA830D}">
      <selection activeCell="G32" sqref="G32"/>
      <pageMargins left="0.7" right="0.7" top="0.75" bottom="0.75" header="0.3" footer="0.3"/>
    </customSheetView>
  </customSheetViews>
  <conditionalFormatting sqref="F5 F9">
    <cfRule type="notContainsBlanks" dxfId="1" priority="3">
      <formula>LEN(TRIM(F5))&gt;0</formula>
    </cfRule>
  </conditionalFormatting>
  <dataValidations count="1">
    <dataValidation type="list" showInputMessage="1" showErrorMessage="1" errorTitle="Invalid Part Number" promptTitle="Part Number Required" prompt="Select from list" sqref="B2">
      <formula1>PartNumber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10"/>
  <sheetViews>
    <sheetView zoomScale="190" zoomScaleNormal="190" workbookViewId="0">
      <selection activeCell="B9" sqref="B9"/>
    </sheetView>
  </sheetViews>
  <sheetFormatPr defaultRowHeight="15" x14ac:dyDescent="0.25"/>
  <cols>
    <col min="1" max="1" width="17" customWidth="1"/>
    <col min="3" max="3" width="9.7109375" customWidth="1"/>
    <col min="4" max="6" width="9.140625" hidden="1" customWidth="1"/>
  </cols>
  <sheetData>
    <row r="1" spans="1:6" x14ac:dyDescent="0.25">
      <c r="A1" t="s">
        <v>39</v>
      </c>
      <c r="F1" s="7">
        <v>1</v>
      </c>
    </row>
    <row r="7" spans="1:6" x14ac:dyDescent="0.25">
      <c r="A7" t="str">
        <f>IF(F1=1,"Rupper","Rlower")</f>
        <v>Rupper</v>
      </c>
      <c r="B7" s="2"/>
      <c r="C7" s="1" t="s">
        <v>41</v>
      </c>
      <c r="D7" s="7">
        <f>IF(F1=1,B7,B9)</f>
        <v>0</v>
      </c>
    </row>
    <row r="8" spans="1:6" x14ac:dyDescent="0.25">
      <c r="A8" t="str">
        <f>IF(F1=1,"Suggested Rlower","Suggested Rupper")</f>
        <v>Suggested Rlower</v>
      </c>
      <c r="B8" s="3">
        <f>IF(F1=1,B7/(Vout/1.2-1),B7*(Vout/1.2-1))</f>
        <v>0</v>
      </c>
      <c r="C8" s="1" t="s">
        <v>41</v>
      </c>
      <c r="D8" s="7">
        <f>IF(F1=1,B9,B7)</f>
        <v>0</v>
      </c>
    </row>
    <row r="9" spans="1:6" x14ac:dyDescent="0.25">
      <c r="A9" t="str">
        <f>IF(F1=1,"Rlower used","Rupper used")</f>
        <v>Rlower used</v>
      </c>
      <c r="B9" s="2"/>
      <c r="C9" s="1" t="s">
        <v>41</v>
      </c>
    </row>
    <row r="10" spans="1:6" x14ac:dyDescent="0.25">
      <c r="A10" t="s">
        <v>40</v>
      </c>
      <c r="B10" s="3" t="e">
        <f>IF(F1=1,1.2*(B7+B9)/B9,1.2*(B7+B9)/B7)</f>
        <v>#DIV/0!</v>
      </c>
      <c r="C10" s="4" t="s">
        <v>35</v>
      </c>
    </row>
  </sheetData>
  <sheetProtection password="F725" sheet="1" objects="1" scenarios="1" selectLockedCells="1"/>
  <customSheetViews>
    <customSheetView guid="{25ED444C-8CCE-464F-9E26-1EDA12EA830D}" scale="190">
      <selection activeCell="A4" sqref="A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Option Button 7">
              <controlPr defaultSize="0" autoFill="0" autoLine="0" autoPict="0">
                <anchor moveWithCells="1">
                  <from>
                    <xdr:col>2</xdr:col>
                    <xdr:colOff>0</xdr:colOff>
                    <xdr:row>1</xdr:row>
                    <xdr:rowOff>95250</xdr:rowOff>
                  </from>
                  <to>
                    <xdr:col>7</xdr:col>
                    <xdr:colOff>47625</xdr:colOff>
                    <xdr:row>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Option Button 8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9525</xdr:rowOff>
                  </from>
                  <to>
                    <xdr:col>7</xdr:col>
                    <xdr:colOff>47625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E13"/>
  <sheetViews>
    <sheetView workbookViewId="0">
      <selection activeCell="B7" sqref="B7"/>
    </sheetView>
  </sheetViews>
  <sheetFormatPr defaultRowHeight="15" x14ac:dyDescent="0.25"/>
  <cols>
    <col min="1" max="1" width="49.28515625" customWidth="1"/>
  </cols>
  <sheetData>
    <row r="2" spans="1:5" x14ac:dyDescent="0.25">
      <c r="A2" t="s">
        <v>49</v>
      </c>
      <c r="B2" s="31">
        <v>78.7</v>
      </c>
      <c r="C2" t="s">
        <v>37</v>
      </c>
      <c r="D2" t="s">
        <v>54</v>
      </c>
      <c r="E2" s="3">
        <f>SQRT(B3^2+B9^2/3)</f>
        <v>12.007443874774202</v>
      </c>
    </row>
    <row r="3" spans="1:5" x14ac:dyDescent="0.25">
      <c r="A3" t="s">
        <v>45</v>
      </c>
      <c r="B3" s="3">
        <f>Ioutmax*Vout/(Vin_nominal*Assumed_Efficiency/100)</f>
        <v>11.963639917896588</v>
      </c>
      <c r="C3" t="s">
        <v>36</v>
      </c>
      <c r="D3" t="s">
        <v>55</v>
      </c>
      <c r="E3" s="3">
        <f>B9/2+B3</f>
        <v>12.851063852987865</v>
      </c>
    </row>
    <row r="4" spans="1:5" x14ac:dyDescent="0.25">
      <c r="A4" t="s">
        <v>47</v>
      </c>
      <c r="B4" s="2">
        <v>40</v>
      </c>
      <c r="C4" t="s">
        <v>37</v>
      </c>
    </row>
    <row r="5" spans="1:5" x14ac:dyDescent="0.25">
      <c r="A5" t="s">
        <v>48</v>
      </c>
      <c r="B5" s="3">
        <f>B3*B4/100</f>
        <v>4.7854559671586347</v>
      </c>
      <c r="C5" t="s">
        <v>36</v>
      </c>
    </row>
    <row r="6" spans="1:5" x14ac:dyDescent="0.25">
      <c r="A6" t="s">
        <v>50</v>
      </c>
      <c r="B6" s="3">
        <f>B2/100*Vin_min^2*(1-Vin_min/Vout)/(B4/100*Fsw_min*1000*(Vout*Ioutmax))*1000000</f>
        <v>0.77143820679049191</v>
      </c>
      <c r="C6" s="1" t="s">
        <v>51</v>
      </c>
    </row>
    <row r="7" spans="1:5" x14ac:dyDescent="0.25">
      <c r="A7" t="s">
        <v>52</v>
      </c>
      <c r="B7" s="2">
        <v>2.08</v>
      </c>
      <c r="C7" s="1" t="s">
        <v>51</v>
      </c>
    </row>
    <row r="8" spans="1:5" x14ac:dyDescent="0.25">
      <c r="A8" t="s">
        <v>121</v>
      </c>
      <c r="B8" s="2">
        <v>3.5</v>
      </c>
      <c r="C8" s="4" t="s">
        <v>120</v>
      </c>
    </row>
    <row r="9" spans="1:5" x14ac:dyDescent="0.25">
      <c r="A9" t="s">
        <v>53</v>
      </c>
      <c r="B9" s="3">
        <f>Vin_min*(1-Vin_min/Vout)/(Fsw_min*B7/1000)</f>
        <v>1.7748478701825559</v>
      </c>
      <c r="C9" s="4" t="s">
        <v>36</v>
      </c>
      <c r="D9" t="str">
        <f>IF(B9&gt;B5,"Inductor smaller than recommended, ripple is higher than requested","")</f>
        <v/>
      </c>
    </row>
    <row r="10" spans="1:5" x14ac:dyDescent="0.25">
      <c r="C10" s="4"/>
    </row>
    <row r="12" spans="1:5" s="5" customFormat="1" hidden="1" x14ac:dyDescent="0.25">
      <c r="A12" s="5" t="s">
        <v>3</v>
      </c>
      <c r="B12" s="7">
        <f>B7/1000000</f>
        <v>2.08E-6</v>
      </c>
    </row>
    <row r="13" spans="1:5" hidden="1" x14ac:dyDescent="0.25">
      <c r="A13" t="s">
        <v>125</v>
      </c>
      <c r="B13">
        <f>B8/1000</f>
        <v>3.5000000000000001E-3</v>
      </c>
    </row>
  </sheetData>
  <sheetProtection password="F725" sheet="1" objects="1" scenarios="1" selectLockedCells="1"/>
  <customSheetViews>
    <customSheetView guid="{25ED444C-8CCE-464F-9E26-1EDA12EA830D}">
      <selection activeCell="B3" sqref="B3"/>
      <pageMargins left="0.7" right="0.7" top="0.75" bottom="0.75" header="0.3" footer="0.3"/>
    </customSheetView>
  </customSheetViews>
  <conditionalFormatting sqref="D9">
    <cfRule type="notContainsBlanks" priority="1">
      <formula>LEN(TRIM(D9))&gt;0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F11"/>
  <sheetViews>
    <sheetView workbookViewId="0">
      <selection activeCell="B7" sqref="B7"/>
    </sheetView>
  </sheetViews>
  <sheetFormatPr defaultRowHeight="15" x14ac:dyDescent="0.25"/>
  <cols>
    <col min="1" max="1" width="36.5703125" customWidth="1"/>
    <col min="4" max="4" width="45.7109375" customWidth="1"/>
  </cols>
  <sheetData>
    <row r="2" spans="1:6" x14ac:dyDescent="0.25">
      <c r="A2" t="s">
        <v>56</v>
      </c>
      <c r="B2" s="3">
        <f>IPeakL</f>
        <v>12.851063852987865</v>
      </c>
      <c r="C2" t="s">
        <v>36</v>
      </c>
    </row>
    <row r="3" spans="1:6" x14ac:dyDescent="0.25">
      <c r="A3" t="s">
        <v>57</v>
      </c>
      <c r="B3" s="2">
        <v>18</v>
      </c>
      <c r="C3" t="s">
        <v>36</v>
      </c>
    </row>
    <row r="4" spans="1:6" x14ac:dyDescent="0.25">
      <c r="A4" t="s">
        <v>58</v>
      </c>
      <c r="B4" s="3">
        <f>vcl_min/B3*1000</f>
        <v>10</v>
      </c>
      <c r="C4" t="s">
        <v>60</v>
      </c>
    </row>
    <row r="5" spans="1:6" x14ac:dyDescent="0.25">
      <c r="A5" t="s">
        <v>59</v>
      </c>
      <c r="B5" s="2">
        <v>11</v>
      </c>
      <c r="C5" t="s">
        <v>60</v>
      </c>
      <c r="D5" t="s">
        <v>61</v>
      </c>
      <c r="E5" s="3">
        <f>Dconv_max*IrmsL^2*B5/1000</f>
        <v>0.97956710711035078</v>
      </c>
      <c r="F5" t="s">
        <v>66</v>
      </c>
    </row>
    <row r="6" spans="1:6" x14ac:dyDescent="0.25">
      <c r="A6" t="s">
        <v>64</v>
      </c>
      <c r="B6" s="3">
        <f>(vcl_min*1000)/B5</f>
        <v>16.363636363636363</v>
      </c>
      <c r="C6" t="s">
        <v>36</v>
      </c>
    </row>
    <row r="7" spans="1:6" x14ac:dyDescent="0.25">
      <c r="A7" t="s">
        <v>65</v>
      </c>
      <c r="B7" s="3">
        <f>(vcl_max*1000)/B5</f>
        <v>20</v>
      </c>
      <c r="C7" t="s">
        <v>36</v>
      </c>
    </row>
    <row r="11" spans="1:6" hidden="1" x14ac:dyDescent="0.25">
      <c r="A11" t="s">
        <v>122</v>
      </c>
      <c r="B11" s="13">
        <f>B5/1000</f>
        <v>1.0999999999999999E-2</v>
      </c>
    </row>
  </sheetData>
  <sheetProtection password="F725" sheet="1" objects="1" scenarios="1"/>
  <customSheetViews>
    <customSheetView guid="{25ED444C-8CCE-464F-9E26-1EDA12EA830D}">
      <selection activeCell="B8" sqref="B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C15"/>
  <sheetViews>
    <sheetView workbookViewId="0">
      <selection activeCell="B3" sqref="B3"/>
    </sheetView>
  </sheetViews>
  <sheetFormatPr defaultRowHeight="15" x14ac:dyDescent="0.25"/>
  <cols>
    <col min="1" max="1" width="29" customWidth="1"/>
    <col min="2" max="2" width="9.5703125" customWidth="1"/>
  </cols>
  <sheetData>
    <row r="2" spans="1:3" x14ac:dyDescent="0.25">
      <c r="A2" t="s">
        <v>67</v>
      </c>
      <c r="B2" s="2">
        <f>3*100</f>
        <v>300</v>
      </c>
      <c r="C2" s="1" t="s">
        <v>81</v>
      </c>
    </row>
    <row r="3" spans="1:3" x14ac:dyDescent="0.25">
      <c r="A3" t="s">
        <v>68</v>
      </c>
      <c r="B3" s="2">
        <f>1.25*25/3</f>
        <v>10.416666666666666</v>
      </c>
      <c r="C3" t="s">
        <v>60</v>
      </c>
    </row>
    <row r="4" spans="1:3" x14ac:dyDescent="0.25">
      <c r="A4" t="s">
        <v>84</v>
      </c>
      <c r="B4" s="3">
        <f>Vin_min</f>
        <v>2.6</v>
      </c>
      <c r="C4" t="s">
        <v>35</v>
      </c>
    </row>
    <row r="5" spans="1:3" x14ac:dyDescent="0.25">
      <c r="A5" t="s">
        <v>79</v>
      </c>
      <c r="B5" s="3">
        <f>Ioutmax*Dconv_max/(B2*Fsw_min)+B3*(Ioutmax/(1-Dconv_max)+Iripple/2)</f>
        <v>107.3209394393301</v>
      </c>
      <c r="C5" t="s">
        <v>43</v>
      </c>
    </row>
    <row r="6" spans="1:3" x14ac:dyDescent="0.25">
      <c r="A6" t="s">
        <v>80</v>
      </c>
      <c r="B6" s="3">
        <f>Ioutmax*SQRT(Dconv_max/(1-Dconv_max)+Dconv_max/12*((1-Dconv_max)/(Lo/(Rout*Tsw)))^2)</f>
        <v>4.6206916808843621</v>
      </c>
      <c r="C6" t="s">
        <v>36</v>
      </c>
    </row>
    <row r="14" spans="1:3" hidden="1" x14ac:dyDescent="0.25">
      <c r="A14" t="s">
        <v>4</v>
      </c>
      <c r="C14" s="8">
        <f>B2*10^-6</f>
        <v>2.9999999999999997E-4</v>
      </c>
    </row>
    <row r="15" spans="1:3" hidden="1" x14ac:dyDescent="0.25">
      <c r="A15" t="s">
        <v>5</v>
      </c>
      <c r="C15" s="8">
        <f>B3*10^-3</f>
        <v>1.0416666666666666E-2</v>
      </c>
    </row>
  </sheetData>
  <sheetProtection password="F725" sheet="1" objects="1" scenarios="1" selectLockedCells="1"/>
  <customSheetViews>
    <customSheetView guid="{25ED444C-8CCE-464F-9E26-1EDA12EA830D}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C6"/>
  <sheetViews>
    <sheetView workbookViewId="0">
      <selection activeCell="B4" sqref="B4"/>
    </sheetView>
  </sheetViews>
  <sheetFormatPr defaultRowHeight="15" x14ac:dyDescent="0.25"/>
  <cols>
    <col min="1" max="1" width="26.7109375" customWidth="1"/>
  </cols>
  <sheetData>
    <row r="2" spans="1:3" x14ac:dyDescent="0.25">
      <c r="A2" t="s">
        <v>69</v>
      </c>
      <c r="B2" s="2"/>
      <c r="C2" s="1" t="s">
        <v>81</v>
      </c>
    </row>
    <row r="3" spans="1:3" x14ac:dyDescent="0.25">
      <c r="A3" t="s">
        <v>68</v>
      </c>
      <c r="B3" s="2"/>
      <c r="C3" t="s">
        <v>60</v>
      </c>
    </row>
    <row r="4" spans="1:3" x14ac:dyDescent="0.25">
      <c r="A4" t="s">
        <v>84</v>
      </c>
      <c r="B4" s="3"/>
      <c r="C4" t="s">
        <v>35</v>
      </c>
    </row>
    <row r="5" spans="1:3" x14ac:dyDescent="0.25">
      <c r="A5" t="s">
        <v>82</v>
      </c>
      <c r="B5" s="3"/>
      <c r="C5" t="s">
        <v>43</v>
      </c>
    </row>
    <row r="6" spans="1:3" x14ac:dyDescent="0.25">
      <c r="A6" t="s">
        <v>83</v>
      </c>
      <c r="B6" s="3"/>
      <c r="C6" t="s">
        <v>36</v>
      </c>
    </row>
  </sheetData>
  <customSheetViews>
    <customSheetView guid="{25ED444C-8CCE-464F-9E26-1EDA12EA830D}">
      <selection activeCell="A19" sqref="A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5"/>
  <sheetViews>
    <sheetView workbookViewId="0">
      <selection activeCell="B1" sqref="B1"/>
    </sheetView>
  </sheetViews>
  <sheetFormatPr defaultRowHeight="15" x14ac:dyDescent="0.25"/>
  <cols>
    <col min="1" max="1" width="24" customWidth="1"/>
  </cols>
  <sheetData>
    <row r="1" spans="1:3" x14ac:dyDescent="0.25">
      <c r="A1" t="s">
        <v>75</v>
      </c>
      <c r="B1" s="2">
        <v>0.7</v>
      </c>
      <c r="C1" t="s">
        <v>35</v>
      </c>
    </row>
    <row r="2" spans="1:3" x14ac:dyDescent="0.25">
      <c r="A2" t="s">
        <v>77</v>
      </c>
      <c r="B2" s="3">
        <f>Vout</f>
        <v>6.8</v>
      </c>
      <c r="C2" t="s">
        <v>35</v>
      </c>
    </row>
    <row r="3" spans="1:3" x14ac:dyDescent="0.25">
      <c r="A3" t="s">
        <v>78</v>
      </c>
      <c r="B3" s="3">
        <f>Ioutmax</f>
        <v>3.6</v>
      </c>
      <c r="C3" t="s">
        <v>36</v>
      </c>
    </row>
    <row r="4" spans="1:3" x14ac:dyDescent="0.25">
      <c r="A4" t="s">
        <v>56</v>
      </c>
      <c r="B4" s="3">
        <f>IPeakL</f>
        <v>12.851063852987865</v>
      </c>
      <c r="C4" t="s">
        <v>36</v>
      </c>
    </row>
    <row r="5" spans="1:3" x14ac:dyDescent="0.25">
      <c r="A5" t="s">
        <v>76</v>
      </c>
      <c r="B5" s="3">
        <f>B3*Vf</f>
        <v>2.52</v>
      </c>
      <c r="C5" t="s">
        <v>66</v>
      </c>
    </row>
  </sheetData>
  <sheetProtection password="F725" sheet="1" objects="1" scenarios="1" selectLockedCells="1"/>
  <customSheetViews>
    <customSheetView guid="{25ED444C-8CCE-464F-9E26-1EDA12EA830D}">
      <selection activeCell="B6" sqref="B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3"/>
  <sheetViews>
    <sheetView workbookViewId="0">
      <selection activeCell="B5" sqref="B5"/>
    </sheetView>
  </sheetViews>
  <sheetFormatPr defaultRowHeight="15" x14ac:dyDescent="0.25"/>
  <cols>
    <col min="1" max="1" width="21.28515625" customWidth="1"/>
  </cols>
  <sheetData>
    <row r="1" spans="1:4" x14ac:dyDescent="0.25">
      <c r="A1" t="s">
        <v>119</v>
      </c>
      <c r="B1" s="2">
        <v>11</v>
      </c>
      <c r="C1" t="s">
        <v>85</v>
      </c>
      <c r="D1" t="str">
        <f>IF(B1*10^-9*Fsw_max*10^3&gt;45*10^-3,"Gate Charge is higher than vdrv capability at this frequency", "")</f>
        <v/>
      </c>
    </row>
    <row r="2" spans="1:4" x14ac:dyDescent="0.25">
      <c r="A2" t="s">
        <v>74</v>
      </c>
      <c r="B2" s="2">
        <v>20</v>
      </c>
      <c r="C2" t="s">
        <v>60</v>
      </c>
    </row>
    <row r="3" spans="1:4" x14ac:dyDescent="0.25">
      <c r="A3" t="s">
        <v>70</v>
      </c>
      <c r="B3" s="3">
        <f>MAX(Vout+Vf,Vin_max)</f>
        <v>7.5</v>
      </c>
      <c r="C3" t="s">
        <v>35</v>
      </c>
    </row>
    <row r="4" spans="1:4" x14ac:dyDescent="0.25">
      <c r="A4" t="s">
        <v>86</v>
      </c>
      <c r="B4" s="2">
        <v>14</v>
      </c>
      <c r="C4" t="s">
        <v>88</v>
      </c>
    </row>
    <row r="5" spans="1:4" x14ac:dyDescent="0.25">
      <c r="A5" t="s">
        <v>87</v>
      </c>
      <c r="B5" s="2">
        <v>18</v>
      </c>
      <c r="C5" t="s">
        <v>88</v>
      </c>
    </row>
    <row r="6" spans="1:4" x14ac:dyDescent="0.25">
      <c r="A6" t="s">
        <v>72</v>
      </c>
      <c r="B6" s="3">
        <f>(B4*10^-9*(IavgL-Iripple/2)+B5*10^-9*(IavgL+Iripple/2))*Fsw_min*10^3*Vin_max</f>
        <v>0.43700276179086633</v>
      </c>
      <c r="C6" t="s">
        <v>66</v>
      </c>
    </row>
    <row r="7" spans="1:4" x14ac:dyDescent="0.25">
      <c r="A7" t="s">
        <v>73</v>
      </c>
      <c r="B7" s="3">
        <f>IrmsL^2*Dconv_max*B2*10^-3</f>
        <v>1.7810311038370015</v>
      </c>
      <c r="C7" t="s">
        <v>66</v>
      </c>
    </row>
    <row r="8" spans="1:4" x14ac:dyDescent="0.25">
      <c r="A8" t="s">
        <v>71</v>
      </c>
      <c r="B8" s="3">
        <f>B7+B6</f>
        <v>2.2180338656278678</v>
      </c>
      <c r="C8" t="s">
        <v>66</v>
      </c>
    </row>
    <row r="13" spans="1:4" hidden="1" x14ac:dyDescent="0.25">
      <c r="A13" t="s">
        <v>124</v>
      </c>
      <c r="B13">
        <f>B2/1000</f>
        <v>0.02</v>
      </c>
    </row>
  </sheetData>
  <sheetProtection password="F725" sheet="1" objects="1" scenarios="1" selectLockedCells="1"/>
  <customSheetViews>
    <customSheetView guid="{25ED444C-8CCE-464F-9E26-1EDA12EA830D}">
      <selection activeCell="B9" sqref="B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53</vt:i4>
      </vt:variant>
    </vt:vector>
  </HeadingPairs>
  <TitlesOfParts>
    <vt:vector size="66" baseType="lpstr">
      <vt:lpstr>1. Introduction</vt:lpstr>
      <vt:lpstr>2. Design Parameters</vt:lpstr>
      <vt:lpstr>3. Feedback Resistors</vt:lpstr>
      <vt:lpstr>3. Boost Inductor</vt:lpstr>
      <vt:lpstr>4. Current Sense Resistor</vt:lpstr>
      <vt:lpstr>5. Output Capacitors</vt:lpstr>
      <vt:lpstr>Input Capacitor</vt:lpstr>
      <vt:lpstr>6. Diode</vt:lpstr>
      <vt:lpstr>7. MOSFET</vt:lpstr>
      <vt:lpstr>8. Loop Compensation</vt:lpstr>
      <vt:lpstr>Design Information</vt:lpstr>
      <vt:lpstr>Calculations</vt:lpstr>
      <vt:lpstr>Sheet1</vt:lpstr>
      <vt:lpstr>Assumed_Efficiency</vt:lpstr>
      <vt:lpstr>C0</vt:lpstr>
      <vt:lpstr>Co</vt:lpstr>
      <vt:lpstr>comp_C1</vt:lpstr>
      <vt:lpstr>comp_C2</vt:lpstr>
      <vt:lpstr>comp_R2</vt:lpstr>
      <vt:lpstr>D_</vt:lpstr>
      <vt:lpstr>Dconv_max</vt:lpstr>
      <vt:lpstr>Dmax</vt:lpstr>
      <vt:lpstr>Dmax_min</vt:lpstr>
      <vt:lpstr>Dmax_nom</vt:lpstr>
      <vt:lpstr>Dp</vt:lpstr>
      <vt:lpstr>Fsw_max</vt:lpstr>
      <vt:lpstr>Fsw_min</vt:lpstr>
      <vt:lpstr>Fsw_nom</vt:lpstr>
      <vt:lpstr>gm</vt:lpstr>
      <vt:lpstr>IavgL</vt:lpstr>
      <vt:lpstr>Ioutmax</vt:lpstr>
      <vt:lpstr>IPeakL</vt:lpstr>
      <vt:lpstr>Iripple</vt:lpstr>
      <vt:lpstr>IrmsL</vt:lpstr>
      <vt:lpstr>Lo</vt:lpstr>
      <vt:lpstr>M_IC</vt:lpstr>
      <vt:lpstr>mc</vt:lpstr>
      <vt:lpstr>PartNumber</vt:lpstr>
      <vt:lpstr>R0</vt:lpstr>
      <vt:lpstr>rCf</vt:lpstr>
      <vt:lpstr>Rfet</vt:lpstr>
      <vt:lpstr>'4. Current Sense Resistor'!Ri</vt:lpstr>
      <vt:lpstr>Ri</vt:lpstr>
      <vt:lpstr>rL</vt:lpstr>
      <vt:lpstr>Rlower</vt:lpstr>
      <vt:lpstr>Rotaesd</vt:lpstr>
      <vt:lpstr>Rout</vt:lpstr>
      <vt:lpstr>Rsw_eq</vt:lpstr>
      <vt:lpstr>Rupper</vt:lpstr>
      <vt:lpstr>SC_nom</vt:lpstr>
      <vt:lpstr>Se</vt:lpstr>
      <vt:lpstr>Sn</vt:lpstr>
      <vt:lpstr>Tsw</vt:lpstr>
      <vt:lpstr>vcl_max</vt:lpstr>
      <vt:lpstr>vcl_min</vt:lpstr>
      <vt:lpstr>vcl_nom</vt:lpstr>
      <vt:lpstr>Vdrv_nom</vt:lpstr>
      <vt:lpstr>Vf</vt:lpstr>
      <vt:lpstr>Vin_max</vt:lpstr>
      <vt:lpstr>Vin_min</vt:lpstr>
      <vt:lpstr>Vin_nominal</vt:lpstr>
      <vt:lpstr>Vout</vt:lpstr>
      <vt:lpstr>wp1e</vt:lpstr>
      <vt:lpstr>wp2e</vt:lpstr>
      <vt:lpstr>wz1e</vt:lpstr>
      <vt:lpstr>wz2e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Laprade</dc:creator>
  <cp:lastModifiedBy>Alain Laprade</cp:lastModifiedBy>
  <dcterms:created xsi:type="dcterms:W3CDTF">2006-09-16T00:00:00Z</dcterms:created>
  <dcterms:modified xsi:type="dcterms:W3CDTF">2017-12-19T16:14:08Z</dcterms:modified>
</cp:coreProperties>
</file>