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2995" windowHeight="10305"/>
  </bookViews>
  <sheets>
    <sheet name="Design tool" sheetId="1" r:id="rId1"/>
    <sheet name="Typ Max load Thermal results" sheetId="3" r:id="rId2"/>
    <sheet name="Minimum Vin" sheetId="2" r:id="rId3"/>
  </sheets>
  <externalReferences>
    <externalReference r:id="rId4"/>
    <externalReference r:id="rId5"/>
    <externalReference r:id="rId6"/>
    <externalReference r:id="rId7"/>
  </externalReferences>
  <definedNames>
    <definedName name="Cesr">'Design tool'!$T$14</definedName>
    <definedName name="com_c1">'Design tool'!$W$18</definedName>
    <definedName name="comp_C1">'Design tool'!$T$24</definedName>
    <definedName name="comp_C2">'Design tool'!$T$25</definedName>
    <definedName name="comp_R2">'Design tool'!$B$8</definedName>
    <definedName name="Cout">'Design tool'!$T$13</definedName>
    <definedName name="D">'Design tool'!$S$18</definedName>
    <definedName name="D_">'Design tool'!$T$1</definedName>
    <definedName name="Dmax">'Design tool'!$T$11</definedName>
    <definedName name="Enter_Values">'Design tool'!$B$2:$B$13</definedName>
    <definedName name="Fsw" localSheetId="1">#REF!</definedName>
    <definedName name="Fsw">'Design tool'!$S$9</definedName>
    <definedName name="FswMax">'Typ Max load Thermal results'!$E$20</definedName>
    <definedName name="FswNom">'Typ Max load Thermal results'!$H$9</definedName>
    <definedName name="gm">'Design tool'!$T$19</definedName>
    <definedName name="ILIM">#REF!</definedName>
    <definedName name="ILIM8902">#REF!</definedName>
    <definedName name="Ind">#REF!</definedName>
    <definedName name="Iout">'Typ Max load Thermal results'!$H$6</definedName>
    <definedName name="Iq">'Typ Max load Thermal results'!$H$17</definedName>
    <definedName name="L">'Design tool'!$T$29</definedName>
    <definedName name="LDOLoad">'Typ Max load Thermal results'!$H$16</definedName>
    <definedName name="LoadRef">'Typ Max load Thermal results'!$H$7</definedName>
    <definedName name="mc">'Design tool'!$T$8</definedName>
    <definedName name="OutCur">'Typ Max load Thermal results'!$H$6</definedName>
    <definedName name="R0">'Design tool'!$T$17</definedName>
    <definedName name="Rdson">#REF!</definedName>
    <definedName name="Rdson1p2A">'Typ Max load Thermal results'!$H$13</definedName>
    <definedName name="Rout">'Design tool'!$T$9</definedName>
    <definedName name="Rout_">'Design tool'!$S$24</definedName>
    <definedName name="Rthetaja">'Typ Max load Thermal results'!$H$14</definedName>
    <definedName name="SC">#REF!</definedName>
    <definedName name="SCstart">#REF!</definedName>
    <definedName name="sssss">'Design tool'!$U$9</definedName>
    <definedName name="SWscaling">'Typ Max load Thermal results'!$O$14</definedName>
    <definedName name="SWscaling3">'Typ Max load Thermal results'!$Q$14</definedName>
    <definedName name="t1ref">'Typ Max load Thermal results'!$E$24</definedName>
    <definedName name="t2ref">'Typ Max load Thermal results'!$E$25</definedName>
    <definedName name="t3ref">'Typ Max load Thermal results'!$E$26</definedName>
    <definedName name="t4ref">'Typ Max load Thermal results'!$E$27</definedName>
    <definedName name="Tsw_">'Design tool'!$T$3</definedName>
    <definedName name="UseLDO">'Typ Max load Thermal results'!$J$16</definedName>
    <definedName name="Vd">#REF!</definedName>
    <definedName name="Vdiode">'Typ Max load Thermal results'!$H$11</definedName>
    <definedName name="Vin">#REF!</definedName>
    <definedName name="VinILIM">#REF!</definedName>
    <definedName name="VinILIM13">#REF!</definedName>
    <definedName name="VinILIM16">#REF!</definedName>
    <definedName name="Vinref">'Typ Max load Thermal results'!$E$19</definedName>
    <definedName name="Vout">'Typ Max load Thermal results'!$H$5</definedName>
    <definedName name="Vout_">'Design tool'!$T$30</definedName>
    <definedName name="Vout33">#REF!</definedName>
    <definedName name="Vout3p3">'Typ Max load Thermal results'!#REF!</definedName>
    <definedName name="Vout5p0">'Typ Max load Thermal results'!#REF!</definedName>
    <definedName name="wp1e">'Design tool'!$T$22</definedName>
    <definedName name="wp2e">'Design tool'!$T$23</definedName>
    <definedName name="wz2e">'Design tool'!$T$21</definedName>
  </definedNames>
  <calcPr calcId="145621"/>
</workbook>
</file>

<file path=xl/calcChain.xml><?xml version="1.0" encoding="utf-8"?>
<calcChain xmlns="http://schemas.openxmlformats.org/spreadsheetml/2006/main">
  <c r="J46" i="3" l="1"/>
  <c r="I46" i="3"/>
  <c r="H46" i="3"/>
  <c r="G46" i="3"/>
  <c r="F46" i="3"/>
  <c r="E46" i="3"/>
  <c r="J39" i="3"/>
  <c r="I39" i="3"/>
  <c r="H39" i="3"/>
  <c r="G39" i="3"/>
  <c r="F39" i="3"/>
  <c r="E39" i="3"/>
  <c r="H37" i="3"/>
  <c r="G37" i="3"/>
  <c r="J34" i="3"/>
  <c r="I34" i="3"/>
  <c r="H34" i="3"/>
  <c r="G34" i="3"/>
  <c r="F34" i="3"/>
  <c r="E34" i="3"/>
  <c r="H30" i="3"/>
  <c r="G30" i="3"/>
  <c r="J27" i="3"/>
  <c r="I27" i="3"/>
  <c r="H27" i="3"/>
  <c r="H32" i="3" s="1"/>
  <c r="G27" i="3"/>
  <c r="G32" i="3" s="1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2" i="3"/>
  <c r="I22" i="3"/>
  <c r="H22" i="3"/>
  <c r="G22" i="3"/>
  <c r="F22" i="3"/>
  <c r="E22" i="3"/>
  <c r="J20" i="3"/>
  <c r="J37" i="3" s="1"/>
  <c r="I20" i="3"/>
  <c r="I37" i="3" s="1"/>
  <c r="H20" i="3"/>
  <c r="H31" i="3" s="1"/>
  <c r="G20" i="3"/>
  <c r="G31" i="3" s="1"/>
  <c r="F20" i="3"/>
  <c r="F37" i="3" s="1"/>
  <c r="E20" i="3"/>
  <c r="E37" i="3" s="1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4" i="2"/>
  <c r="E3" i="2"/>
  <c r="E29" i="3" l="1"/>
  <c r="I29" i="3"/>
  <c r="E31" i="3"/>
  <c r="I31" i="3"/>
  <c r="F29" i="3"/>
  <c r="J29" i="3"/>
  <c r="F31" i="3"/>
  <c r="J31" i="3"/>
  <c r="G29" i="3"/>
  <c r="G33" i="3" s="1"/>
  <c r="G35" i="3" s="1"/>
  <c r="G41" i="3" s="1"/>
  <c r="G43" i="3" s="1"/>
  <c r="G44" i="3" s="1"/>
  <c r="E30" i="3"/>
  <c r="I30" i="3"/>
  <c r="E32" i="3"/>
  <c r="I32" i="3"/>
  <c r="H29" i="3"/>
  <c r="H33" i="3" s="1"/>
  <c r="H35" i="3" s="1"/>
  <c r="H41" i="3" s="1"/>
  <c r="H43" i="3" s="1"/>
  <c r="H44" i="3" s="1"/>
  <c r="F30" i="3"/>
  <c r="J30" i="3"/>
  <c r="F32" i="3"/>
  <c r="J32" i="3"/>
  <c r="B33" i="1"/>
  <c r="B32" i="1"/>
  <c r="J33" i="3" l="1"/>
  <c r="J35" i="3" s="1"/>
  <c r="J41" i="3" s="1"/>
  <c r="J43" i="3" s="1"/>
  <c r="J44" i="3" s="1"/>
  <c r="I33" i="3"/>
  <c r="I35" i="3" s="1"/>
  <c r="I41" i="3" s="1"/>
  <c r="I43" i="3" s="1"/>
  <c r="I44" i="3" s="1"/>
  <c r="F33" i="3"/>
  <c r="F35" i="3" s="1"/>
  <c r="F41" i="3" s="1"/>
  <c r="F43" i="3" s="1"/>
  <c r="F44" i="3" s="1"/>
  <c r="E33" i="3"/>
  <c r="E35" i="3" s="1"/>
  <c r="E41" i="3" s="1"/>
  <c r="E43" i="3" s="1"/>
  <c r="E44" i="3" s="1"/>
  <c r="B7" i="1"/>
  <c r="B4" i="1" l="1"/>
  <c r="G12" i="1" l="1"/>
  <c r="G4" i="1"/>
  <c r="D7" i="1"/>
  <c r="T19" i="1" l="1"/>
  <c r="T17" i="1"/>
  <c r="T14" i="1"/>
  <c r="T13" i="1"/>
  <c r="T30" i="1"/>
  <c r="T29" i="1"/>
  <c r="Z3" i="1"/>
  <c r="Z4" i="1"/>
  <c r="AA4" i="1" s="1"/>
  <c r="Z5" i="1"/>
  <c r="Z6" i="1"/>
  <c r="AA6" i="1" s="1"/>
  <c r="Z7" i="1"/>
  <c r="Z8" i="1"/>
  <c r="Z9" i="1"/>
  <c r="Z10" i="1"/>
  <c r="Z11" i="1"/>
  <c r="Z12" i="1"/>
  <c r="Z13" i="1"/>
  <c r="Z14" i="1"/>
  <c r="Z15" i="1"/>
  <c r="Z16" i="1"/>
  <c r="AA16" i="1" s="1"/>
  <c r="Z17" i="1"/>
  <c r="Z18" i="1"/>
  <c r="AA18" i="1" s="1"/>
  <c r="Z19" i="1"/>
  <c r="Z20" i="1"/>
  <c r="AA20" i="1" s="1"/>
  <c r="Z21" i="1"/>
  <c r="Z22" i="1"/>
  <c r="AA22" i="1" s="1"/>
  <c r="Z23" i="1"/>
  <c r="Z24" i="1"/>
  <c r="AA24" i="1" s="1"/>
  <c r="Z25" i="1"/>
  <c r="Z26" i="1"/>
  <c r="AA26" i="1" s="1"/>
  <c r="Z27" i="1"/>
  <c r="Z28" i="1"/>
  <c r="AA28" i="1" s="1"/>
  <c r="Z29" i="1"/>
  <c r="Z30" i="1"/>
  <c r="AA30" i="1" s="1"/>
  <c r="Z31" i="1"/>
  <c r="Z32" i="1"/>
  <c r="AA32" i="1" s="1"/>
  <c r="Z33" i="1"/>
  <c r="Z34" i="1"/>
  <c r="AA34" i="1" s="1"/>
  <c r="Z35" i="1"/>
  <c r="Z36" i="1"/>
  <c r="AA36" i="1" s="1"/>
  <c r="Z37" i="1"/>
  <c r="Z38" i="1"/>
  <c r="AA38" i="1" s="1"/>
  <c r="Z39" i="1"/>
  <c r="Z40" i="1"/>
  <c r="AA40" i="1" s="1"/>
  <c r="Z41" i="1"/>
  <c r="Z42" i="1"/>
  <c r="AA42" i="1" s="1"/>
  <c r="Z43" i="1"/>
  <c r="Z44" i="1"/>
  <c r="AA44" i="1" s="1"/>
  <c r="Z45" i="1"/>
  <c r="Z46" i="1"/>
  <c r="AA46" i="1" s="1"/>
  <c r="Z47" i="1"/>
  <c r="Z48" i="1"/>
  <c r="AA48" i="1" s="1"/>
  <c r="Z49" i="1"/>
  <c r="Z50" i="1"/>
  <c r="AA50" i="1" s="1"/>
  <c r="Z51" i="1"/>
  <c r="Z52" i="1"/>
  <c r="AA52" i="1" s="1"/>
  <c r="Z53" i="1"/>
  <c r="Z54" i="1"/>
  <c r="AA54" i="1" s="1"/>
  <c r="Z55" i="1"/>
  <c r="Z56" i="1"/>
  <c r="AA56" i="1" s="1"/>
  <c r="Z57" i="1"/>
  <c r="Z58" i="1"/>
  <c r="AA58" i="1" s="1"/>
  <c r="Z59" i="1"/>
  <c r="Z60" i="1"/>
  <c r="AA60" i="1" s="1"/>
  <c r="Z61" i="1"/>
  <c r="Z62" i="1"/>
  <c r="AA62" i="1" s="1"/>
  <c r="Z63" i="1"/>
  <c r="Z64" i="1"/>
  <c r="AA64" i="1" s="1"/>
  <c r="Z65" i="1"/>
  <c r="Z66" i="1"/>
  <c r="AA66" i="1" s="1"/>
  <c r="Z67" i="1"/>
  <c r="Z68" i="1"/>
  <c r="AA68" i="1" s="1"/>
  <c r="Z69" i="1"/>
  <c r="Z70" i="1"/>
  <c r="AA70" i="1" s="1"/>
  <c r="Z71" i="1"/>
  <c r="Z72" i="1"/>
  <c r="AA72" i="1" s="1"/>
  <c r="Z73" i="1"/>
  <c r="Z74" i="1"/>
  <c r="AA74" i="1" s="1"/>
  <c r="Z75" i="1"/>
  <c r="Z76" i="1"/>
  <c r="AA76" i="1" s="1"/>
  <c r="Z77" i="1"/>
  <c r="Z78" i="1"/>
  <c r="AA78" i="1" s="1"/>
  <c r="Z79" i="1"/>
  <c r="Z80" i="1"/>
  <c r="AA80" i="1" s="1"/>
  <c r="Z81" i="1"/>
  <c r="Z82" i="1"/>
  <c r="AA82" i="1" s="1"/>
  <c r="Z83" i="1"/>
  <c r="Z84" i="1"/>
  <c r="AA84" i="1" s="1"/>
  <c r="Z85" i="1"/>
  <c r="Z86" i="1"/>
  <c r="AA86" i="1" s="1"/>
  <c r="Z87" i="1"/>
  <c r="Z88" i="1"/>
  <c r="AA88" i="1" s="1"/>
  <c r="Z89" i="1"/>
  <c r="Z90" i="1"/>
  <c r="AA90" i="1" s="1"/>
  <c r="Z91" i="1"/>
  <c r="Z92" i="1"/>
  <c r="AA92" i="1" s="1"/>
  <c r="Z93" i="1"/>
  <c r="Z94" i="1"/>
  <c r="AA94" i="1" s="1"/>
  <c r="Z95" i="1"/>
  <c r="Z96" i="1"/>
  <c r="AA96" i="1" s="1"/>
  <c r="Z97" i="1"/>
  <c r="Z98" i="1"/>
  <c r="AA98" i="1" s="1"/>
  <c r="Z99" i="1"/>
  <c r="Z100" i="1"/>
  <c r="AA100" i="1" s="1"/>
  <c r="Z101" i="1"/>
  <c r="Z102" i="1"/>
  <c r="AA102" i="1" s="1"/>
  <c r="Z103" i="1"/>
  <c r="Z104" i="1"/>
  <c r="AA104" i="1" s="1"/>
  <c r="Z105" i="1"/>
  <c r="Z106" i="1"/>
  <c r="AA106" i="1" s="1"/>
  <c r="Z107" i="1"/>
  <c r="Z108" i="1"/>
  <c r="AA108" i="1" s="1"/>
  <c r="Z109" i="1"/>
  <c r="Z110" i="1"/>
  <c r="AA110" i="1" s="1"/>
  <c r="Z111" i="1"/>
  <c r="Z112" i="1"/>
  <c r="AA112" i="1" s="1"/>
  <c r="Z113" i="1"/>
  <c r="Z114" i="1"/>
  <c r="AA114" i="1" s="1"/>
  <c r="Z115" i="1"/>
  <c r="Z116" i="1"/>
  <c r="AA116" i="1" s="1"/>
  <c r="Z117" i="1"/>
  <c r="Z118" i="1"/>
  <c r="AA118" i="1" s="1"/>
  <c r="Z119" i="1"/>
  <c r="Z120" i="1"/>
  <c r="AA120" i="1" s="1"/>
  <c r="Z121" i="1"/>
  <c r="Z122" i="1"/>
  <c r="AA122" i="1" s="1"/>
  <c r="Z123" i="1"/>
  <c r="Z124" i="1"/>
  <c r="AA124" i="1" s="1"/>
  <c r="Z125" i="1"/>
  <c r="Z126" i="1"/>
  <c r="AA126" i="1" s="1"/>
  <c r="Z127" i="1"/>
  <c r="Z128" i="1"/>
  <c r="AA128" i="1" s="1"/>
  <c r="Z129" i="1"/>
  <c r="Z130" i="1"/>
  <c r="AA130" i="1" s="1"/>
  <c r="Z131" i="1"/>
  <c r="Z132" i="1"/>
  <c r="AA132" i="1" s="1"/>
  <c r="Z133" i="1"/>
  <c r="Z134" i="1"/>
  <c r="AA134" i="1" s="1"/>
  <c r="Z135" i="1"/>
  <c r="Z136" i="1"/>
  <c r="AA136" i="1" s="1"/>
  <c r="Z137" i="1"/>
  <c r="Z138" i="1"/>
  <c r="AA138" i="1" s="1"/>
  <c r="Z139" i="1"/>
  <c r="Z140" i="1"/>
  <c r="AA140" i="1" s="1"/>
  <c r="Z141" i="1"/>
  <c r="Z142" i="1"/>
  <c r="AA142" i="1" s="1"/>
  <c r="Z143" i="1"/>
  <c r="Z144" i="1"/>
  <c r="AA144" i="1" s="1"/>
  <c r="Z145" i="1"/>
  <c r="Z146" i="1"/>
  <c r="AA146" i="1" s="1"/>
  <c r="Z147" i="1"/>
  <c r="Z148" i="1"/>
  <c r="AA148" i="1" s="1"/>
  <c r="Z149" i="1"/>
  <c r="Z150" i="1"/>
  <c r="AA150" i="1" s="1"/>
  <c r="Z151" i="1"/>
  <c r="Z152" i="1"/>
  <c r="AA152" i="1" s="1"/>
  <c r="Z153" i="1"/>
  <c r="Z154" i="1"/>
  <c r="AA154" i="1" s="1"/>
  <c r="Z155" i="1"/>
  <c r="Z156" i="1"/>
  <c r="AA156" i="1" s="1"/>
  <c r="Z157" i="1"/>
  <c r="Z158" i="1"/>
  <c r="AA158" i="1" s="1"/>
  <c r="Z159" i="1"/>
  <c r="Z160" i="1"/>
  <c r="AA160" i="1" s="1"/>
  <c r="Z161" i="1"/>
  <c r="Z162" i="1"/>
  <c r="AA162" i="1" s="1"/>
  <c r="Z163" i="1"/>
  <c r="Z164" i="1"/>
  <c r="AA164" i="1" s="1"/>
  <c r="Z165" i="1"/>
  <c r="Z166" i="1"/>
  <c r="AA166" i="1" s="1"/>
  <c r="Z167" i="1"/>
  <c r="Z168" i="1"/>
  <c r="AA168" i="1" s="1"/>
  <c r="Z169" i="1"/>
  <c r="Z170" i="1"/>
  <c r="AA170" i="1" s="1"/>
  <c r="Z171" i="1"/>
  <c r="Z172" i="1"/>
  <c r="AA172" i="1" s="1"/>
  <c r="Z173" i="1"/>
  <c r="Z174" i="1"/>
  <c r="AA174" i="1" s="1"/>
  <c r="Z175" i="1"/>
  <c r="Z176" i="1"/>
  <c r="AA176" i="1" s="1"/>
  <c r="Z177" i="1"/>
  <c r="Z178" i="1"/>
  <c r="AA178" i="1" s="1"/>
  <c r="Z179" i="1"/>
  <c r="Z180" i="1"/>
  <c r="AA180" i="1" s="1"/>
  <c r="Z181" i="1"/>
  <c r="Z182" i="1"/>
  <c r="AA182" i="1" s="1"/>
  <c r="Z183" i="1"/>
  <c r="Z184" i="1"/>
  <c r="AA184" i="1" s="1"/>
  <c r="Z185" i="1"/>
  <c r="Z186" i="1"/>
  <c r="AA186" i="1" s="1"/>
  <c r="Z187" i="1"/>
  <c r="Z188" i="1"/>
  <c r="AA188" i="1" s="1"/>
  <c r="Z189" i="1"/>
  <c r="Z190" i="1"/>
  <c r="AA190" i="1" s="1"/>
  <c r="Z191" i="1"/>
  <c r="Z192" i="1"/>
  <c r="AA192" i="1" s="1"/>
  <c r="Z193" i="1"/>
  <c r="Z194" i="1"/>
  <c r="AA194" i="1" s="1"/>
  <c r="Z195" i="1"/>
  <c r="Z196" i="1"/>
  <c r="AA196" i="1" s="1"/>
  <c r="Z197" i="1"/>
  <c r="Z198" i="1"/>
  <c r="AA198" i="1" s="1"/>
  <c r="Z199" i="1"/>
  <c r="Z200" i="1"/>
  <c r="AA200" i="1" s="1"/>
  <c r="Z201" i="1"/>
  <c r="Z202" i="1"/>
  <c r="AA202" i="1" s="1"/>
  <c r="Z2" i="1"/>
  <c r="AA2" i="1" s="1"/>
  <c r="W5" i="1"/>
  <c r="T7" i="1"/>
  <c r="T8" i="1" s="1"/>
  <c r="B18" i="1"/>
  <c r="B38" i="1"/>
  <c r="AK2" i="1" s="1"/>
  <c r="B37" i="1"/>
  <c r="B29" i="1"/>
  <c r="B30" i="1" s="1"/>
  <c r="B23" i="1"/>
  <c r="T3" i="1"/>
  <c r="AA201" i="1"/>
  <c r="AA199" i="1"/>
  <c r="AA197" i="1"/>
  <c r="AA195" i="1"/>
  <c r="AA193" i="1"/>
  <c r="AA191" i="1"/>
  <c r="AA189" i="1"/>
  <c r="AA187" i="1"/>
  <c r="AA185" i="1"/>
  <c r="AA183" i="1"/>
  <c r="AA181" i="1"/>
  <c r="AA179" i="1"/>
  <c r="AA177" i="1"/>
  <c r="AA175" i="1"/>
  <c r="AA173" i="1"/>
  <c r="AA171" i="1"/>
  <c r="AA169" i="1"/>
  <c r="AA167" i="1"/>
  <c r="AA165" i="1"/>
  <c r="AA163" i="1"/>
  <c r="AA161" i="1"/>
  <c r="AA159" i="1"/>
  <c r="AA157" i="1"/>
  <c r="AA155" i="1"/>
  <c r="AA153" i="1"/>
  <c r="AA151" i="1"/>
  <c r="AA149" i="1"/>
  <c r="AA147" i="1"/>
  <c r="AA145" i="1"/>
  <c r="AA143" i="1"/>
  <c r="AA141" i="1"/>
  <c r="AA139" i="1"/>
  <c r="AA137" i="1"/>
  <c r="AA135" i="1"/>
  <c r="AA133" i="1"/>
  <c r="AA131" i="1"/>
  <c r="AA129" i="1"/>
  <c r="AA127" i="1"/>
  <c r="AA125" i="1"/>
  <c r="AA123" i="1"/>
  <c r="AA121" i="1"/>
  <c r="AA119" i="1"/>
  <c r="AA117" i="1"/>
  <c r="AA115" i="1"/>
  <c r="AA113" i="1"/>
  <c r="AA111" i="1"/>
  <c r="AA109" i="1"/>
  <c r="AA107" i="1"/>
  <c r="AA105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T16" i="1"/>
  <c r="AA14" i="1"/>
  <c r="AA13" i="1"/>
  <c r="AA12" i="1"/>
  <c r="AA11" i="1"/>
  <c r="AA10" i="1"/>
  <c r="AA9" i="1"/>
  <c r="AA8" i="1"/>
  <c r="AA7" i="1"/>
  <c r="AA5" i="1"/>
  <c r="AA3" i="1"/>
  <c r="AB3" i="1" l="1"/>
  <c r="AB7" i="1"/>
  <c r="AB11" i="1"/>
  <c r="AB15" i="1"/>
  <c r="AB19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171" i="1"/>
  <c r="AB175" i="1"/>
  <c r="AB179" i="1"/>
  <c r="AB183" i="1"/>
  <c r="AB187" i="1"/>
  <c r="AB191" i="1"/>
  <c r="AB195" i="1"/>
  <c r="AB199" i="1"/>
  <c r="AB2" i="1"/>
  <c r="AB21" i="1"/>
  <c r="AB57" i="1"/>
  <c r="AB65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6" i="1"/>
  <c r="AB18" i="1"/>
  <c r="AB26" i="1"/>
  <c r="AB34" i="1"/>
  <c r="AB38" i="1"/>
  <c r="AB4" i="1"/>
  <c r="AB8" i="1"/>
  <c r="AB12" i="1"/>
  <c r="AB16" i="1"/>
  <c r="AB20" i="1"/>
  <c r="AB24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B108" i="1"/>
  <c r="AB112" i="1"/>
  <c r="AB116" i="1"/>
  <c r="AB120" i="1"/>
  <c r="AB124" i="1"/>
  <c r="AB128" i="1"/>
  <c r="AB132" i="1"/>
  <c r="AB136" i="1"/>
  <c r="AB140" i="1"/>
  <c r="AB144" i="1"/>
  <c r="AB148" i="1"/>
  <c r="AB152" i="1"/>
  <c r="AB156" i="1"/>
  <c r="AB160" i="1"/>
  <c r="AB164" i="1"/>
  <c r="AB168" i="1"/>
  <c r="AB172" i="1"/>
  <c r="AB176" i="1"/>
  <c r="AB180" i="1"/>
  <c r="AB184" i="1"/>
  <c r="AB188" i="1"/>
  <c r="AB192" i="1"/>
  <c r="AB196" i="1"/>
  <c r="AB200" i="1"/>
  <c r="AB5" i="1"/>
  <c r="AB9" i="1"/>
  <c r="AB13" i="1"/>
  <c r="AB17" i="1"/>
  <c r="AB25" i="1"/>
  <c r="AB29" i="1"/>
  <c r="AB33" i="1"/>
  <c r="AB37" i="1"/>
  <c r="AB41" i="1"/>
  <c r="AB45" i="1"/>
  <c r="AB49" i="1"/>
  <c r="AB53" i="1"/>
  <c r="AB61" i="1"/>
  <c r="AB69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10" i="1"/>
  <c r="AB14" i="1"/>
  <c r="AB22" i="1"/>
  <c r="AB30" i="1"/>
  <c r="AB58" i="1"/>
  <c r="AB186" i="1"/>
  <c r="AB46" i="1"/>
  <c r="AB62" i="1"/>
  <c r="AB78" i="1"/>
  <c r="AB94" i="1"/>
  <c r="AB110" i="1"/>
  <c r="AB126" i="1"/>
  <c r="AB142" i="1"/>
  <c r="AB158" i="1"/>
  <c r="AB174" i="1"/>
  <c r="AB190" i="1"/>
  <c r="AB50" i="1"/>
  <c r="AB66" i="1"/>
  <c r="AB82" i="1"/>
  <c r="AB98" i="1"/>
  <c r="AB114" i="1"/>
  <c r="AB130" i="1"/>
  <c r="AB146" i="1"/>
  <c r="AB162" i="1"/>
  <c r="AB178" i="1"/>
  <c r="AB194" i="1"/>
  <c r="AB54" i="1"/>
  <c r="AB70" i="1"/>
  <c r="AB86" i="1"/>
  <c r="AB102" i="1"/>
  <c r="AB118" i="1"/>
  <c r="AB134" i="1"/>
  <c r="AB150" i="1"/>
  <c r="AB166" i="1"/>
  <c r="AB182" i="1"/>
  <c r="AB198" i="1"/>
  <c r="AB42" i="1"/>
  <c r="AB74" i="1"/>
  <c r="AB90" i="1"/>
  <c r="AB106" i="1"/>
  <c r="AB122" i="1"/>
  <c r="AB138" i="1"/>
  <c r="AB154" i="1"/>
  <c r="AB170" i="1"/>
  <c r="AB202" i="1"/>
  <c r="G8" i="1"/>
  <c r="G10" i="1"/>
  <c r="W2" i="1" s="1"/>
  <c r="T9" i="1"/>
  <c r="B17" i="1"/>
  <c r="B24" i="1" l="1"/>
  <c r="B19" i="1"/>
  <c r="G14" i="1"/>
  <c r="AC2" i="1"/>
  <c r="T1" i="1"/>
  <c r="G11" i="1"/>
  <c r="B20" i="1"/>
  <c r="AD5" i="1" l="1"/>
  <c r="AD9" i="1"/>
  <c r="AD13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9" i="1"/>
  <c r="AD113" i="1"/>
  <c r="AD6" i="1"/>
  <c r="AD10" i="1"/>
  <c r="AD14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W7" i="1"/>
  <c r="AD4" i="1"/>
  <c r="AD8" i="1"/>
  <c r="AD12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3" i="1"/>
  <c r="AD19" i="1"/>
  <c r="AD35" i="1"/>
  <c r="AD51" i="1"/>
  <c r="AD67" i="1"/>
  <c r="AD72" i="1"/>
  <c r="AD78" i="1"/>
  <c r="AD83" i="1"/>
  <c r="AD88" i="1"/>
  <c r="AD94" i="1"/>
  <c r="AD99" i="1"/>
  <c r="AD104" i="1"/>
  <c r="AD110" i="1"/>
  <c r="AD115" i="1"/>
  <c r="AD119" i="1"/>
  <c r="AD123" i="1"/>
  <c r="AD127" i="1"/>
  <c r="AD131" i="1"/>
  <c r="AD135" i="1"/>
  <c r="AD139" i="1"/>
  <c r="AD143" i="1"/>
  <c r="AD147" i="1"/>
  <c r="AD151" i="1"/>
  <c r="AD155" i="1"/>
  <c r="AD159" i="1"/>
  <c r="AD163" i="1"/>
  <c r="AD167" i="1"/>
  <c r="AD171" i="1"/>
  <c r="AD175" i="1"/>
  <c r="AD179" i="1"/>
  <c r="AD183" i="1"/>
  <c r="AD187" i="1"/>
  <c r="AD191" i="1"/>
  <c r="AD195" i="1"/>
  <c r="AD199" i="1"/>
  <c r="AD2" i="1"/>
  <c r="AD7" i="1"/>
  <c r="AD23" i="1"/>
  <c r="AD39" i="1"/>
  <c r="AD55" i="1"/>
  <c r="AD68" i="1"/>
  <c r="AD74" i="1"/>
  <c r="AD79" i="1"/>
  <c r="AD84" i="1"/>
  <c r="AD90" i="1"/>
  <c r="AD95" i="1"/>
  <c r="AD100" i="1"/>
  <c r="AD106" i="1"/>
  <c r="AD111" i="1"/>
  <c r="AD116" i="1"/>
  <c r="AD120" i="1"/>
  <c r="AD124" i="1"/>
  <c r="AD128" i="1"/>
  <c r="AD132" i="1"/>
  <c r="AD136" i="1"/>
  <c r="AD140" i="1"/>
  <c r="AD144" i="1"/>
  <c r="AD148" i="1"/>
  <c r="AD152" i="1"/>
  <c r="AD156" i="1"/>
  <c r="AD160" i="1"/>
  <c r="AD164" i="1"/>
  <c r="AD168" i="1"/>
  <c r="AD172" i="1"/>
  <c r="AD176" i="1"/>
  <c r="AD180" i="1"/>
  <c r="AD184" i="1"/>
  <c r="AD188" i="1"/>
  <c r="AD192" i="1"/>
  <c r="AD196" i="1"/>
  <c r="AD200" i="1"/>
  <c r="AD15" i="1"/>
  <c r="AD31" i="1"/>
  <c r="AD47" i="1"/>
  <c r="AD63" i="1"/>
  <c r="AD71" i="1"/>
  <c r="AD76" i="1"/>
  <c r="AD82" i="1"/>
  <c r="AD87" i="1"/>
  <c r="AD92" i="1"/>
  <c r="AD98" i="1"/>
  <c r="AD103" i="1"/>
  <c r="AD108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43" i="1"/>
  <c r="AD80" i="1"/>
  <c r="AD102" i="1"/>
  <c r="AD121" i="1"/>
  <c r="AD137" i="1"/>
  <c r="AD153" i="1"/>
  <c r="AD169" i="1"/>
  <c r="AD185" i="1"/>
  <c r="AD201" i="1"/>
  <c r="AD149" i="1"/>
  <c r="AD59" i="1"/>
  <c r="AD86" i="1"/>
  <c r="AD107" i="1"/>
  <c r="AD125" i="1"/>
  <c r="AD141" i="1"/>
  <c r="AD157" i="1"/>
  <c r="AD173" i="1"/>
  <c r="AD189" i="1"/>
  <c r="AD133" i="1"/>
  <c r="AD11" i="1"/>
  <c r="AD70" i="1"/>
  <c r="AD91" i="1"/>
  <c r="AD112" i="1"/>
  <c r="AD129" i="1"/>
  <c r="AD145" i="1"/>
  <c r="AD161" i="1"/>
  <c r="AD177" i="1"/>
  <c r="AD193" i="1"/>
  <c r="AD27" i="1"/>
  <c r="AD75" i="1"/>
  <c r="AD96" i="1"/>
  <c r="AD117" i="1"/>
  <c r="AD165" i="1"/>
  <c r="AD181" i="1"/>
  <c r="AD197" i="1"/>
  <c r="AE5" i="1"/>
  <c r="AE9" i="1"/>
  <c r="AE13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65" i="1"/>
  <c r="AE69" i="1"/>
  <c r="AE73" i="1"/>
  <c r="AE77" i="1"/>
  <c r="AE81" i="1"/>
  <c r="AE85" i="1"/>
  <c r="AE89" i="1"/>
  <c r="AE93" i="1"/>
  <c r="AE97" i="1"/>
  <c r="AE101" i="1"/>
  <c r="AE105" i="1"/>
  <c r="AE109" i="1"/>
  <c r="AE113" i="1"/>
  <c r="AE117" i="1"/>
  <c r="AE121" i="1"/>
  <c r="AE125" i="1"/>
  <c r="AE129" i="1"/>
  <c r="AE133" i="1"/>
  <c r="AE137" i="1"/>
  <c r="AE141" i="1"/>
  <c r="AE145" i="1"/>
  <c r="W3" i="1"/>
  <c r="AE3" i="1"/>
  <c r="AE8" i="1"/>
  <c r="AE14" i="1"/>
  <c r="AE19" i="1"/>
  <c r="AE24" i="1"/>
  <c r="AE30" i="1"/>
  <c r="AE35" i="1"/>
  <c r="AE40" i="1"/>
  <c r="AE46" i="1"/>
  <c r="AE51" i="1"/>
  <c r="AE56" i="1"/>
  <c r="AE62" i="1"/>
  <c r="AE67" i="1"/>
  <c r="AE72" i="1"/>
  <c r="AE78" i="1"/>
  <c r="AE83" i="1"/>
  <c r="AE88" i="1"/>
  <c r="AE94" i="1"/>
  <c r="AE99" i="1"/>
  <c r="AE104" i="1"/>
  <c r="AE110" i="1"/>
  <c r="AE115" i="1"/>
  <c r="AE120" i="1"/>
  <c r="AE126" i="1"/>
  <c r="AE131" i="1"/>
  <c r="AE136" i="1"/>
  <c r="AE142" i="1"/>
  <c r="AE147" i="1"/>
  <c r="AE151" i="1"/>
  <c r="AE155" i="1"/>
  <c r="AE159" i="1"/>
  <c r="AE163" i="1"/>
  <c r="AE167" i="1"/>
  <c r="AE171" i="1"/>
  <c r="AE175" i="1"/>
  <c r="AE179" i="1"/>
  <c r="AE183" i="1"/>
  <c r="AE187" i="1"/>
  <c r="AE191" i="1"/>
  <c r="AE195" i="1"/>
  <c r="AE199" i="1"/>
  <c r="AE2" i="1"/>
  <c r="AF2" i="1" s="1"/>
  <c r="AH2" i="1" s="1"/>
  <c r="AI2" i="1" s="1"/>
  <c r="AE4" i="1"/>
  <c r="AE10" i="1"/>
  <c r="AE15" i="1"/>
  <c r="AE20" i="1"/>
  <c r="AE26" i="1"/>
  <c r="AE31" i="1"/>
  <c r="AE36" i="1"/>
  <c r="AE42" i="1"/>
  <c r="AE47" i="1"/>
  <c r="AE52" i="1"/>
  <c r="AE58" i="1"/>
  <c r="AE63" i="1"/>
  <c r="AE68" i="1"/>
  <c r="AE74" i="1"/>
  <c r="AE79" i="1"/>
  <c r="AE84" i="1"/>
  <c r="AE90" i="1"/>
  <c r="AE95" i="1"/>
  <c r="AE100" i="1"/>
  <c r="AE106" i="1"/>
  <c r="AE111" i="1"/>
  <c r="AE116" i="1"/>
  <c r="AE122" i="1"/>
  <c r="AE127" i="1"/>
  <c r="AE132" i="1"/>
  <c r="AE138" i="1"/>
  <c r="AE143" i="1"/>
  <c r="AE148" i="1"/>
  <c r="AE152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7" i="1"/>
  <c r="AE12" i="1"/>
  <c r="AE18" i="1"/>
  <c r="AE23" i="1"/>
  <c r="AE28" i="1"/>
  <c r="AE34" i="1"/>
  <c r="AE39" i="1"/>
  <c r="AE44" i="1"/>
  <c r="AE50" i="1"/>
  <c r="AE55" i="1"/>
  <c r="AE60" i="1"/>
  <c r="AE66" i="1"/>
  <c r="AE71" i="1"/>
  <c r="AE76" i="1"/>
  <c r="AE82" i="1"/>
  <c r="AE87" i="1"/>
  <c r="AE92" i="1"/>
  <c r="AE98" i="1"/>
  <c r="AE103" i="1"/>
  <c r="AE108" i="1"/>
  <c r="AE114" i="1"/>
  <c r="AE119" i="1"/>
  <c r="AE124" i="1"/>
  <c r="AE130" i="1"/>
  <c r="AE135" i="1"/>
  <c r="AE140" i="1"/>
  <c r="AE146" i="1"/>
  <c r="AE150" i="1"/>
  <c r="AE154" i="1"/>
  <c r="AE158" i="1"/>
  <c r="AE162" i="1"/>
  <c r="AE166" i="1"/>
  <c r="AE170" i="1"/>
  <c r="AF170" i="1" s="1"/>
  <c r="AE174" i="1"/>
  <c r="AE178" i="1"/>
  <c r="AE182" i="1"/>
  <c r="AE186" i="1"/>
  <c r="AE190" i="1"/>
  <c r="AE194" i="1"/>
  <c r="AE198" i="1"/>
  <c r="AE202" i="1"/>
  <c r="AE16" i="1"/>
  <c r="AE38" i="1"/>
  <c r="AE59" i="1"/>
  <c r="AE80" i="1"/>
  <c r="AE102" i="1"/>
  <c r="AE123" i="1"/>
  <c r="AE144" i="1"/>
  <c r="AE161" i="1"/>
  <c r="AE177" i="1"/>
  <c r="AE193" i="1"/>
  <c r="AE22" i="1"/>
  <c r="AE43" i="1"/>
  <c r="AE64" i="1"/>
  <c r="AE86" i="1"/>
  <c r="AE107" i="1"/>
  <c r="AE128" i="1"/>
  <c r="AE149" i="1"/>
  <c r="AE165" i="1"/>
  <c r="AE181" i="1"/>
  <c r="AE197" i="1"/>
  <c r="AE11" i="1"/>
  <c r="AE32" i="1"/>
  <c r="AE54" i="1"/>
  <c r="AE75" i="1"/>
  <c r="AE96" i="1"/>
  <c r="AE118" i="1"/>
  <c r="AE139" i="1"/>
  <c r="AE157" i="1"/>
  <c r="AF157" i="1" s="1"/>
  <c r="AG157" i="1" s="1"/>
  <c r="AJ157" i="1" s="1"/>
  <c r="AE173" i="1"/>
  <c r="AE189" i="1"/>
  <c r="AE48" i="1"/>
  <c r="AE134" i="1"/>
  <c r="AE201" i="1"/>
  <c r="AE70" i="1"/>
  <c r="AE153" i="1"/>
  <c r="AE6" i="1"/>
  <c r="AE91" i="1"/>
  <c r="AE169" i="1"/>
  <c r="AE27" i="1"/>
  <c r="AE112" i="1"/>
  <c r="AE185" i="1"/>
  <c r="T2" i="1"/>
  <c r="T6" i="1"/>
  <c r="AF43" i="1" l="1"/>
  <c r="AH43" i="1" s="1"/>
  <c r="AI43" i="1" s="1"/>
  <c r="AF28" i="1"/>
  <c r="AH28" i="1" s="1"/>
  <c r="AI28" i="1" s="1"/>
  <c r="AF50" i="1"/>
  <c r="AG50" i="1" s="1"/>
  <c r="AJ50" i="1" s="1"/>
  <c r="AF5" i="1"/>
  <c r="AG5" i="1" s="1"/>
  <c r="AJ5" i="1" s="1"/>
  <c r="AF197" i="1"/>
  <c r="AH197" i="1" s="1"/>
  <c r="AI197" i="1" s="1"/>
  <c r="AF133" i="1"/>
  <c r="AG133" i="1" s="1"/>
  <c r="AJ133" i="1" s="1"/>
  <c r="AF31" i="1"/>
  <c r="AG31" i="1" s="1"/>
  <c r="AJ31" i="1" s="1"/>
  <c r="AH157" i="1"/>
  <c r="AI157" i="1" s="1"/>
  <c r="AF103" i="1"/>
  <c r="AG103" i="1" s="1"/>
  <c r="AJ103" i="1" s="1"/>
  <c r="AF94" i="1"/>
  <c r="AG94" i="1" s="1"/>
  <c r="AJ94" i="1" s="1"/>
  <c r="AF93" i="1"/>
  <c r="AH93" i="1" s="1"/>
  <c r="AI93" i="1" s="1"/>
  <c r="AF27" i="1"/>
  <c r="AG27" i="1" s="1"/>
  <c r="AJ27" i="1" s="1"/>
  <c r="AF87" i="1"/>
  <c r="AG87" i="1" s="1"/>
  <c r="AJ87" i="1" s="1"/>
  <c r="AF200" i="1"/>
  <c r="AG200" i="1" s="1"/>
  <c r="AJ200" i="1" s="1"/>
  <c r="AF184" i="1"/>
  <c r="AF120" i="1"/>
  <c r="AF100" i="1"/>
  <c r="AG100" i="1" s="1"/>
  <c r="AJ100" i="1" s="1"/>
  <c r="AF151" i="1"/>
  <c r="AG151" i="1" s="1"/>
  <c r="AJ151" i="1" s="1"/>
  <c r="AF99" i="1"/>
  <c r="AH99" i="1" s="1"/>
  <c r="AI99" i="1" s="1"/>
  <c r="AF44" i="1"/>
  <c r="AG44" i="1" s="1"/>
  <c r="AJ44" i="1" s="1"/>
  <c r="AF97" i="1"/>
  <c r="AH97" i="1" s="1"/>
  <c r="AI97" i="1" s="1"/>
  <c r="AF81" i="1"/>
  <c r="AG81" i="1" s="1"/>
  <c r="AJ81" i="1" s="1"/>
  <c r="AF33" i="1"/>
  <c r="AF17" i="1"/>
  <c r="AG17" i="1" s="1"/>
  <c r="AJ17" i="1" s="1"/>
  <c r="AF132" i="1"/>
  <c r="AH132" i="1" s="1"/>
  <c r="AI132" i="1" s="1"/>
  <c r="AF182" i="1"/>
  <c r="AH182" i="1" s="1"/>
  <c r="AI182" i="1" s="1"/>
  <c r="AF166" i="1"/>
  <c r="AH166" i="1" s="1"/>
  <c r="AI166" i="1" s="1"/>
  <c r="AF176" i="1"/>
  <c r="AG176" i="1" s="1"/>
  <c r="AJ176" i="1" s="1"/>
  <c r="AF68" i="1"/>
  <c r="AG68" i="1" s="1"/>
  <c r="AJ68" i="1" s="1"/>
  <c r="AF159" i="1"/>
  <c r="AH159" i="1" s="1"/>
  <c r="AI159" i="1" s="1"/>
  <c r="AF110" i="1"/>
  <c r="AH110" i="1" s="1"/>
  <c r="AI110" i="1" s="1"/>
  <c r="AF3" i="1"/>
  <c r="AF105" i="1"/>
  <c r="AG105" i="1" s="1"/>
  <c r="AJ105" i="1" s="1"/>
  <c r="AF89" i="1"/>
  <c r="AG89" i="1" s="1"/>
  <c r="AJ89" i="1" s="1"/>
  <c r="AF41" i="1"/>
  <c r="AG41" i="1" s="1"/>
  <c r="AJ41" i="1" s="1"/>
  <c r="AF25" i="1"/>
  <c r="AG25" i="1" s="1"/>
  <c r="AJ25" i="1" s="1"/>
  <c r="AF71" i="1"/>
  <c r="AH71" i="1" s="1"/>
  <c r="AI71" i="1" s="1"/>
  <c r="AH170" i="1"/>
  <c r="AI170" i="1" s="1"/>
  <c r="AG170" i="1"/>
  <c r="AJ170" i="1" s="1"/>
  <c r="AF165" i="1"/>
  <c r="AG165" i="1" s="1"/>
  <c r="AJ165" i="1" s="1"/>
  <c r="AF186" i="1"/>
  <c r="AF196" i="1"/>
  <c r="AF179" i="1"/>
  <c r="AF77" i="1"/>
  <c r="AF60" i="1"/>
  <c r="AG60" i="1" s="1"/>
  <c r="AJ60" i="1" s="1"/>
  <c r="AF18" i="1"/>
  <c r="AF112" i="1"/>
  <c r="AG112" i="1" s="1"/>
  <c r="AJ112" i="1" s="1"/>
  <c r="AF141" i="1"/>
  <c r="AF169" i="1"/>
  <c r="AG169" i="1" s="1"/>
  <c r="AJ169" i="1" s="1"/>
  <c r="AF118" i="1"/>
  <c r="AF52" i="1"/>
  <c r="AF42" i="1"/>
  <c r="AF10" i="1"/>
  <c r="AF119" i="1"/>
  <c r="AG119" i="1" s="1"/>
  <c r="AJ119" i="1" s="1"/>
  <c r="AF34" i="1"/>
  <c r="AH34" i="1" s="1"/>
  <c r="AI34" i="1" s="1"/>
  <c r="AF12" i="1"/>
  <c r="AH12" i="1" s="1"/>
  <c r="AI12" i="1" s="1"/>
  <c r="AF58" i="1"/>
  <c r="AH58" i="1" s="1"/>
  <c r="AI58" i="1" s="1"/>
  <c r="AF9" i="1"/>
  <c r="AG9" i="1" s="1"/>
  <c r="AJ9" i="1" s="1"/>
  <c r="AF75" i="1"/>
  <c r="AF161" i="1"/>
  <c r="AF91" i="1"/>
  <c r="AH91" i="1" s="1"/>
  <c r="AI91" i="1" s="1"/>
  <c r="AF189" i="1"/>
  <c r="AF125" i="1"/>
  <c r="AF149" i="1"/>
  <c r="AG149" i="1" s="1"/>
  <c r="AJ149" i="1" s="1"/>
  <c r="AF80" i="1"/>
  <c r="AG80" i="1" s="1"/>
  <c r="AJ80" i="1" s="1"/>
  <c r="AF194" i="1"/>
  <c r="AF178" i="1"/>
  <c r="AF162" i="1"/>
  <c r="AF146" i="1"/>
  <c r="AF114" i="1"/>
  <c r="AF92" i="1"/>
  <c r="AF188" i="1"/>
  <c r="AF172" i="1"/>
  <c r="AF156" i="1"/>
  <c r="AF124" i="1"/>
  <c r="AF106" i="1"/>
  <c r="AF84" i="1"/>
  <c r="AF187" i="1"/>
  <c r="AF171" i="1"/>
  <c r="AF155" i="1"/>
  <c r="AF123" i="1"/>
  <c r="AF104" i="1"/>
  <c r="AF83" i="1"/>
  <c r="AF51" i="1"/>
  <c r="AG51" i="1" s="1"/>
  <c r="AJ51" i="1" s="1"/>
  <c r="AF64" i="1"/>
  <c r="AH64" i="1" s="1"/>
  <c r="AI64" i="1" s="1"/>
  <c r="AF32" i="1"/>
  <c r="AF54" i="1"/>
  <c r="AH54" i="1" s="1"/>
  <c r="AI54" i="1" s="1"/>
  <c r="AF38" i="1"/>
  <c r="AG38" i="1" s="1"/>
  <c r="AJ38" i="1" s="1"/>
  <c r="AF6" i="1"/>
  <c r="AF101" i="1"/>
  <c r="AF85" i="1"/>
  <c r="AF69" i="1"/>
  <c r="AF53" i="1"/>
  <c r="AF37" i="1"/>
  <c r="AF21" i="1"/>
  <c r="AF107" i="1"/>
  <c r="AG107" i="1" s="1"/>
  <c r="AJ107" i="1" s="1"/>
  <c r="AF144" i="1"/>
  <c r="AH144" i="1" s="1"/>
  <c r="AI144" i="1" s="1"/>
  <c r="AF111" i="1"/>
  <c r="AH111" i="1" s="1"/>
  <c r="AI111" i="1" s="1"/>
  <c r="AF191" i="1"/>
  <c r="AH191" i="1" s="1"/>
  <c r="AI191" i="1" s="1"/>
  <c r="AF35" i="1"/>
  <c r="AG35" i="1" s="1"/>
  <c r="AJ35" i="1" s="1"/>
  <c r="AF117" i="1"/>
  <c r="AF193" i="1"/>
  <c r="AF86" i="1"/>
  <c r="AF185" i="1"/>
  <c r="AH185" i="1" s="1"/>
  <c r="AI185" i="1" s="1"/>
  <c r="AF202" i="1"/>
  <c r="AF154" i="1"/>
  <c r="AF138" i="1"/>
  <c r="AF82" i="1"/>
  <c r="AF180" i="1"/>
  <c r="AF164" i="1"/>
  <c r="AF148" i="1"/>
  <c r="AF116" i="1"/>
  <c r="AF95" i="1"/>
  <c r="AG95" i="1" s="1"/>
  <c r="AJ95" i="1" s="1"/>
  <c r="AF74" i="1"/>
  <c r="AF195" i="1"/>
  <c r="AF163" i="1"/>
  <c r="AF147" i="1"/>
  <c r="AF115" i="1"/>
  <c r="AF72" i="1"/>
  <c r="AF19" i="1"/>
  <c r="AF40" i="1"/>
  <c r="AF8" i="1"/>
  <c r="AF62" i="1"/>
  <c r="AF30" i="1"/>
  <c r="AF109" i="1"/>
  <c r="AG109" i="1" s="1"/>
  <c r="AJ109" i="1" s="1"/>
  <c r="AF61" i="1"/>
  <c r="AF45" i="1"/>
  <c r="AF29" i="1"/>
  <c r="AF13" i="1"/>
  <c r="AH103" i="1"/>
  <c r="AI103" i="1" s="1"/>
  <c r="AF96" i="1"/>
  <c r="AF102" i="1"/>
  <c r="AF181" i="1"/>
  <c r="AF153" i="1"/>
  <c r="AF130" i="1"/>
  <c r="AF15" i="1"/>
  <c r="AF140" i="1"/>
  <c r="AF55" i="1"/>
  <c r="AF139" i="1"/>
  <c r="AF48" i="1"/>
  <c r="AF16" i="1"/>
  <c r="AF22" i="1"/>
  <c r="AG197" i="1"/>
  <c r="AJ197" i="1" s="1"/>
  <c r="AF173" i="1"/>
  <c r="AF174" i="1"/>
  <c r="AF158" i="1"/>
  <c r="AG43" i="1"/>
  <c r="AJ43" i="1" s="1"/>
  <c r="AF129" i="1"/>
  <c r="AF11" i="1"/>
  <c r="AF121" i="1"/>
  <c r="AF122" i="1"/>
  <c r="AF47" i="1"/>
  <c r="AF23" i="1"/>
  <c r="AF131" i="1"/>
  <c r="AF56" i="1"/>
  <c r="AF24" i="1"/>
  <c r="AF46" i="1"/>
  <c r="AF14" i="1"/>
  <c r="AF177" i="1"/>
  <c r="AF59" i="1"/>
  <c r="AF198" i="1"/>
  <c r="AF150" i="1"/>
  <c r="AF134" i="1"/>
  <c r="AF98" i="1"/>
  <c r="AF76" i="1"/>
  <c r="AF192" i="1"/>
  <c r="AF160" i="1"/>
  <c r="AF128" i="1"/>
  <c r="AF90" i="1"/>
  <c r="AF7" i="1"/>
  <c r="AF175" i="1"/>
  <c r="AF143" i="1"/>
  <c r="AF127" i="1"/>
  <c r="AF88" i="1"/>
  <c r="AF67" i="1"/>
  <c r="AF36" i="1"/>
  <c r="AF20" i="1"/>
  <c r="AF4" i="1"/>
  <c r="AF26" i="1"/>
  <c r="AF73" i="1"/>
  <c r="AF57" i="1"/>
  <c r="AF145" i="1"/>
  <c r="AF70" i="1"/>
  <c r="AF201" i="1"/>
  <c r="AF137" i="1"/>
  <c r="AF190" i="1"/>
  <c r="AF142" i="1"/>
  <c r="AF126" i="1"/>
  <c r="AF108" i="1"/>
  <c r="AF63" i="1"/>
  <c r="AF168" i="1"/>
  <c r="AF152" i="1"/>
  <c r="AF136" i="1"/>
  <c r="AF79" i="1"/>
  <c r="AF39" i="1"/>
  <c r="AF199" i="1"/>
  <c r="AF183" i="1"/>
  <c r="AF167" i="1"/>
  <c r="AF135" i="1"/>
  <c r="AF78" i="1"/>
  <c r="AF66" i="1"/>
  <c r="AF113" i="1"/>
  <c r="AF65" i="1"/>
  <c r="AF49" i="1"/>
  <c r="AG2" i="1"/>
  <c r="AJ2" i="1" s="1"/>
  <c r="AG28" i="1" l="1"/>
  <c r="AJ28" i="1" s="1"/>
  <c r="AH5" i="1"/>
  <c r="AI5" i="1" s="1"/>
  <c r="AH50" i="1"/>
  <c r="AI50" i="1" s="1"/>
  <c r="AH149" i="1"/>
  <c r="AI149" i="1" s="1"/>
  <c r="AG97" i="1"/>
  <c r="AJ97" i="1" s="1"/>
  <c r="AH133" i="1"/>
  <c r="AI133" i="1" s="1"/>
  <c r="AH89" i="1"/>
  <c r="AI89" i="1" s="1"/>
  <c r="AG185" i="1"/>
  <c r="AJ185" i="1" s="1"/>
  <c r="AH68" i="1"/>
  <c r="AI68" i="1" s="1"/>
  <c r="AG71" i="1"/>
  <c r="AJ71" i="1" s="1"/>
  <c r="AH107" i="1"/>
  <c r="AI107" i="1" s="1"/>
  <c r="AH27" i="1"/>
  <c r="AI27" i="1" s="1"/>
  <c r="AH17" i="1"/>
  <c r="AI17" i="1" s="1"/>
  <c r="AH25" i="1"/>
  <c r="AI25" i="1" s="1"/>
  <c r="AH60" i="1"/>
  <c r="AI60" i="1" s="1"/>
  <c r="AH44" i="1"/>
  <c r="AI44" i="1" s="1"/>
  <c r="AH94" i="1"/>
  <c r="AI94" i="1" s="1"/>
  <c r="AG34" i="1"/>
  <c r="AJ34" i="1" s="1"/>
  <c r="AH80" i="1"/>
  <c r="AI80" i="1" s="1"/>
  <c r="AH200" i="1"/>
  <c r="AI200" i="1" s="1"/>
  <c r="AG54" i="1"/>
  <c r="AJ54" i="1" s="1"/>
  <c r="AH81" i="1"/>
  <c r="AI81" i="1" s="1"/>
  <c r="AG191" i="1"/>
  <c r="AJ191" i="1" s="1"/>
  <c r="AH151" i="1"/>
  <c r="AI151" i="1" s="1"/>
  <c r="AH31" i="1"/>
  <c r="AI31" i="1" s="1"/>
  <c r="AG182" i="1"/>
  <c r="AJ182" i="1" s="1"/>
  <c r="AG93" i="1"/>
  <c r="AJ93" i="1" s="1"/>
  <c r="AG159" i="1"/>
  <c r="AJ159" i="1" s="1"/>
  <c r="AH100" i="1"/>
  <c r="AI100" i="1" s="1"/>
  <c r="AH38" i="1"/>
  <c r="AI38" i="1" s="1"/>
  <c r="AG12" i="1"/>
  <c r="AJ12" i="1" s="1"/>
  <c r="AH105" i="1"/>
  <c r="AI105" i="1" s="1"/>
  <c r="AG110" i="1"/>
  <c r="AJ110" i="1" s="1"/>
  <c r="AG99" i="1"/>
  <c r="AJ99" i="1" s="1"/>
  <c r="AH35" i="1"/>
  <c r="AI35" i="1" s="1"/>
  <c r="AH51" i="1"/>
  <c r="AI51" i="1" s="1"/>
  <c r="AG132" i="1"/>
  <c r="AJ132" i="1" s="1"/>
  <c r="AG33" i="1"/>
  <c r="AJ33" i="1" s="1"/>
  <c r="AH33" i="1"/>
  <c r="AI33" i="1" s="1"/>
  <c r="AH184" i="1"/>
  <c r="AI184" i="1" s="1"/>
  <c r="AG184" i="1"/>
  <c r="AJ184" i="1" s="1"/>
  <c r="AH41" i="1"/>
  <c r="AI41" i="1" s="1"/>
  <c r="AG64" i="1"/>
  <c r="AJ64" i="1" s="1"/>
  <c r="AH169" i="1"/>
  <c r="AI169" i="1" s="1"/>
  <c r="AH176" i="1"/>
  <c r="AI176" i="1" s="1"/>
  <c r="AG58" i="1"/>
  <c r="AJ58" i="1" s="1"/>
  <c r="AH87" i="1"/>
  <c r="AI87" i="1" s="1"/>
  <c r="AG166" i="1"/>
  <c r="AJ166" i="1" s="1"/>
  <c r="AG3" i="1"/>
  <c r="AJ3" i="1" s="1"/>
  <c r="AH3" i="1"/>
  <c r="AI3" i="1" s="1"/>
  <c r="AG120" i="1"/>
  <c r="AJ120" i="1" s="1"/>
  <c r="AH120" i="1"/>
  <c r="AI120" i="1" s="1"/>
  <c r="AH95" i="1"/>
  <c r="AI95" i="1" s="1"/>
  <c r="AG91" i="1"/>
  <c r="AJ91" i="1" s="1"/>
  <c r="AH109" i="1"/>
  <c r="AI109" i="1" s="1"/>
  <c r="AG144" i="1"/>
  <c r="AJ144" i="1" s="1"/>
  <c r="AH61" i="1"/>
  <c r="AI61" i="1" s="1"/>
  <c r="AG61" i="1"/>
  <c r="AJ61" i="1" s="1"/>
  <c r="AH115" i="1"/>
  <c r="AI115" i="1" s="1"/>
  <c r="AG115" i="1"/>
  <c r="AJ115" i="1" s="1"/>
  <c r="AG164" i="1"/>
  <c r="AJ164" i="1" s="1"/>
  <c r="AH164" i="1"/>
  <c r="AI164" i="1" s="1"/>
  <c r="AH193" i="1"/>
  <c r="AI193" i="1" s="1"/>
  <c r="AG193" i="1"/>
  <c r="AJ193" i="1" s="1"/>
  <c r="AH37" i="1"/>
  <c r="AI37" i="1" s="1"/>
  <c r="AG37" i="1"/>
  <c r="AJ37" i="1" s="1"/>
  <c r="AH32" i="1"/>
  <c r="AI32" i="1" s="1"/>
  <c r="AG32" i="1"/>
  <c r="AJ32" i="1" s="1"/>
  <c r="AG187" i="1"/>
  <c r="AJ187" i="1" s="1"/>
  <c r="AH187" i="1"/>
  <c r="AI187" i="1" s="1"/>
  <c r="AG114" i="1"/>
  <c r="AJ114" i="1" s="1"/>
  <c r="AH114" i="1"/>
  <c r="AI114" i="1" s="1"/>
  <c r="AH189" i="1"/>
  <c r="AI189" i="1" s="1"/>
  <c r="AG189" i="1"/>
  <c r="AJ189" i="1" s="1"/>
  <c r="AG141" i="1"/>
  <c r="AJ141" i="1" s="1"/>
  <c r="AH141" i="1"/>
  <c r="AI141" i="1" s="1"/>
  <c r="AG179" i="1"/>
  <c r="AJ179" i="1" s="1"/>
  <c r="AH179" i="1"/>
  <c r="AI179" i="1" s="1"/>
  <c r="AG111" i="1"/>
  <c r="AJ111" i="1" s="1"/>
  <c r="AH9" i="1"/>
  <c r="AI9" i="1" s="1"/>
  <c r="AH147" i="1"/>
  <c r="AI147" i="1" s="1"/>
  <c r="AG147" i="1"/>
  <c r="AJ147" i="1" s="1"/>
  <c r="AG180" i="1"/>
  <c r="AJ180" i="1" s="1"/>
  <c r="AH180" i="1"/>
  <c r="AI180" i="1" s="1"/>
  <c r="AG117" i="1"/>
  <c r="AJ117" i="1" s="1"/>
  <c r="AH117" i="1"/>
  <c r="AI117" i="1" s="1"/>
  <c r="AH6" i="1"/>
  <c r="AI6" i="1" s="1"/>
  <c r="AG6" i="1"/>
  <c r="AJ6" i="1" s="1"/>
  <c r="AH123" i="1"/>
  <c r="AI123" i="1" s="1"/>
  <c r="AG123" i="1"/>
  <c r="AJ123" i="1" s="1"/>
  <c r="AG172" i="1"/>
  <c r="AJ172" i="1" s="1"/>
  <c r="AH172" i="1"/>
  <c r="AI172" i="1" s="1"/>
  <c r="AH18" i="1"/>
  <c r="AI18" i="1" s="1"/>
  <c r="AG18" i="1"/>
  <c r="AJ18" i="1" s="1"/>
  <c r="AH119" i="1"/>
  <c r="AI119" i="1" s="1"/>
  <c r="AH112" i="1"/>
  <c r="AI112" i="1" s="1"/>
  <c r="AG29" i="1"/>
  <c r="AJ29" i="1" s="1"/>
  <c r="AH29" i="1"/>
  <c r="AI29" i="1" s="1"/>
  <c r="AH30" i="1"/>
  <c r="AI30" i="1" s="1"/>
  <c r="AG30" i="1"/>
  <c r="AJ30" i="1" s="1"/>
  <c r="AH19" i="1"/>
  <c r="AI19" i="1" s="1"/>
  <c r="AG19" i="1"/>
  <c r="AJ19" i="1" s="1"/>
  <c r="AG163" i="1"/>
  <c r="AJ163" i="1" s="1"/>
  <c r="AH163" i="1"/>
  <c r="AI163" i="1" s="1"/>
  <c r="AG116" i="1"/>
  <c r="AJ116" i="1" s="1"/>
  <c r="AH116" i="1"/>
  <c r="AI116" i="1" s="1"/>
  <c r="AG82" i="1"/>
  <c r="AJ82" i="1" s="1"/>
  <c r="AH82" i="1"/>
  <c r="AI82" i="1" s="1"/>
  <c r="AH69" i="1"/>
  <c r="AI69" i="1" s="1"/>
  <c r="AG69" i="1"/>
  <c r="AJ69" i="1" s="1"/>
  <c r="AG155" i="1"/>
  <c r="AJ155" i="1" s="1"/>
  <c r="AH155" i="1"/>
  <c r="AI155" i="1" s="1"/>
  <c r="AH106" i="1"/>
  <c r="AI106" i="1" s="1"/>
  <c r="AG106" i="1"/>
  <c r="AJ106" i="1" s="1"/>
  <c r="AG188" i="1"/>
  <c r="AJ188" i="1" s="1"/>
  <c r="AH188" i="1"/>
  <c r="AI188" i="1" s="1"/>
  <c r="AH162" i="1"/>
  <c r="AI162" i="1" s="1"/>
  <c r="AG162" i="1"/>
  <c r="AJ162" i="1" s="1"/>
  <c r="AG161" i="1"/>
  <c r="AJ161" i="1" s="1"/>
  <c r="AH161" i="1"/>
  <c r="AI161" i="1" s="1"/>
  <c r="AG118" i="1"/>
  <c r="AJ118" i="1" s="1"/>
  <c r="AH118" i="1"/>
  <c r="AI118" i="1" s="1"/>
  <c r="AH8" i="1"/>
  <c r="AI8" i="1" s="1"/>
  <c r="AG8" i="1"/>
  <c r="AJ8" i="1" s="1"/>
  <c r="AH74" i="1"/>
  <c r="AI74" i="1" s="1"/>
  <c r="AG74" i="1"/>
  <c r="AJ74" i="1" s="1"/>
  <c r="AH154" i="1"/>
  <c r="AI154" i="1" s="1"/>
  <c r="AG154" i="1"/>
  <c r="AJ154" i="1" s="1"/>
  <c r="AG101" i="1"/>
  <c r="AJ101" i="1" s="1"/>
  <c r="AH101" i="1"/>
  <c r="AI101" i="1" s="1"/>
  <c r="AH104" i="1"/>
  <c r="AI104" i="1" s="1"/>
  <c r="AG104" i="1"/>
  <c r="AJ104" i="1" s="1"/>
  <c r="AG156" i="1"/>
  <c r="AJ156" i="1" s="1"/>
  <c r="AH156" i="1"/>
  <c r="AI156" i="1" s="1"/>
  <c r="AG194" i="1"/>
  <c r="AJ194" i="1" s="1"/>
  <c r="AH194" i="1"/>
  <c r="AI194" i="1" s="1"/>
  <c r="AG42" i="1"/>
  <c r="AJ42" i="1" s="1"/>
  <c r="AH42" i="1"/>
  <c r="AI42" i="1" s="1"/>
  <c r="AH186" i="1"/>
  <c r="AI186" i="1" s="1"/>
  <c r="AG186" i="1"/>
  <c r="AJ186" i="1" s="1"/>
  <c r="AH13" i="1"/>
  <c r="AI13" i="1" s="1"/>
  <c r="AG13" i="1"/>
  <c r="AJ13" i="1" s="1"/>
  <c r="AG40" i="1"/>
  <c r="AJ40" i="1" s="1"/>
  <c r="AH40" i="1"/>
  <c r="AI40" i="1" s="1"/>
  <c r="AG202" i="1"/>
  <c r="AJ202" i="1" s="1"/>
  <c r="AH202" i="1"/>
  <c r="AI202" i="1" s="1"/>
  <c r="AG53" i="1"/>
  <c r="AJ53" i="1" s="1"/>
  <c r="AH53" i="1"/>
  <c r="AI53" i="1" s="1"/>
  <c r="AH84" i="1"/>
  <c r="AI84" i="1" s="1"/>
  <c r="AG84" i="1"/>
  <c r="AJ84" i="1" s="1"/>
  <c r="AG146" i="1"/>
  <c r="AJ146" i="1" s="1"/>
  <c r="AH146" i="1"/>
  <c r="AI146" i="1" s="1"/>
  <c r="AH52" i="1"/>
  <c r="AI52" i="1" s="1"/>
  <c r="AG52" i="1"/>
  <c r="AJ52" i="1" s="1"/>
  <c r="AH165" i="1"/>
  <c r="AI165" i="1" s="1"/>
  <c r="AH45" i="1"/>
  <c r="AI45" i="1" s="1"/>
  <c r="AG45" i="1"/>
  <c r="AJ45" i="1" s="1"/>
  <c r="AH62" i="1"/>
  <c r="AI62" i="1" s="1"/>
  <c r="AG62" i="1"/>
  <c r="AJ62" i="1" s="1"/>
  <c r="AH72" i="1"/>
  <c r="AI72" i="1" s="1"/>
  <c r="AG72" i="1"/>
  <c r="AJ72" i="1" s="1"/>
  <c r="AH195" i="1"/>
  <c r="AI195" i="1" s="1"/>
  <c r="AG195" i="1"/>
  <c r="AJ195" i="1" s="1"/>
  <c r="AH148" i="1"/>
  <c r="AI148" i="1" s="1"/>
  <c r="AG148" i="1"/>
  <c r="AJ148" i="1" s="1"/>
  <c r="AH138" i="1"/>
  <c r="AI138" i="1" s="1"/>
  <c r="AG138" i="1"/>
  <c r="AJ138" i="1" s="1"/>
  <c r="AH86" i="1"/>
  <c r="AI86" i="1" s="1"/>
  <c r="AG86" i="1"/>
  <c r="AJ86" i="1" s="1"/>
  <c r="AH21" i="1"/>
  <c r="AI21" i="1" s="1"/>
  <c r="AG21" i="1"/>
  <c r="AJ21" i="1" s="1"/>
  <c r="AH85" i="1"/>
  <c r="AI85" i="1" s="1"/>
  <c r="AG85" i="1"/>
  <c r="AJ85" i="1" s="1"/>
  <c r="AH83" i="1"/>
  <c r="AI83" i="1" s="1"/>
  <c r="AG83" i="1"/>
  <c r="AJ83" i="1" s="1"/>
  <c r="AG171" i="1"/>
  <c r="AJ171" i="1" s="1"/>
  <c r="AH171" i="1"/>
  <c r="AI171" i="1" s="1"/>
  <c r="AG124" i="1"/>
  <c r="AJ124" i="1" s="1"/>
  <c r="AH124" i="1"/>
  <c r="AI124" i="1" s="1"/>
  <c r="AH92" i="1"/>
  <c r="AI92" i="1" s="1"/>
  <c r="AG92" i="1"/>
  <c r="AJ92" i="1" s="1"/>
  <c r="AG178" i="1"/>
  <c r="AJ178" i="1" s="1"/>
  <c r="AH178" i="1"/>
  <c r="AI178" i="1" s="1"/>
  <c r="AH125" i="1"/>
  <c r="AI125" i="1" s="1"/>
  <c r="AG125" i="1"/>
  <c r="AJ125" i="1" s="1"/>
  <c r="AG75" i="1"/>
  <c r="AJ75" i="1" s="1"/>
  <c r="AH75" i="1"/>
  <c r="AI75" i="1" s="1"/>
  <c r="AG10" i="1"/>
  <c r="AJ10" i="1" s="1"/>
  <c r="AH10" i="1"/>
  <c r="AI10" i="1" s="1"/>
  <c r="AG77" i="1"/>
  <c r="AJ77" i="1" s="1"/>
  <c r="AH77" i="1"/>
  <c r="AI77" i="1" s="1"/>
  <c r="AG196" i="1"/>
  <c r="AJ196" i="1" s="1"/>
  <c r="AH196" i="1"/>
  <c r="AI196" i="1" s="1"/>
  <c r="AH49" i="1"/>
  <c r="AI49" i="1" s="1"/>
  <c r="AG49" i="1"/>
  <c r="AJ49" i="1" s="1"/>
  <c r="AH199" i="1"/>
  <c r="AI199" i="1" s="1"/>
  <c r="AG199" i="1"/>
  <c r="AJ199" i="1" s="1"/>
  <c r="AG126" i="1"/>
  <c r="AJ126" i="1" s="1"/>
  <c r="AH126" i="1"/>
  <c r="AI126" i="1" s="1"/>
  <c r="AH73" i="1"/>
  <c r="AI73" i="1" s="1"/>
  <c r="AG73" i="1"/>
  <c r="AJ73" i="1" s="1"/>
  <c r="AG143" i="1"/>
  <c r="AJ143" i="1" s="1"/>
  <c r="AH143" i="1"/>
  <c r="AI143" i="1" s="1"/>
  <c r="AG98" i="1"/>
  <c r="AJ98" i="1" s="1"/>
  <c r="AH98" i="1"/>
  <c r="AI98" i="1" s="1"/>
  <c r="AG113" i="1"/>
  <c r="AJ113" i="1" s="1"/>
  <c r="AH113" i="1"/>
  <c r="AI113" i="1" s="1"/>
  <c r="AG167" i="1"/>
  <c r="AJ167" i="1" s="1"/>
  <c r="AH167" i="1"/>
  <c r="AI167" i="1" s="1"/>
  <c r="AG79" i="1"/>
  <c r="AJ79" i="1" s="1"/>
  <c r="AH79" i="1"/>
  <c r="AI79" i="1" s="1"/>
  <c r="AH63" i="1"/>
  <c r="AI63" i="1" s="1"/>
  <c r="AG63" i="1"/>
  <c r="AJ63" i="1" s="1"/>
  <c r="AH190" i="1"/>
  <c r="AI190" i="1" s="1"/>
  <c r="AG190" i="1"/>
  <c r="AJ190" i="1" s="1"/>
  <c r="AG145" i="1"/>
  <c r="AJ145" i="1" s="1"/>
  <c r="AH145" i="1"/>
  <c r="AI145" i="1" s="1"/>
  <c r="AG4" i="1"/>
  <c r="AJ4" i="1" s="1"/>
  <c r="AH4" i="1"/>
  <c r="AI4" i="1" s="1"/>
  <c r="AH88" i="1"/>
  <c r="AI88" i="1" s="1"/>
  <c r="AG88" i="1"/>
  <c r="AJ88" i="1" s="1"/>
  <c r="AG7" i="1"/>
  <c r="AJ7" i="1" s="1"/>
  <c r="AH7" i="1"/>
  <c r="AI7" i="1" s="1"/>
  <c r="AG192" i="1"/>
  <c r="AJ192" i="1" s="1"/>
  <c r="AH192" i="1"/>
  <c r="AI192" i="1" s="1"/>
  <c r="AH150" i="1"/>
  <c r="AI150" i="1" s="1"/>
  <c r="AG150" i="1"/>
  <c r="AJ150" i="1" s="1"/>
  <c r="AG14" i="1"/>
  <c r="AJ14" i="1" s="1"/>
  <c r="AH14" i="1"/>
  <c r="AI14" i="1" s="1"/>
  <c r="AH131" i="1"/>
  <c r="AI131" i="1" s="1"/>
  <c r="AG131" i="1"/>
  <c r="AJ131" i="1" s="1"/>
  <c r="AH121" i="1"/>
  <c r="AI121" i="1" s="1"/>
  <c r="AG121" i="1"/>
  <c r="AJ121" i="1" s="1"/>
  <c r="AG173" i="1"/>
  <c r="AJ173" i="1" s="1"/>
  <c r="AH173" i="1"/>
  <c r="AI173" i="1" s="1"/>
  <c r="AH22" i="1"/>
  <c r="AI22" i="1" s="1"/>
  <c r="AG22" i="1"/>
  <c r="AJ22" i="1" s="1"/>
  <c r="AH55" i="1"/>
  <c r="AI55" i="1" s="1"/>
  <c r="AG55" i="1"/>
  <c r="AJ55" i="1" s="1"/>
  <c r="AH153" i="1"/>
  <c r="AI153" i="1" s="1"/>
  <c r="AG153" i="1"/>
  <c r="AJ153" i="1" s="1"/>
  <c r="AH66" i="1"/>
  <c r="AI66" i="1" s="1"/>
  <c r="AG66" i="1"/>
  <c r="AJ66" i="1" s="1"/>
  <c r="AG183" i="1"/>
  <c r="B45" i="1" s="1"/>
  <c r="B46" i="1" s="1"/>
  <c r="AH183" i="1"/>
  <c r="AI183" i="1" s="1"/>
  <c r="AH136" i="1"/>
  <c r="AI136" i="1" s="1"/>
  <c r="AG136" i="1"/>
  <c r="AJ136" i="1" s="1"/>
  <c r="AG108" i="1"/>
  <c r="AJ108" i="1" s="1"/>
  <c r="AH108" i="1"/>
  <c r="AI108" i="1" s="1"/>
  <c r="AG137" i="1"/>
  <c r="AJ137" i="1" s="1"/>
  <c r="AH137" i="1"/>
  <c r="AI137" i="1" s="1"/>
  <c r="AG57" i="1"/>
  <c r="AJ57" i="1" s="1"/>
  <c r="AH57" i="1"/>
  <c r="AI57" i="1" s="1"/>
  <c r="AG20" i="1"/>
  <c r="AJ20" i="1" s="1"/>
  <c r="AH20" i="1"/>
  <c r="AI20" i="1" s="1"/>
  <c r="AH127" i="1"/>
  <c r="AI127" i="1" s="1"/>
  <c r="AG127" i="1"/>
  <c r="AJ127" i="1" s="1"/>
  <c r="AG90" i="1"/>
  <c r="AJ90" i="1" s="1"/>
  <c r="AH90" i="1"/>
  <c r="AI90" i="1" s="1"/>
  <c r="AH76" i="1"/>
  <c r="AI76" i="1" s="1"/>
  <c r="AG76" i="1"/>
  <c r="AJ76" i="1" s="1"/>
  <c r="AG198" i="1"/>
  <c r="AJ198" i="1" s="1"/>
  <c r="AH198" i="1"/>
  <c r="AI198" i="1" s="1"/>
  <c r="AG46" i="1"/>
  <c r="AJ46" i="1" s="1"/>
  <c r="AH46" i="1"/>
  <c r="AI46" i="1" s="1"/>
  <c r="AH23" i="1"/>
  <c r="AI23" i="1" s="1"/>
  <c r="AG23" i="1"/>
  <c r="AJ23" i="1" s="1"/>
  <c r="AG11" i="1"/>
  <c r="AJ11" i="1" s="1"/>
  <c r="AH11" i="1"/>
  <c r="AI11" i="1" s="1"/>
  <c r="AG16" i="1"/>
  <c r="AJ16" i="1" s="1"/>
  <c r="AH16" i="1"/>
  <c r="AI16" i="1" s="1"/>
  <c r="AH140" i="1"/>
  <c r="AI140" i="1" s="1"/>
  <c r="AG140" i="1"/>
  <c r="AJ140" i="1" s="1"/>
  <c r="AH181" i="1"/>
  <c r="AI181" i="1" s="1"/>
  <c r="AG181" i="1"/>
  <c r="AJ181" i="1" s="1"/>
  <c r="AH78" i="1"/>
  <c r="AI78" i="1" s="1"/>
  <c r="AG78" i="1"/>
  <c r="AJ78" i="1" s="1"/>
  <c r="AG152" i="1"/>
  <c r="AJ152" i="1" s="1"/>
  <c r="AH152" i="1"/>
  <c r="AI152" i="1" s="1"/>
  <c r="AH201" i="1"/>
  <c r="AI201" i="1" s="1"/>
  <c r="AG201" i="1"/>
  <c r="AJ201" i="1" s="1"/>
  <c r="AH36" i="1"/>
  <c r="AI36" i="1" s="1"/>
  <c r="AG36" i="1"/>
  <c r="AJ36" i="1" s="1"/>
  <c r="AG128" i="1"/>
  <c r="AJ128" i="1" s="1"/>
  <c r="AH128" i="1"/>
  <c r="AI128" i="1" s="1"/>
  <c r="AH59" i="1"/>
  <c r="AI59" i="1" s="1"/>
  <c r="AG59" i="1"/>
  <c r="AJ59" i="1" s="1"/>
  <c r="AH47" i="1"/>
  <c r="AI47" i="1" s="1"/>
  <c r="AG47" i="1"/>
  <c r="AJ47" i="1" s="1"/>
  <c r="AH129" i="1"/>
  <c r="AI129" i="1" s="1"/>
  <c r="AG129" i="1"/>
  <c r="AJ129" i="1" s="1"/>
  <c r="AH158" i="1"/>
  <c r="AI158" i="1" s="1"/>
  <c r="AG158" i="1"/>
  <c r="AJ158" i="1" s="1"/>
  <c r="AG48" i="1"/>
  <c r="AJ48" i="1" s="1"/>
  <c r="AH48" i="1"/>
  <c r="AI48" i="1" s="1"/>
  <c r="AG15" i="1"/>
  <c r="AJ15" i="1" s="1"/>
  <c r="AH15" i="1"/>
  <c r="AI15" i="1" s="1"/>
  <c r="AH102" i="1"/>
  <c r="AI102" i="1" s="1"/>
  <c r="AG102" i="1"/>
  <c r="AJ102" i="1" s="1"/>
  <c r="AH65" i="1"/>
  <c r="AI65" i="1" s="1"/>
  <c r="AG65" i="1"/>
  <c r="AJ65" i="1" s="1"/>
  <c r="AG135" i="1"/>
  <c r="AJ135" i="1" s="1"/>
  <c r="AH135" i="1"/>
  <c r="AI135" i="1" s="1"/>
  <c r="AG39" i="1"/>
  <c r="AJ39" i="1" s="1"/>
  <c r="AH39" i="1"/>
  <c r="AI39" i="1" s="1"/>
  <c r="AH168" i="1"/>
  <c r="AI168" i="1" s="1"/>
  <c r="AG168" i="1"/>
  <c r="AJ168" i="1" s="1"/>
  <c r="AH142" i="1"/>
  <c r="AI142" i="1" s="1"/>
  <c r="AG142" i="1"/>
  <c r="AJ142" i="1" s="1"/>
  <c r="AH70" i="1"/>
  <c r="AI70" i="1" s="1"/>
  <c r="AG70" i="1"/>
  <c r="AJ70" i="1" s="1"/>
  <c r="AH26" i="1"/>
  <c r="AI26" i="1" s="1"/>
  <c r="AG26" i="1"/>
  <c r="AJ26" i="1" s="1"/>
  <c r="AH67" i="1"/>
  <c r="AI67" i="1" s="1"/>
  <c r="AG67" i="1"/>
  <c r="AJ67" i="1" s="1"/>
  <c r="AH175" i="1"/>
  <c r="AI175" i="1" s="1"/>
  <c r="AG175" i="1"/>
  <c r="AJ175" i="1" s="1"/>
  <c r="AH160" i="1"/>
  <c r="AI160" i="1" s="1"/>
  <c r="AG160" i="1"/>
  <c r="AJ160" i="1" s="1"/>
  <c r="AH134" i="1"/>
  <c r="AI134" i="1" s="1"/>
  <c r="AG134" i="1"/>
  <c r="AJ134" i="1" s="1"/>
  <c r="AH177" i="1"/>
  <c r="AI177" i="1" s="1"/>
  <c r="AG177" i="1"/>
  <c r="AJ177" i="1" s="1"/>
  <c r="AH56" i="1"/>
  <c r="AI56" i="1" s="1"/>
  <c r="AG56" i="1"/>
  <c r="AJ56" i="1" s="1"/>
  <c r="AH122" i="1"/>
  <c r="AI122" i="1" s="1"/>
  <c r="AG122" i="1"/>
  <c r="AJ122" i="1" s="1"/>
  <c r="AH174" i="1"/>
  <c r="AI174" i="1" s="1"/>
  <c r="AG174" i="1"/>
  <c r="AJ174" i="1" s="1"/>
  <c r="AH139" i="1"/>
  <c r="AI139" i="1" s="1"/>
  <c r="AG139" i="1"/>
  <c r="AJ139" i="1" s="1"/>
  <c r="AH130" i="1"/>
  <c r="AI130" i="1" s="1"/>
  <c r="AG130" i="1"/>
  <c r="AJ130" i="1" s="1"/>
  <c r="AH96" i="1"/>
  <c r="AI96" i="1" s="1"/>
  <c r="AG96" i="1"/>
  <c r="AJ96" i="1" s="1"/>
  <c r="AH24" i="1"/>
  <c r="AI24" i="1" s="1"/>
  <c r="AG24" i="1"/>
  <c r="AJ24" i="1" s="1"/>
  <c r="B48" i="1" l="1"/>
  <c r="AJ183" i="1"/>
  <c r="B47" i="1" l="1"/>
  <c r="G19" i="1"/>
  <c r="G18" i="1" l="1"/>
  <c r="G17" i="1" s="1"/>
  <c r="T23" i="1" s="1"/>
  <c r="AL2" i="1" s="1"/>
  <c r="G20" i="1"/>
  <c r="T22" i="1" s="1"/>
  <c r="T24" i="1"/>
  <c r="T25" i="1"/>
  <c r="G16" i="1"/>
  <c r="T21" i="1" s="1"/>
  <c r="AL177" i="1" l="1"/>
  <c r="AL155" i="1"/>
  <c r="AL9" i="1"/>
  <c r="AL109" i="1"/>
  <c r="AL110" i="1"/>
  <c r="AL78" i="1"/>
  <c r="AL4" i="1"/>
  <c r="AL129" i="1"/>
  <c r="AL5" i="1"/>
  <c r="AL61" i="1"/>
  <c r="AL47" i="1"/>
  <c r="AL160" i="1"/>
  <c r="AL14" i="1"/>
  <c r="AL57" i="1"/>
  <c r="AL132" i="1"/>
  <c r="AL46" i="1"/>
  <c r="AL187" i="1"/>
  <c r="AL102" i="1"/>
  <c r="AL97" i="1"/>
  <c r="AL130" i="1"/>
  <c r="AL143" i="1"/>
  <c r="AL16" i="1"/>
  <c r="AL77" i="1"/>
  <c r="AL131" i="1"/>
  <c r="AL191" i="1"/>
  <c r="AL133" i="1"/>
  <c r="AL170" i="1"/>
  <c r="AL141" i="1"/>
  <c r="AL67" i="1"/>
  <c r="AL140" i="1"/>
  <c r="AL44" i="1"/>
  <c r="AL36" i="1"/>
  <c r="AL60" i="1"/>
  <c r="AL171" i="1"/>
  <c r="AL70" i="1"/>
  <c r="AL124" i="1"/>
  <c r="AL19" i="1"/>
  <c r="AL101" i="1"/>
  <c r="AL192" i="1"/>
  <c r="AL71" i="1"/>
  <c r="AL166" i="1"/>
  <c r="AL108" i="1"/>
  <c r="AL182" i="1"/>
  <c r="AL100" i="1"/>
  <c r="AL198" i="1"/>
  <c r="AL136" i="1"/>
  <c r="AL121" i="1"/>
  <c r="AL144" i="1"/>
  <c r="AL8" i="1"/>
  <c r="AL64" i="1"/>
  <c r="AL68" i="1"/>
  <c r="AL123" i="1"/>
  <c r="AL99" i="1"/>
  <c r="AL74" i="1"/>
  <c r="AL13" i="1"/>
  <c r="AL146" i="1"/>
  <c r="AL12" i="1"/>
  <c r="AL50" i="1"/>
  <c r="AL83" i="1"/>
  <c r="AL85" i="1"/>
  <c r="AL94" i="1"/>
  <c r="AL185" i="1"/>
  <c r="AL95" i="1"/>
  <c r="AL117" i="1"/>
  <c r="AL28" i="1"/>
  <c r="AL75" i="1"/>
  <c r="AL178" i="1"/>
  <c r="AL154" i="1"/>
  <c r="AL20" i="1"/>
  <c r="AL51" i="1"/>
  <c r="AL112" i="1"/>
  <c r="AL194" i="1"/>
  <c r="AL52" i="1"/>
  <c r="AL120" i="1"/>
  <c r="AL186" i="1"/>
  <c r="AL179" i="1"/>
  <c r="AL164" i="1"/>
  <c r="AL21" i="1"/>
  <c r="AL49" i="1"/>
  <c r="AL119" i="1"/>
  <c r="AL39" i="1"/>
  <c r="AL62" i="1"/>
  <c r="AL150" i="1"/>
  <c r="AL165" i="1"/>
  <c r="AL169" i="1"/>
  <c r="AL31" i="1"/>
  <c r="AL73" i="1"/>
  <c r="AL195" i="1"/>
  <c r="AL202" i="1"/>
  <c r="AL91" i="1"/>
  <c r="AL153" i="1"/>
  <c r="AL34" i="1"/>
  <c r="AL156" i="1"/>
  <c r="AL11" i="1"/>
  <c r="AL41" i="1"/>
  <c r="AL114" i="1"/>
  <c r="AL135" i="1"/>
  <c r="AL176" i="1"/>
  <c r="AL172" i="1"/>
  <c r="AL42" i="1"/>
  <c r="AL32" i="1"/>
  <c r="AL81" i="1"/>
  <c r="AL76" i="1"/>
  <c r="AL200" i="1"/>
  <c r="AL148" i="1"/>
  <c r="AL54" i="1"/>
  <c r="AL196" i="1"/>
  <c r="AL149" i="1"/>
  <c r="AL167" i="1"/>
  <c r="AL199" i="1"/>
  <c r="AL82" i="1"/>
  <c r="AL151" i="1"/>
  <c r="AL188" i="1"/>
  <c r="AL55" i="1"/>
  <c r="AL125" i="1"/>
  <c r="AL162" i="1"/>
  <c r="AL72" i="1"/>
  <c r="AL115" i="1"/>
  <c r="AL90" i="1"/>
  <c r="AL201" i="1"/>
  <c r="AL80" i="1"/>
  <c r="AL93" i="1"/>
  <c r="AL189" i="1"/>
  <c r="AL122" i="1"/>
  <c r="AL17" i="1"/>
  <c r="AL197" i="1"/>
  <c r="AL128" i="1"/>
  <c r="AL15" i="1"/>
  <c r="AL3" i="1"/>
  <c r="AL152" i="1"/>
  <c r="AL87" i="1"/>
  <c r="AL137" i="1"/>
  <c r="AL159" i="1"/>
  <c r="AL29" i="1"/>
  <c r="AL127" i="1"/>
  <c r="AL107" i="1"/>
  <c r="AL10" i="1"/>
  <c r="AL105" i="1"/>
  <c r="AL6" i="1"/>
  <c r="AL183" i="1"/>
  <c r="AL98" i="1"/>
  <c r="AL113" i="1"/>
  <c r="AL65" i="1"/>
  <c r="AL134" i="1"/>
  <c r="AL43" i="1"/>
  <c r="AL25" i="1"/>
  <c r="AL142" i="1"/>
  <c r="AL180" i="1"/>
  <c r="AL163" i="1"/>
  <c r="AL24" i="1"/>
  <c r="AL23" i="1"/>
  <c r="AL84" i="1"/>
  <c r="AL158" i="1"/>
  <c r="AL56" i="1"/>
  <c r="AL86" i="1"/>
  <c r="AL173" i="1"/>
  <c r="AL193" i="1"/>
  <c r="AL79" i="1"/>
  <c r="AL118" i="1"/>
  <c r="AL7" i="1"/>
  <c r="AL58" i="1"/>
  <c r="AL181" i="1"/>
  <c r="AL35" i="1"/>
  <c r="AL96" i="1"/>
  <c r="AL22" i="1"/>
  <c r="AL53" i="1"/>
  <c r="AL147" i="1"/>
  <c r="AL37" i="1"/>
  <c r="AL26" i="1"/>
  <c r="AL30" i="1"/>
  <c r="AL145" i="1"/>
  <c r="AL111" i="1"/>
  <c r="AL45" i="1"/>
  <c r="AL48" i="1"/>
  <c r="AL168" i="1"/>
  <c r="AL106" i="1"/>
  <c r="AL59" i="1"/>
  <c r="AL174" i="1"/>
  <c r="AL126" i="1"/>
  <c r="AL38" i="1"/>
  <c r="AL27" i="1"/>
  <c r="AL66" i="1"/>
  <c r="AL104" i="1"/>
  <c r="AL18" i="1"/>
  <c r="AL33" i="1"/>
  <c r="AL138" i="1"/>
  <c r="AL103" i="1"/>
  <c r="AL89" i="1"/>
  <c r="AL92" i="1"/>
  <c r="AL175" i="1"/>
  <c r="AL40" i="1"/>
  <c r="AL88" i="1"/>
  <c r="AL116" i="1"/>
  <c r="AL161" i="1"/>
  <c r="AL190" i="1"/>
  <c r="AL63" i="1"/>
  <c r="AL157" i="1"/>
  <c r="AL184" i="1"/>
  <c r="AL139" i="1"/>
  <c r="AL69" i="1"/>
  <c r="AM3" i="1"/>
  <c r="AN3" i="1" s="1"/>
  <c r="AO3" i="1" s="1"/>
  <c r="AR3" i="1" s="1"/>
  <c r="AS3" i="1" s="1"/>
  <c r="AM118" i="1"/>
  <c r="AM98" i="1"/>
  <c r="AM41" i="1"/>
  <c r="AM143" i="1"/>
  <c r="AN143" i="1" s="1"/>
  <c r="AO143" i="1" s="1"/>
  <c r="AR143" i="1" s="1"/>
  <c r="AS143" i="1" s="1"/>
  <c r="AM58" i="1"/>
  <c r="AM24" i="1"/>
  <c r="AM113" i="1"/>
  <c r="AM181" i="1"/>
  <c r="AM147" i="1"/>
  <c r="AM173" i="1"/>
  <c r="AM200" i="1"/>
  <c r="AN200" i="1" s="1"/>
  <c r="AP200" i="1" s="1"/>
  <c r="AQ200" i="1" s="1"/>
  <c r="AT200" i="1" s="1"/>
  <c r="AM73" i="1"/>
  <c r="AM106" i="1"/>
  <c r="AM191" i="1"/>
  <c r="AM187" i="1"/>
  <c r="AM197" i="1"/>
  <c r="AM139" i="1"/>
  <c r="AM25" i="1"/>
  <c r="AM87" i="1"/>
  <c r="AM15" i="1"/>
  <c r="AM31" i="1"/>
  <c r="AN31" i="1" s="1"/>
  <c r="AP31" i="1" s="1"/>
  <c r="AQ31" i="1" s="1"/>
  <c r="AT31" i="1" s="1"/>
  <c r="AM126" i="1"/>
  <c r="AN126" i="1" s="1"/>
  <c r="AP126" i="1" s="1"/>
  <c r="AQ126" i="1" s="1"/>
  <c r="AT126" i="1" s="1"/>
  <c r="AM94" i="1"/>
  <c r="AM149" i="1"/>
  <c r="AM107" i="1"/>
  <c r="AM5" i="1"/>
  <c r="AM104" i="1"/>
  <c r="AM186" i="1"/>
  <c r="AM179" i="1"/>
  <c r="AM18" i="1"/>
  <c r="AM55" i="1"/>
  <c r="AM109" i="1"/>
  <c r="AM101" i="1"/>
  <c r="AN101" i="1" s="1"/>
  <c r="AO101" i="1" s="1"/>
  <c r="AR101" i="1" s="1"/>
  <c r="AS101" i="1" s="1"/>
  <c r="AM148" i="1"/>
  <c r="AM172" i="1"/>
  <c r="AM81" i="1"/>
  <c r="AM127" i="1"/>
  <c r="AM132" i="1"/>
  <c r="AN132" i="1" s="1"/>
  <c r="AP132" i="1" s="1"/>
  <c r="AQ132" i="1" s="1"/>
  <c r="AT132" i="1" s="1"/>
  <c r="AM63" i="1"/>
  <c r="AN63" i="1" s="1"/>
  <c r="AP63" i="1" s="1"/>
  <c r="AQ63" i="1" s="1"/>
  <c r="AT63" i="1" s="1"/>
  <c r="AM177" i="1"/>
  <c r="AN177" i="1" s="1"/>
  <c r="AP177" i="1" s="1"/>
  <c r="AQ177" i="1" s="1"/>
  <c r="AT177" i="1" s="1"/>
  <c r="AM116" i="1"/>
  <c r="AM168" i="1"/>
  <c r="AN168" i="1" s="1"/>
  <c r="AP168" i="1" s="1"/>
  <c r="AQ168" i="1" s="1"/>
  <c r="AT168" i="1" s="1"/>
  <c r="AM152" i="1"/>
  <c r="AM201" i="1"/>
  <c r="AM110" i="1"/>
  <c r="AM65" i="1"/>
  <c r="AN65" i="1" s="1"/>
  <c r="AO65" i="1" s="1"/>
  <c r="AR65" i="1" s="1"/>
  <c r="AS65" i="1" s="1"/>
  <c r="AM133" i="1"/>
  <c r="AM193" i="1"/>
  <c r="AN193" i="1" s="1"/>
  <c r="AP193" i="1" s="1"/>
  <c r="AQ193" i="1" s="1"/>
  <c r="AT193" i="1" s="1"/>
  <c r="AM60" i="1"/>
  <c r="AM121" i="1"/>
  <c r="AN121" i="1" s="1"/>
  <c r="AO121" i="1" s="1"/>
  <c r="AR121" i="1" s="1"/>
  <c r="AS121" i="1" s="1"/>
  <c r="AM67" i="1"/>
  <c r="AM54" i="1"/>
  <c r="AM76" i="1"/>
  <c r="AM75" i="1"/>
  <c r="AM7" i="1"/>
  <c r="AN7" i="1" s="1"/>
  <c r="AO7" i="1" s="1"/>
  <c r="AR7" i="1" s="1"/>
  <c r="AS7" i="1" s="1"/>
  <c r="AM51" i="1"/>
  <c r="AM195" i="1"/>
  <c r="AM174" i="1"/>
  <c r="AM175" i="1"/>
  <c r="AM86" i="1"/>
  <c r="AM14" i="1"/>
  <c r="AM137" i="1"/>
  <c r="AM26" i="1"/>
  <c r="AM97" i="1"/>
  <c r="AM36" i="1"/>
  <c r="AM95" i="1"/>
  <c r="AN95" i="1" s="1"/>
  <c r="AP95" i="1" s="1"/>
  <c r="AQ95" i="1" s="1"/>
  <c r="AT95" i="1" s="1"/>
  <c r="AM11" i="1"/>
  <c r="AM62" i="1"/>
  <c r="AM153" i="1"/>
  <c r="AM48" i="1"/>
  <c r="AM42" i="1"/>
  <c r="AN42" i="1" s="1"/>
  <c r="AO42" i="1" s="1"/>
  <c r="AR42" i="1" s="1"/>
  <c r="AS42" i="1" s="1"/>
  <c r="AM140" i="1"/>
  <c r="AM27" i="1"/>
  <c r="AM125" i="1"/>
  <c r="AN125" i="1" s="1"/>
  <c r="AP125" i="1" s="1"/>
  <c r="AQ125" i="1" s="1"/>
  <c r="AT125" i="1" s="1"/>
  <c r="AM180" i="1"/>
  <c r="AN180" i="1" s="1"/>
  <c r="AO180" i="1" s="1"/>
  <c r="AR180" i="1" s="1"/>
  <c r="AS180" i="1" s="1"/>
  <c r="AM53" i="1"/>
  <c r="AM176" i="1"/>
  <c r="AN176" i="1" s="1"/>
  <c r="AP176" i="1" s="1"/>
  <c r="AQ176" i="1" s="1"/>
  <c r="AT176" i="1" s="1"/>
  <c r="AM50" i="1"/>
  <c r="AM49" i="1"/>
  <c r="AM150" i="1"/>
  <c r="AM146" i="1"/>
  <c r="AM39" i="1"/>
  <c r="AM79" i="1"/>
  <c r="AM198" i="1"/>
  <c r="AN198" i="1" s="1"/>
  <c r="AP198" i="1" s="1"/>
  <c r="AQ198" i="1" s="1"/>
  <c r="AT198" i="1" s="1"/>
  <c r="AM189" i="1"/>
  <c r="AM162" i="1"/>
  <c r="AM72" i="1"/>
  <c r="AM30" i="1"/>
  <c r="AM196" i="1"/>
  <c r="AM33" i="1"/>
  <c r="AM102" i="1"/>
  <c r="AM142" i="1"/>
  <c r="AM145" i="1"/>
  <c r="AM34" i="1"/>
  <c r="AM96" i="1"/>
  <c r="AN96" i="1" s="1"/>
  <c r="AP96" i="1" s="1"/>
  <c r="AQ96" i="1" s="1"/>
  <c r="AT96" i="1" s="1"/>
  <c r="AM190" i="1"/>
  <c r="AM188" i="1"/>
  <c r="AM160" i="1"/>
  <c r="AM69" i="1"/>
  <c r="AN69" i="1" s="1"/>
  <c r="AP69" i="1" s="1"/>
  <c r="AQ69" i="1" s="1"/>
  <c r="AT69" i="1" s="1"/>
  <c r="AM89" i="1"/>
  <c r="AM170" i="1"/>
  <c r="AM52" i="1"/>
  <c r="AM163" i="1"/>
  <c r="AM45" i="1"/>
  <c r="AN45" i="1" s="1"/>
  <c r="AO45" i="1" s="1"/>
  <c r="AR45" i="1" s="1"/>
  <c r="AS45" i="1" s="1"/>
  <c r="AM141" i="1"/>
  <c r="AM9" i="1"/>
  <c r="AN9" i="1" s="1"/>
  <c r="AO9" i="1" s="1"/>
  <c r="AR9" i="1" s="1"/>
  <c r="AS9" i="1" s="1"/>
  <c r="AM64" i="1"/>
  <c r="AM8" i="1"/>
  <c r="AN8" i="1" s="1"/>
  <c r="AM103" i="1"/>
  <c r="AM114" i="1"/>
  <c r="AM20" i="1"/>
  <c r="AM183" i="1"/>
  <c r="AM155" i="1"/>
  <c r="AM194" i="1"/>
  <c r="AM4" i="1"/>
  <c r="AM157" i="1"/>
  <c r="AN157" i="1" s="1"/>
  <c r="AM77" i="1"/>
  <c r="AM37" i="1"/>
  <c r="AM159" i="1"/>
  <c r="AM28" i="1"/>
  <c r="AN28" i="1" s="1"/>
  <c r="AM192" i="1"/>
  <c r="AM119" i="1"/>
  <c r="AM12" i="1"/>
  <c r="AM131" i="1"/>
  <c r="AM10" i="1"/>
  <c r="AM167" i="1"/>
  <c r="AM21" i="1"/>
  <c r="AM99" i="1"/>
  <c r="AN99" i="1" s="1"/>
  <c r="AO99" i="1" s="1"/>
  <c r="AR99" i="1" s="1"/>
  <c r="AS99" i="1" s="1"/>
  <c r="AM35" i="1"/>
  <c r="AM91" i="1"/>
  <c r="AM129" i="1"/>
  <c r="AN129" i="1" s="1"/>
  <c r="AP129" i="1" s="1"/>
  <c r="AQ129" i="1" s="1"/>
  <c r="AT129" i="1" s="1"/>
  <c r="AM161" i="1"/>
  <c r="AM13" i="1"/>
  <c r="AM184" i="1"/>
  <c r="AM124" i="1"/>
  <c r="AN124" i="1" s="1"/>
  <c r="AP124" i="1" s="1"/>
  <c r="AQ124" i="1" s="1"/>
  <c r="AT124" i="1" s="1"/>
  <c r="AM115" i="1"/>
  <c r="AM158" i="1"/>
  <c r="AM68" i="1"/>
  <c r="AN68" i="1" s="1"/>
  <c r="AP68" i="1" s="1"/>
  <c r="AQ68" i="1" s="1"/>
  <c r="AT68" i="1" s="1"/>
  <c r="AM169" i="1"/>
  <c r="AM92" i="1"/>
  <c r="AN92" i="1" s="1"/>
  <c r="AM74" i="1"/>
  <c r="AN74" i="1" s="1"/>
  <c r="AO74" i="1" s="1"/>
  <c r="AR74" i="1" s="1"/>
  <c r="AS74" i="1" s="1"/>
  <c r="AM182" i="1"/>
  <c r="AN182" i="1" s="1"/>
  <c r="AO182" i="1" s="1"/>
  <c r="AR182" i="1" s="1"/>
  <c r="AS182" i="1" s="1"/>
  <c r="AM123" i="1"/>
  <c r="AN123" i="1" s="1"/>
  <c r="AP123" i="1" s="1"/>
  <c r="AQ123" i="1" s="1"/>
  <c r="AT123" i="1" s="1"/>
  <c r="AM156" i="1"/>
  <c r="AN156" i="1" s="1"/>
  <c r="AM40" i="1"/>
  <c r="AM80" i="1"/>
  <c r="AM105" i="1"/>
  <c r="AM122" i="1"/>
  <c r="AM29" i="1"/>
  <c r="AN29" i="1" s="1"/>
  <c r="AP29" i="1" s="1"/>
  <c r="AQ29" i="1" s="1"/>
  <c r="AT29" i="1" s="1"/>
  <c r="AM90" i="1"/>
  <c r="AN90" i="1" s="1"/>
  <c r="AO90" i="1" s="1"/>
  <c r="AR90" i="1" s="1"/>
  <c r="AS90" i="1" s="1"/>
  <c r="AM85" i="1"/>
  <c r="AN85" i="1" s="1"/>
  <c r="AO85" i="1" s="1"/>
  <c r="AR85" i="1" s="1"/>
  <c r="AS85" i="1" s="1"/>
  <c r="AM57" i="1"/>
  <c r="AM84" i="1"/>
  <c r="AM154" i="1"/>
  <c r="AM171" i="1"/>
  <c r="AM144" i="1"/>
  <c r="AM2" i="1"/>
  <c r="AN2" i="1" s="1"/>
  <c r="AM199" i="1"/>
  <c r="AM202" i="1"/>
  <c r="AM130" i="1"/>
  <c r="AM22" i="1"/>
  <c r="AM117" i="1"/>
  <c r="AM100" i="1"/>
  <c r="AN100" i="1" s="1"/>
  <c r="AO100" i="1" s="1"/>
  <c r="AR100" i="1" s="1"/>
  <c r="AS100" i="1" s="1"/>
  <c r="AM23" i="1"/>
  <c r="AM78" i="1"/>
  <c r="AN78" i="1" s="1"/>
  <c r="AO78" i="1" s="1"/>
  <c r="AR78" i="1" s="1"/>
  <c r="AS78" i="1" s="1"/>
  <c r="AM178" i="1"/>
  <c r="AN178" i="1" s="1"/>
  <c r="AP178" i="1" s="1"/>
  <c r="AQ178" i="1" s="1"/>
  <c r="AT178" i="1" s="1"/>
  <c r="AM164" i="1"/>
  <c r="AM136" i="1"/>
  <c r="AM43" i="1"/>
  <c r="AM44" i="1"/>
  <c r="AN44" i="1" s="1"/>
  <c r="AM70" i="1"/>
  <c r="AM185" i="1"/>
  <c r="AM93" i="1"/>
  <c r="AN93" i="1" s="1"/>
  <c r="AO93" i="1" s="1"/>
  <c r="AR93" i="1" s="1"/>
  <c r="AS93" i="1" s="1"/>
  <c r="AM128" i="1"/>
  <c r="AN128" i="1" s="1"/>
  <c r="AO128" i="1" s="1"/>
  <c r="AR128" i="1" s="1"/>
  <c r="AS128" i="1" s="1"/>
  <c r="AM32" i="1"/>
  <c r="AM47" i="1"/>
  <c r="AM46" i="1"/>
  <c r="AM66" i="1"/>
  <c r="AM71" i="1"/>
  <c r="AN71" i="1" s="1"/>
  <c r="AO71" i="1" s="1"/>
  <c r="AR71" i="1" s="1"/>
  <c r="AS71" i="1" s="1"/>
  <c r="AM61" i="1"/>
  <c r="AM56" i="1"/>
  <c r="AN56" i="1" s="1"/>
  <c r="AO56" i="1" s="1"/>
  <c r="AR56" i="1" s="1"/>
  <c r="AS56" i="1" s="1"/>
  <c r="AM138" i="1"/>
  <c r="AM166" i="1"/>
  <c r="AM88" i="1"/>
  <c r="AM112" i="1"/>
  <c r="AM108" i="1"/>
  <c r="AM111" i="1"/>
  <c r="AN111" i="1" s="1"/>
  <c r="AP111" i="1" s="1"/>
  <c r="AQ111" i="1" s="1"/>
  <c r="AT111" i="1" s="1"/>
  <c r="AM6" i="1"/>
  <c r="AM16" i="1"/>
  <c r="AN16" i="1" s="1"/>
  <c r="AO16" i="1" s="1"/>
  <c r="AR16" i="1" s="1"/>
  <c r="AS16" i="1" s="1"/>
  <c r="AM135" i="1"/>
  <c r="AM59" i="1"/>
  <c r="AM120" i="1"/>
  <c r="AM17" i="1"/>
  <c r="AM83" i="1"/>
  <c r="AN83" i="1" s="1"/>
  <c r="AM151" i="1"/>
  <c r="AN151" i="1" s="1"/>
  <c r="AP151" i="1" s="1"/>
  <c r="AQ151" i="1" s="1"/>
  <c r="AT151" i="1" s="1"/>
  <c r="AM38" i="1"/>
  <c r="AM19" i="1"/>
  <c r="AM134" i="1"/>
  <c r="AM82" i="1"/>
  <c r="AM165" i="1"/>
  <c r="AN155" i="1"/>
  <c r="AO155" i="1" s="1"/>
  <c r="AR155" i="1" s="1"/>
  <c r="AS155" i="1" s="1"/>
  <c r="AN135" i="1" l="1"/>
  <c r="AN80" i="1"/>
  <c r="AP80" i="1" s="1"/>
  <c r="AQ80" i="1" s="1"/>
  <c r="AT80" i="1" s="1"/>
  <c r="AN167" i="1"/>
  <c r="AO167" i="1" s="1"/>
  <c r="AR167" i="1" s="1"/>
  <c r="AS167" i="1" s="1"/>
  <c r="AN52" i="1"/>
  <c r="AP52" i="1" s="1"/>
  <c r="AQ52" i="1" s="1"/>
  <c r="AT52" i="1" s="1"/>
  <c r="AN33" i="1"/>
  <c r="AP33" i="1" s="1"/>
  <c r="AQ33" i="1" s="1"/>
  <c r="AT33" i="1" s="1"/>
  <c r="AN39" i="1"/>
  <c r="AO39" i="1" s="1"/>
  <c r="AR39" i="1" s="1"/>
  <c r="AS39" i="1" s="1"/>
  <c r="AN148" i="1"/>
  <c r="AO148" i="1" s="1"/>
  <c r="AR148" i="1" s="1"/>
  <c r="AS148" i="1" s="1"/>
  <c r="AN5" i="1"/>
  <c r="AP5" i="1" s="1"/>
  <c r="AQ5" i="1" s="1"/>
  <c r="AT5" i="1" s="1"/>
  <c r="AN191" i="1"/>
  <c r="AO191" i="1" s="1"/>
  <c r="AR191" i="1" s="1"/>
  <c r="AS191" i="1" s="1"/>
  <c r="AN47" i="1"/>
  <c r="AO47" i="1" s="1"/>
  <c r="AR47" i="1" s="1"/>
  <c r="AS47" i="1" s="1"/>
  <c r="AN97" i="1"/>
  <c r="AP97" i="1" s="1"/>
  <c r="AQ97" i="1" s="1"/>
  <c r="AT97" i="1" s="1"/>
  <c r="AN109" i="1"/>
  <c r="AO109" i="1" s="1"/>
  <c r="AR109" i="1" s="1"/>
  <c r="AS109" i="1" s="1"/>
  <c r="AN46" i="1"/>
  <c r="AO46" i="1" s="1"/>
  <c r="AR46" i="1" s="1"/>
  <c r="AS46" i="1" s="1"/>
  <c r="AN141" i="1"/>
  <c r="AO141" i="1" s="1"/>
  <c r="AR141" i="1" s="1"/>
  <c r="AS141" i="1" s="1"/>
  <c r="AN36" i="1"/>
  <c r="AO36" i="1" s="1"/>
  <c r="AR36" i="1" s="1"/>
  <c r="AS36" i="1" s="1"/>
  <c r="AN82" i="1"/>
  <c r="AP82" i="1" s="1"/>
  <c r="AQ82" i="1" s="1"/>
  <c r="AT82" i="1" s="1"/>
  <c r="AN59" i="1"/>
  <c r="AP59" i="1" s="1"/>
  <c r="AQ59" i="1" s="1"/>
  <c r="AT59" i="1" s="1"/>
  <c r="AN166" i="1"/>
  <c r="AO166" i="1" s="1"/>
  <c r="AR166" i="1" s="1"/>
  <c r="AS166" i="1" s="1"/>
  <c r="AN32" i="1"/>
  <c r="AO32" i="1" s="1"/>
  <c r="AR32" i="1" s="1"/>
  <c r="AS32" i="1" s="1"/>
  <c r="AN70" i="1"/>
  <c r="AP70" i="1" s="1"/>
  <c r="AQ70" i="1" s="1"/>
  <c r="AT70" i="1" s="1"/>
  <c r="AN164" i="1"/>
  <c r="AP164" i="1" s="1"/>
  <c r="AQ164" i="1" s="1"/>
  <c r="AT164" i="1" s="1"/>
  <c r="AN202" i="1"/>
  <c r="AP202" i="1" s="1"/>
  <c r="AQ202" i="1" s="1"/>
  <c r="AT202" i="1" s="1"/>
  <c r="AN169" i="1"/>
  <c r="AO169" i="1" s="1"/>
  <c r="AR169" i="1" s="1"/>
  <c r="AS169" i="1" s="1"/>
  <c r="AN12" i="1"/>
  <c r="AO12" i="1" s="1"/>
  <c r="AR12" i="1" s="1"/>
  <c r="AS12" i="1" s="1"/>
  <c r="AN159" i="1"/>
  <c r="AO159" i="1" s="1"/>
  <c r="AR159" i="1" s="1"/>
  <c r="AS159" i="1" s="1"/>
  <c r="AN4" i="1"/>
  <c r="AP4" i="1" s="1"/>
  <c r="AQ4" i="1" s="1"/>
  <c r="AT4" i="1" s="1"/>
  <c r="AN20" i="1"/>
  <c r="AP20" i="1" s="1"/>
  <c r="AQ20" i="1" s="1"/>
  <c r="AT20" i="1" s="1"/>
  <c r="AN163" i="1"/>
  <c r="AP163" i="1" s="1"/>
  <c r="AQ163" i="1" s="1"/>
  <c r="AT163" i="1" s="1"/>
  <c r="AN72" i="1"/>
  <c r="AP72" i="1" s="1"/>
  <c r="AQ72" i="1" s="1"/>
  <c r="AT72" i="1" s="1"/>
  <c r="AN49" i="1"/>
  <c r="AP49" i="1" s="1"/>
  <c r="AQ49" i="1" s="1"/>
  <c r="AT49" i="1" s="1"/>
  <c r="AN26" i="1"/>
  <c r="AO26" i="1" s="1"/>
  <c r="AR26" i="1" s="1"/>
  <c r="AS26" i="1" s="1"/>
  <c r="AN67" i="1"/>
  <c r="AP67" i="1" s="1"/>
  <c r="AQ67" i="1" s="1"/>
  <c r="AT67" i="1" s="1"/>
  <c r="AN172" i="1"/>
  <c r="AO172" i="1" s="1"/>
  <c r="AR172" i="1" s="1"/>
  <c r="AS172" i="1" s="1"/>
  <c r="AN104" i="1"/>
  <c r="AO104" i="1" s="1"/>
  <c r="AR104" i="1" s="1"/>
  <c r="AS104" i="1" s="1"/>
  <c r="AN94" i="1"/>
  <c r="AO94" i="1" s="1"/>
  <c r="AR94" i="1" s="1"/>
  <c r="AS94" i="1" s="1"/>
  <c r="AN87" i="1"/>
  <c r="AO87" i="1" s="1"/>
  <c r="AR87" i="1" s="1"/>
  <c r="AS87" i="1" s="1"/>
  <c r="AN187" i="1"/>
  <c r="AP187" i="1" s="1"/>
  <c r="AQ187" i="1" s="1"/>
  <c r="AT187" i="1" s="1"/>
  <c r="AN41" i="1"/>
  <c r="AO41" i="1" s="1"/>
  <c r="AR41" i="1" s="1"/>
  <c r="AS41" i="1" s="1"/>
  <c r="AN19" i="1"/>
  <c r="AO19" i="1" s="1"/>
  <c r="AR19" i="1" s="1"/>
  <c r="AS19" i="1" s="1"/>
  <c r="AN17" i="1"/>
  <c r="AP17" i="1" s="1"/>
  <c r="AQ17" i="1" s="1"/>
  <c r="AT17" i="1" s="1"/>
  <c r="AN43" i="1"/>
  <c r="AP43" i="1" s="1"/>
  <c r="AQ43" i="1" s="1"/>
  <c r="AT43" i="1" s="1"/>
  <c r="AN22" i="1"/>
  <c r="AP22" i="1" s="1"/>
  <c r="AQ22" i="1" s="1"/>
  <c r="AT22" i="1" s="1"/>
  <c r="AN158" i="1"/>
  <c r="AO158" i="1" s="1"/>
  <c r="AR158" i="1" s="1"/>
  <c r="AS158" i="1" s="1"/>
  <c r="AN10" i="1"/>
  <c r="AO10" i="1" s="1"/>
  <c r="AR10" i="1" s="1"/>
  <c r="AS10" i="1" s="1"/>
  <c r="AN77" i="1"/>
  <c r="AO77" i="1" s="1"/>
  <c r="AR77" i="1" s="1"/>
  <c r="AS77" i="1" s="1"/>
  <c r="AN170" i="1"/>
  <c r="AP170" i="1" s="1"/>
  <c r="AQ170" i="1" s="1"/>
  <c r="AT170" i="1" s="1"/>
  <c r="AN188" i="1"/>
  <c r="AO188" i="1" s="1"/>
  <c r="AR188" i="1" s="1"/>
  <c r="AS188" i="1" s="1"/>
  <c r="AN27" i="1"/>
  <c r="AP27" i="1" s="1"/>
  <c r="AQ27" i="1" s="1"/>
  <c r="AT27" i="1" s="1"/>
  <c r="AN14" i="1"/>
  <c r="AO14" i="1" s="1"/>
  <c r="AR14" i="1" s="1"/>
  <c r="AS14" i="1" s="1"/>
  <c r="AN60" i="1"/>
  <c r="AP60" i="1" s="1"/>
  <c r="AQ60" i="1" s="1"/>
  <c r="AT60" i="1" s="1"/>
  <c r="AN110" i="1"/>
  <c r="AO110" i="1" s="1"/>
  <c r="AR110" i="1" s="1"/>
  <c r="AS110" i="1" s="1"/>
  <c r="AN116" i="1"/>
  <c r="AP116" i="1" s="1"/>
  <c r="AQ116" i="1" s="1"/>
  <c r="AT116" i="1" s="1"/>
  <c r="AN58" i="1"/>
  <c r="AO58" i="1" s="1"/>
  <c r="AR58" i="1" s="1"/>
  <c r="AS58" i="1" s="1"/>
  <c r="AN171" i="1"/>
  <c r="AO171" i="1" s="1"/>
  <c r="AR171" i="1" s="1"/>
  <c r="AS171" i="1" s="1"/>
  <c r="AN105" i="1"/>
  <c r="AP105" i="1" s="1"/>
  <c r="AQ105" i="1" s="1"/>
  <c r="AT105" i="1" s="1"/>
  <c r="AN21" i="1"/>
  <c r="AO21" i="1" s="1"/>
  <c r="AR21" i="1" s="1"/>
  <c r="AS21" i="1" s="1"/>
  <c r="AN64" i="1"/>
  <c r="AP64" i="1" s="1"/>
  <c r="AQ64" i="1" s="1"/>
  <c r="AT64" i="1" s="1"/>
  <c r="AN102" i="1"/>
  <c r="AP102" i="1" s="1"/>
  <c r="AQ102" i="1" s="1"/>
  <c r="AT102" i="1" s="1"/>
  <c r="AN79" i="1"/>
  <c r="AP79" i="1" s="1"/>
  <c r="AQ79" i="1" s="1"/>
  <c r="AT79" i="1" s="1"/>
  <c r="AN11" i="1"/>
  <c r="AO11" i="1" s="1"/>
  <c r="AR11" i="1" s="1"/>
  <c r="AS11" i="1" s="1"/>
  <c r="AN175" i="1"/>
  <c r="AP175" i="1" s="1"/>
  <c r="AQ175" i="1" s="1"/>
  <c r="AT175" i="1" s="1"/>
  <c r="AN133" i="1"/>
  <c r="AP133" i="1" s="1"/>
  <c r="AQ133" i="1" s="1"/>
  <c r="AT133" i="1" s="1"/>
  <c r="AN152" i="1"/>
  <c r="AO152" i="1" s="1"/>
  <c r="AR152" i="1" s="1"/>
  <c r="AS152" i="1" s="1"/>
  <c r="AN55" i="1"/>
  <c r="AO55" i="1" s="1"/>
  <c r="AR55" i="1" s="1"/>
  <c r="AS55" i="1" s="1"/>
  <c r="AN113" i="1"/>
  <c r="AO113" i="1" s="1"/>
  <c r="AR113" i="1" s="1"/>
  <c r="AS113" i="1" s="1"/>
  <c r="AN98" i="1"/>
  <c r="AO98" i="1" s="1"/>
  <c r="AR98" i="1" s="1"/>
  <c r="AS98" i="1" s="1"/>
  <c r="AN160" i="1"/>
  <c r="AO160" i="1" s="1"/>
  <c r="AR160" i="1" s="1"/>
  <c r="AS160" i="1" s="1"/>
  <c r="AN61" i="1"/>
  <c r="AP61" i="1" s="1"/>
  <c r="AQ61" i="1" s="1"/>
  <c r="AT61" i="1" s="1"/>
  <c r="AN130" i="1"/>
  <c r="AO130" i="1" s="1"/>
  <c r="AR130" i="1" s="1"/>
  <c r="AS130" i="1" s="1"/>
  <c r="AN57" i="1"/>
  <c r="AO57" i="1" s="1"/>
  <c r="AR57" i="1" s="1"/>
  <c r="AS57" i="1" s="1"/>
  <c r="AN131" i="1"/>
  <c r="AP131" i="1" s="1"/>
  <c r="AQ131" i="1" s="1"/>
  <c r="AT131" i="1" s="1"/>
  <c r="AN140" i="1"/>
  <c r="AO140" i="1" s="1"/>
  <c r="AR140" i="1" s="1"/>
  <c r="AS140" i="1" s="1"/>
  <c r="AN112" i="1"/>
  <c r="AO112" i="1" s="1"/>
  <c r="AR112" i="1" s="1"/>
  <c r="AS112" i="1" s="1"/>
  <c r="AN6" i="1"/>
  <c r="AP6" i="1" s="1"/>
  <c r="AQ6" i="1" s="1"/>
  <c r="AT6" i="1" s="1"/>
  <c r="AN23" i="1"/>
  <c r="AO23" i="1" s="1"/>
  <c r="AR23" i="1" s="1"/>
  <c r="AS23" i="1" s="1"/>
  <c r="AN190" i="1"/>
  <c r="AP190" i="1" s="1"/>
  <c r="AQ190" i="1" s="1"/>
  <c r="AT190" i="1" s="1"/>
  <c r="AN142" i="1"/>
  <c r="AO142" i="1" s="1"/>
  <c r="AR142" i="1" s="1"/>
  <c r="AS142" i="1" s="1"/>
  <c r="AN150" i="1"/>
  <c r="AO150" i="1" s="1"/>
  <c r="AR150" i="1" s="1"/>
  <c r="AS150" i="1" s="1"/>
  <c r="AN86" i="1"/>
  <c r="AP86" i="1" s="1"/>
  <c r="AQ86" i="1" s="1"/>
  <c r="AT86" i="1" s="1"/>
  <c r="AN186" i="1"/>
  <c r="AP186" i="1" s="1"/>
  <c r="AQ186" i="1" s="1"/>
  <c r="AT186" i="1" s="1"/>
  <c r="AN73" i="1"/>
  <c r="AP73" i="1" s="1"/>
  <c r="AQ73" i="1" s="1"/>
  <c r="AT73" i="1" s="1"/>
  <c r="AN84" i="1"/>
  <c r="AO84" i="1" s="1"/>
  <c r="AR84" i="1" s="1"/>
  <c r="AS84" i="1" s="1"/>
  <c r="AN40" i="1"/>
  <c r="AP40" i="1" s="1"/>
  <c r="AQ40" i="1" s="1"/>
  <c r="AT40" i="1" s="1"/>
  <c r="AN13" i="1"/>
  <c r="AO13" i="1" s="1"/>
  <c r="AR13" i="1" s="1"/>
  <c r="AS13" i="1" s="1"/>
  <c r="AN35" i="1"/>
  <c r="AO35" i="1" s="1"/>
  <c r="AR35" i="1" s="1"/>
  <c r="AS35" i="1" s="1"/>
  <c r="AN192" i="1"/>
  <c r="AP192" i="1" s="1"/>
  <c r="AQ192" i="1" s="1"/>
  <c r="AT192" i="1" s="1"/>
  <c r="AN103" i="1"/>
  <c r="AO103" i="1" s="1"/>
  <c r="AR103" i="1" s="1"/>
  <c r="AS103" i="1" s="1"/>
  <c r="AN145" i="1"/>
  <c r="AO145" i="1" s="1"/>
  <c r="AR145" i="1" s="1"/>
  <c r="AS145" i="1" s="1"/>
  <c r="AN196" i="1"/>
  <c r="AO196" i="1" s="1"/>
  <c r="AR196" i="1" s="1"/>
  <c r="AS196" i="1" s="1"/>
  <c r="AN189" i="1"/>
  <c r="AO189" i="1" s="1"/>
  <c r="AR189" i="1" s="1"/>
  <c r="AS189" i="1" s="1"/>
  <c r="AN146" i="1"/>
  <c r="AP146" i="1" s="1"/>
  <c r="AQ146" i="1" s="1"/>
  <c r="AT146" i="1" s="1"/>
  <c r="AN153" i="1"/>
  <c r="AP153" i="1" s="1"/>
  <c r="AQ153" i="1" s="1"/>
  <c r="AT153" i="1" s="1"/>
  <c r="AN195" i="1"/>
  <c r="AO195" i="1" s="1"/>
  <c r="AR195" i="1" s="1"/>
  <c r="AS195" i="1" s="1"/>
  <c r="AN76" i="1"/>
  <c r="AP76" i="1" s="1"/>
  <c r="AQ76" i="1" s="1"/>
  <c r="AT76" i="1" s="1"/>
  <c r="AN127" i="1"/>
  <c r="AO127" i="1" s="1"/>
  <c r="AR127" i="1" s="1"/>
  <c r="AS127" i="1" s="1"/>
  <c r="AN179" i="1"/>
  <c r="AP179" i="1" s="1"/>
  <c r="AQ179" i="1" s="1"/>
  <c r="AT179" i="1" s="1"/>
  <c r="AN107" i="1"/>
  <c r="AO107" i="1" s="1"/>
  <c r="AR107" i="1" s="1"/>
  <c r="AS107" i="1" s="1"/>
  <c r="AN139" i="1"/>
  <c r="AO139" i="1" s="1"/>
  <c r="AR139" i="1" s="1"/>
  <c r="AS139" i="1" s="1"/>
  <c r="AN106" i="1"/>
  <c r="AP106" i="1" s="1"/>
  <c r="AQ106" i="1" s="1"/>
  <c r="AT106" i="1" s="1"/>
  <c r="AN147" i="1"/>
  <c r="AP147" i="1" s="1"/>
  <c r="AQ147" i="1" s="1"/>
  <c r="AT147" i="1" s="1"/>
  <c r="AN118" i="1"/>
  <c r="AP118" i="1" s="1"/>
  <c r="AQ118" i="1" s="1"/>
  <c r="AT118" i="1" s="1"/>
  <c r="AN165" i="1"/>
  <c r="AP165" i="1" s="1"/>
  <c r="AQ165" i="1" s="1"/>
  <c r="AT165" i="1" s="1"/>
  <c r="AN38" i="1"/>
  <c r="AP38" i="1" s="1"/>
  <c r="AQ38" i="1" s="1"/>
  <c r="AT38" i="1" s="1"/>
  <c r="AN120" i="1"/>
  <c r="AO120" i="1" s="1"/>
  <c r="AR120" i="1" s="1"/>
  <c r="AS120" i="1" s="1"/>
  <c r="AN88" i="1"/>
  <c r="AO88" i="1" s="1"/>
  <c r="AR88" i="1" s="1"/>
  <c r="AS88" i="1" s="1"/>
  <c r="AN185" i="1"/>
  <c r="AP185" i="1" s="1"/>
  <c r="AQ185" i="1" s="1"/>
  <c r="AT185" i="1" s="1"/>
  <c r="AN136" i="1"/>
  <c r="AP136" i="1" s="1"/>
  <c r="AQ136" i="1" s="1"/>
  <c r="AT136" i="1" s="1"/>
  <c r="AN144" i="1"/>
  <c r="AP144" i="1" s="1"/>
  <c r="AQ144" i="1" s="1"/>
  <c r="AT144" i="1" s="1"/>
  <c r="AN122" i="1"/>
  <c r="AO122" i="1" s="1"/>
  <c r="AR122" i="1" s="1"/>
  <c r="AS122" i="1" s="1"/>
  <c r="AN115" i="1"/>
  <c r="AO115" i="1" s="1"/>
  <c r="AR115" i="1" s="1"/>
  <c r="AS115" i="1" s="1"/>
  <c r="AN161" i="1"/>
  <c r="AO161" i="1" s="1"/>
  <c r="AR161" i="1" s="1"/>
  <c r="AS161" i="1" s="1"/>
  <c r="AN183" i="1"/>
  <c r="AO183" i="1" s="1"/>
  <c r="AR183" i="1" s="1"/>
  <c r="AS183" i="1" s="1"/>
  <c r="AN89" i="1"/>
  <c r="AO89" i="1" s="1"/>
  <c r="AR89" i="1" s="1"/>
  <c r="AS89" i="1" s="1"/>
  <c r="AN30" i="1"/>
  <c r="AP30" i="1" s="1"/>
  <c r="AQ30" i="1" s="1"/>
  <c r="AT30" i="1" s="1"/>
  <c r="AN53" i="1"/>
  <c r="AO53" i="1" s="1"/>
  <c r="AR53" i="1" s="1"/>
  <c r="AS53" i="1" s="1"/>
  <c r="AN62" i="1"/>
  <c r="AO62" i="1" s="1"/>
  <c r="AR62" i="1" s="1"/>
  <c r="AS62" i="1" s="1"/>
  <c r="AN51" i="1"/>
  <c r="AO51" i="1" s="1"/>
  <c r="AR51" i="1" s="1"/>
  <c r="AS51" i="1" s="1"/>
  <c r="AN54" i="1"/>
  <c r="AO54" i="1" s="1"/>
  <c r="AR54" i="1" s="1"/>
  <c r="AS54" i="1" s="1"/>
  <c r="AN201" i="1"/>
  <c r="AP201" i="1" s="1"/>
  <c r="AQ201" i="1" s="1"/>
  <c r="AT201" i="1" s="1"/>
  <c r="AN81" i="1"/>
  <c r="AP81" i="1" s="1"/>
  <c r="AQ81" i="1" s="1"/>
  <c r="AT81" i="1" s="1"/>
  <c r="AN149" i="1"/>
  <c r="AO149" i="1" s="1"/>
  <c r="AR149" i="1" s="1"/>
  <c r="AS149" i="1" s="1"/>
  <c r="AN15" i="1"/>
  <c r="AP15" i="1" s="1"/>
  <c r="AQ15" i="1" s="1"/>
  <c r="AT15" i="1" s="1"/>
  <c r="AN197" i="1"/>
  <c r="AP197" i="1" s="1"/>
  <c r="AQ197" i="1" s="1"/>
  <c r="AT197" i="1" s="1"/>
  <c r="AN181" i="1"/>
  <c r="AO181" i="1" s="1"/>
  <c r="AR181" i="1" s="1"/>
  <c r="AS181" i="1" s="1"/>
  <c r="AN134" i="1"/>
  <c r="AP134" i="1" s="1"/>
  <c r="AQ134" i="1" s="1"/>
  <c r="AT134" i="1" s="1"/>
  <c r="AN108" i="1"/>
  <c r="AO108" i="1" s="1"/>
  <c r="AR108" i="1" s="1"/>
  <c r="AS108" i="1" s="1"/>
  <c r="AN138" i="1"/>
  <c r="AO138" i="1" s="1"/>
  <c r="AR138" i="1" s="1"/>
  <c r="AS138" i="1" s="1"/>
  <c r="AN66" i="1"/>
  <c r="AO66" i="1" s="1"/>
  <c r="AR66" i="1" s="1"/>
  <c r="AS66" i="1" s="1"/>
  <c r="AN117" i="1"/>
  <c r="AO117" i="1" s="1"/>
  <c r="AR117" i="1" s="1"/>
  <c r="AS117" i="1" s="1"/>
  <c r="AN199" i="1"/>
  <c r="AP199" i="1" s="1"/>
  <c r="AQ199" i="1" s="1"/>
  <c r="AT199" i="1" s="1"/>
  <c r="AN154" i="1"/>
  <c r="AO154" i="1" s="1"/>
  <c r="AR154" i="1" s="1"/>
  <c r="AS154" i="1" s="1"/>
  <c r="AN184" i="1"/>
  <c r="AP184" i="1" s="1"/>
  <c r="AQ184" i="1" s="1"/>
  <c r="AT184" i="1" s="1"/>
  <c r="AN91" i="1"/>
  <c r="AO91" i="1" s="1"/>
  <c r="AR91" i="1" s="1"/>
  <c r="AS91" i="1" s="1"/>
  <c r="AN119" i="1"/>
  <c r="AP119" i="1" s="1"/>
  <c r="AQ119" i="1" s="1"/>
  <c r="AT119" i="1" s="1"/>
  <c r="AN37" i="1"/>
  <c r="AO37" i="1" s="1"/>
  <c r="AR37" i="1" s="1"/>
  <c r="AS37" i="1" s="1"/>
  <c r="AN194" i="1"/>
  <c r="AP194" i="1" s="1"/>
  <c r="AQ194" i="1" s="1"/>
  <c r="AT194" i="1" s="1"/>
  <c r="AN114" i="1"/>
  <c r="AP114" i="1" s="1"/>
  <c r="AQ114" i="1" s="1"/>
  <c r="AT114" i="1" s="1"/>
  <c r="AN34" i="1"/>
  <c r="AO34" i="1" s="1"/>
  <c r="AR34" i="1" s="1"/>
  <c r="AS34" i="1" s="1"/>
  <c r="AN162" i="1"/>
  <c r="AP162" i="1" s="1"/>
  <c r="AQ162" i="1" s="1"/>
  <c r="AT162" i="1" s="1"/>
  <c r="AN50" i="1"/>
  <c r="AO50" i="1" s="1"/>
  <c r="AR50" i="1" s="1"/>
  <c r="AS50" i="1" s="1"/>
  <c r="AN48" i="1"/>
  <c r="AO48" i="1" s="1"/>
  <c r="AR48" i="1" s="1"/>
  <c r="AS48" i="1" s="1"/>
  <c r="AN137" i="1"/>
  <c r="AO137" i="1" s="1"/>
  <c r="AR137" i="1" s="1"/>
  <c r="AS137" i="1" s="1"/>
  <c r="AN174" i="1"/>
  <c r="AO174" i="1" s="1"/>
  <c r="AR174" i="1" s="1"/>
  <c r="AS174" i="1" s="1"/>
  <c r="AN75" i="1"/>
  <c r="AO75" i="1" s="1"/>
  <c r="AR75" i="1" s="1"/>
  <c r="AS75" i="1" s="1"/>
  <c r="AN18" i="1"/>
  <c r="AO18" i="1" s="1"/>
  <c r="AR18" i="1" s="1"/>
  <c r="AS18" i="1" s="1"/>
  <c r="AN25" i="1"/>
  <c r="AP25" i="1" s="1"/>
  <c r="AQ25" i="1" s="1"/>
  <c r="AT25" i="1" s="1"/>
  <c r="AN173" i="1"/>
  <c r="AO173" i="1" s="1"/>
  <c r="AR173" i="1" s="1"/>
  <c r="AS173" i="1" s="1"/>
  <c r="AN24" i="1"/>
  <c r="AO24" i="1" s="1"/>
  <c r="AR24" i="1" s="1"/>
  <c r="AS24" i="1" s="1"/>
  <c r="AO96" i="1"/>
  <c r="AR96" i="1" s="1"/>
  <c r="AS96" i="1" s="1"/>
  <c r="AP143" i="1"/>
  <c r="AQ143" i="1" s="1"/>
  <c r="AT143" i="1" s="1"/>
  <c r="AP180" i="1"/>
  <c r="AQ180" i="1" s="1"/>
  <c r="AT180" i="1" s="1"/>
  <c r="AO31" i="1"/>
  <c r="AR31" i="1" s="1"/>
  <c r="AS31" i="1" s="1"/>
  <c r="AP7" i="1"/>
  <c r="AQ7" i="1" s="1"/>
  <c r="AT7" i="1" s="1"/>
  <c r="AO176" i="1"/>
  <c r="AR176" i="1" s="1"/>
  <c r="AS176" i="1" s="1"/>
  <c r="AP155" i="1"/>
  <c r="AQ155" i="1" s="1"/>
  <c r="AT155" i="1" s="1"/>
  <c r="AO163" i="1"/>
  <c r="AR163" i="1" s="1"/>
  <c r="AS163" i="1" s="1"/>
  <c r="AP56" i="1"/>
  <c r="AQ56" i="1" s="1"/>
  <c r="AT56" i="1" s="1"/>
  <c r="AO5" i="1"/>
  <c r="AR5" i="1" s="1"/>
  <c r="AS5" i="1" s="1"/>
  <c r="AP101" i="1"/>
  <c r="AQ101" i="1" s="1"/>
  <c r="AT101" i="1" s="1"/>
  <c r="AP3" i="1"/>
  <c r="AQ3" i="1" s="1"/>
  <c r="AT3" i="1" s="1"/>
  <c r="AP100" i="1"/>
  <c r="AQ100" i="1" s="1"/>
  <c r="AT100" i="1" s="1"/>
  <c r="AP157" i="1"/>
  <c r="AQ157" i="1" s="1"/>
  <c r="AT157" i="1" s="1"/>
  <c r="AO157" i="1"/>
  <c r="AR157" i="1" s="1"/>
  <c r="AS157" i="1" s="1"/>
  <c r="AO190" i="1"/>
  <c r="AR190" i="1" s="1"/>
  <c r="AS190" i="1" s="1"/>
  <c r="AO83" i="1"/>
  <c r="AR83" i="1" s="1"/>
  <c r="AS83" i="1" s="1"/>
  <c r="AP83" i="1"/>
  <c r="AQ83" i="1" s="1"/>
  <c r="AT83" i="1" s="1"/>
  <c r="AO135" i="1"/>
  <c r="AR135" i="1" s="1"/>
  <c r="AS135" i="1" s="1"/>
  <c r="AP135" i="1"/>
  <c r="AQ135" i="1" s="1"/>
  <c r="AT135" i="1" s="1"/>
  <c r="AP44" i="1"/>
  <c r="AQ44" i="1" s="1"/>
  <c r="AT44" i="1" s="1"/>
  <c r="AO44" i="1"/>
  <c r="AR44" i="1" s="1"/>
  <c r="AS44" i="1" s="1"/>
  <c r="AO80" i="1"/>
  <c r="AR80" i="1" s="1"/>
  <c r="AS80" i="1" s="1"/>
  <c r="AP92" i="1"/>
  <c r="AQ92" i="1" s="1"/>
  <c r="AT92" i="1" s="1"/>
  <c r="AO92" i="1"/>
  <c r="AR92" i="1" s="1"/>
  <c r="AS92" i="1" s="1"/>
  <c r="AO8" i="1"/>
  <c r="AR8" i="1" s="1"/>
  <c r="AS8" i="1" s="1"/>
  <c r="AP8" i="1"/>
  <c r="AQ8" i="1" s="1"/>
  <c r="AT8" i="1" s="1"/>
  <c r="AP148" i="1"/>
  <c r="AQ148" i="1" s="1"/>
  <c r="AT148" i="1" s="1"/>
  <c r="AP71" i="1"/>
  <c r="AQ71" i="1" s="1"/>
  <c r="AT71" i="1" s="1"/>
  <c r="AO63" i="1"/>
  <c r="AR63" i="1" s="1"/>
  <c r="AS63" i="1" s="1"/>
  <c r="AP182" i="1"/>
  <c r="AQ182" i="1" s="1"/>
  <c r="AT182" i="1" s="1"/>
  <c r="AO68" i="1"/>
  <c r="AR68" i="1" s="1"/>
  <c r="AS68" i="1" s="1"/>
  <c r="AO52" i="1"/>
  <c r="AR52" i="1" s="1"/>
  <c r="AS52" i="1" s="1"/>
  <c r="AP167" i="1"/>
  <c r="AQ167" i="1" s="1"/>
  <c r="AT167" i="1" s="1"/>
  <c r="AP93" i="1"/>
  <c r="AQ93" i="1" s="1"/>
  <c r="AT93" i="1" s="1"/>
  <c r="AP78" i="1"/>
  <c r="AQ78" i="1" s="1"/>
  <c r="AT78" i="1" s="1"/>
  <c r="AP121" i="1"/>
  <c r="AQ121" i="1" s="1"/>
  <c r="AT121" i="1" s="1"/>
  <c r="AO198" i="1"/>
  <c r="AR198" i="1" s="1"/>
  <c r="AS198" i="1" s="1"/>
  <c r="AP16" i="1"/>
  <c r="AQ16" i="1" s="1"/>
  <c r="AT16" i="1" s="1"/>
  <c r="AP9" i="1"/>
  <c r="AQ9" i="1" s="1"/>
  <c r="AT9" i="1" s="1"/>
  <c r="AO124" i="1"/>
  <c r="AR124" i="1" s="1"/>
  <c r="AS124" i="1" s="1"/>
  <c r="AO69" i="1"/>
  <c r="AR69" i="1" s="1"/>
  <c r="AS69" i="1" s="1"/>
  <c r="AP90" i="1"/>
  <c r="AQ90" i="1" s="1"/>
  <c r="AT90" i="1" s="1"/>
  <c r="AP65" i="1"/>
  <c r="AQ65" i="1" s="1"/>
  <c r="AT65" i="1" s="1"/>
  <c r="AO123" i="1"/>
  <c r="AR123" i="1" s="1"/>
  <c r="AS123" i="1" s="1"/>
  <c r="AO168" i="1"/>
  <c r="AR168" i="1" s="1"/>
  <c r="AS168" i="1" s="1"/>
  <c r="AO111" i="1"/>
  <c r="AR111" i="1" s="1"/>
  <c r="AS111" i="1" s="1"/>
  <c r="AO193" i="1"/>
  <c r="AR193" i="1" s="1"/>
  <c r="AS193" i="1" s="1"/>
  <c r="AO95" i="1"/>
  <c r="AR95" i="1" s="1"/>
  <c r="AS95" i="1" s="1"/>
  <c r="AO178" i="1"/>
  <c r="AR178" i="1" s="1"/>
  <c r="AS178" i="1" s="1"/>
  <c r="AP74" i="1"/>
  <c r="AQ74" i="1" s="1"/>
  <c r="AT74" i="1" s="1"/>
  <c r="AP99" i="1"/>
  <c r="AQ99" i="1" s="1"/>
  <c r="AT99" i="1" s="1"/>
  <c r="AO200" i="1"/>
  <c r="AR200" i="1" s="1"/>
  <c r="AS200" i="1" s="1"/>
  <c r="AO125" i="1"/>
  <c r="AR125" i="1" s="1"/>
  <c r="AS125" i="1" s="1"/>
  <c r="AO129" i="1"/>
  <c r="AR129" i="1" s="1"/>
  <c r="AS129" i="1" s="1"/>
  <c r="AO29" i="1"/>
  <c r="AR29" i="1" s="1"/>
  <c r="AS29" i="1" s="1"/>
  <c r="AO132" i="1"/>
  <c r="AR132" i="1" s="1"/>
  <c r="AS132" i="1" s="1"/>
  <c r="AO151" i="1"/>
  <c r="AR151" i="1" s="1"/>
  <c r="AS151" i="1" s="1"/>
  <c r="AO126" i="1"/>
  <c r="AR126" i="1" s="1"/>
  <c r="AS126" i="1" s="1"/>
  <c r="AO177" i="1"/>
  <c r="AR177" i="1" s="1"/>
  <c r="AS177" i="1" s="1"/>
  <c r="AP128" i="1"/>
  <c r="AQ128" i="1" s="1"/>
  <c r="AT128" i="1" s="1"/>
  <c r="AP45" i="1"/>
  <c r="AQ45" i="1" s="1"/>
  <c r="AT45" i="1" s="1"/>
  <c r="AP42" i="1"/>
  <c r="AQ42" i="1" s="1"/>
  <c r="AT42" i="1" s="1"/>
  <c r="AP85" i="1"/>
  <c r="AQ85" i="1" s="1"/>
  <c r="AT85" i="1" s="1"/>
  <c r="AO33" i="1"/>
  <c r="AR33" i="1" s="1"/>
  <c r="AS33" i="1" s="1"/>
  <c r="AP39" i="1"/>
  <c r="AQ39" i="1" s="1"/>
  <c r="AT39" i="1" s="1"/>
  <c r="AO156" i="1"/>
  <c r="AR156" i="1" s="1"/>
  <c r="AS156" i="1" s="1"/>
  <c r="AP156" i="1"/>
  <c r="AQ156" i="1" s="1"/>
  <c r="AT156" i="1" s="1"/>
  <c r="AP2" i="1"/>
  <c r="AQ2" i="1" s="1"/>
  <c r="AT2" i="1" s="1"/>
  <c r="AO2" i="1"/>
  <c r="AR2" i="1" s="1"/>
  <c r="AS2" i="1" s="1"/>
  <c r="AP28" i="1"/>
  <c r="AQ28" i="1" s="1"/>
  <c r="AT28" i="1" s="1"/>
  <c r="AO28" i="1"/>
  <c r="AR28" i="1" s="1"/>
  <c r="AS28" i="1" s="1"/>
  <c r="AP191" i="1" l="1"/>
  <c r="AQ191" i="1" s="1"/>
  <c r="AT191" i="1" s="1"/>
  <c r="AP141" i="1"/>
  <c r="AQ141" i="1" s="1"/>
  <c r="AT141" i="1" s="1"/>
  <c r="AP47" i="1"/>
  <c r="AQ47" i="1" s="1"/>
  <c r="AT47" i="1" s="1"/>
  <c r="AP66" i="1"/>
  <c r="AQ66" i="1" s="1"/>
  <c r="AT66" i="1" s="1"/>
  <c r="AP10" i="1"/>
  <c r="AQ10" i="1" s="1"/>
  <c r="AT10" i="1" s="1"/>
  <c r="AP12" i="1"/>
  <c r="AQ12" i="1" s="1"/>
  <c r="AT12" i="1" s="1"/>
  <c r="AO116" i="1"/>
  <c r="AR116" i="1" s="1"/>
  <c r="AS116" i="1" s="1"/>
  <c r="AO79" i="1"/>
  <c r="AR79" i="1" s="1"/>
  <c r="AS79" i="1" s="1"/>
  <c r="AO67" i="1"/>
  <c r="AR67" i="1" s="1"/>
  <c r="AS67" i="1" s="1"/>
  <c r="AP87" i="1"/>
  <c r="AQ87" i="1" s="1"/>
  <c r="AT87" i="1" s="1"/>
  <c r="AO17" i="1"/>
  <c r="AR17" i="1" s="1"/>
  <c r="AS17" i="1" s="1"/>
  <c r="AO82" i="1"/>
  <c r="AR82" i="1" s="1"/>
  <c r="AS82" i="1" s="1"/>
  <c r="AP11" i="1"/>
  <c r="AQ11" i="1" s="1"/>
  <c r="AT11" i="1" s="1"/>
  <c r="AP109" i="1"/>
  <c r="AQ109" i="1" s="1"/>
  <c r="AT109" i="1" s="1"/>
  <c r="AO27" i="1"/>
  <c r="AR27" i="1" s="1"/>
  <c r="AS27" i="1" s="1"/>
  <c r="AO70" i="1"/>
  <c r="AR70" i="1" s="1"/>
  <c r="AS70" i="1" s="1"/>
  <c r="AO133" i="1"/>
  <c r="AR133" i="1" s="1"/>
  <c r="AS133" i="1" s="1"/>
  <c r="AP55" i="1"/>
  <c r="AQ55" i="1" s="1"/>
  <c r="AT55" i="1" s="1"/>
  <c r="AO97" i="1"/>
  <c r="AR97" i="1" s="1"/>
  <c r="AS97" i="1" s="1"/>
  <c r="AP36" i="1"/>
  <c r="AQ36" i="1" s="1"/>
  <c r="AT36" i="1" s="1"/>
  <c r="AP46" i="1"/>
  <c r="AQ46" i="1" s="1"/>
  <c r="AT46" i="1" s="1"/>
  <c r="AO6" i="1"/>
  <c r="AR6" i="1" s="1"/>
  <c r="AS6" i="1" s="1"/>
  <c r="AO164" i="1"/>
  <c r="AR164" i="1" s="1"/>
  <c r="AS164" i="1" s="1"/>
  <c r="AP172" i="1"/>
  <c r="AQ172" i="1" s="1"/>
  <c r="AT172" i="1" s="1"/>
  <c r="AP159" i="1"/>
  <c r="AQ159" i="1" s="1"/>
  <c r="AT159" i="1" s="1"/>
  <c r="AP122" i="1"/>
  <c r="AQ122" i="1" s="1"/>
  <c r="AT122" i="1" s="1"/>
  <c r="AP195" i="1"/>
  <c r="AQ195" i="1" s="1"/>
  <c r="AT195" i="1" s="1"/>
  <c r="AP108" i="1"/>
  <c r="AQ108" i="1" s="1"/>
  <c r="AT108" i="1" s="1"/>
  <c r="AO20" i="1"/>
  <c r="AR20" i="1" s="1"/>
  <c r="AS20" i="1" s="1"/>
  <c r="AP158" i="1"/>
  <c r="AQ158" i="1" s="1"/>
  <c r="AT158" i="1" s="1"/>
  <c r="AO22" i="1"/>
  <c r="AR22" i="1" s="1"/>
  <c r="AS22" i="1" s="1"/>
  <c r="AO202" i="1"/>
  <c r="AR202" i="1" s="1"/>
  <c r="AS202" i="1" s="1"/>
  <c r="AP150" i="1"/>
  <c r="AQ150" i="1" s="1"/>
  <c r="AT150" i="1" s="1"/>
  <c r="AP41" i="1"/>
  <c r="AQ41" i="1" s="1"/>
  <c r="AT41" i="1" s="1"/>
  <c r="AO119" i="1"/>
  <c r="AR119" i="1" s="1"/>
  <c r="AS119" i="1" s="1"/>
  <c r="AO60" i="1"/>
  <c r="AR60" i="1" s="1"/>
  <c r="AS60" i="1" s="1"/>
  <c r="AO170" i="1"/>
  <c r="AR170" i="1" s="1"/>
  <c r="AS170" i="1" s="1"/>
  <c r="AO192" i="1"/>
  <c r="AR192" i="1" s="1"/>
  <c r="AS192" i="1" s="1"/>
  <c r="AO105" i="1"/>
  <c r="AR105" i="1" s="1"/>
  <c r="AS105" i="1" s="1"/>
  <c r="AP77" i="1"/>
  <c r="AQ77" i="1" s="1"/>
  <c r="AT77" i="1" s="1"/>
  <c r="AO59" i="1"/>
  <c r="AR59" i="1" s="1"/>
  <c r="AS59" i="1" s="1"/>
  <c r="AO72" i="1"/>
  <c r="AR72" i="1" s="1"/>
  <c r="AS72" i="1" s="1"/>
  <c r="AO43" i="1"/>
  <c r="AR43" i="1" s="1"/>
  <c r="AS43" i="1" s="1"/>
  <c r="AP160" i="1"/>
  <c r="AQ160" i="1" s="1"/>
  <c r="AT160" i="1" s="1"/>
  <c r="AP58" i="1"/>
  <c r="AQ58" i="1" s="1"/>
  <c r="AT58" i="1" s="1"/>
  <c r="AP48" i="1"/>
  <c r="AQ48" i="1" s="1"/>
  <c r="AT48" i="1" s="1"/>
  <c r="AP14" i="1"/>
  <c r="AQ14" i="1" s="1"/>
  <c r="AT14" i="1" s="1"/>
  <c r="AO106" i="1"/>
  <c r="AR106" i="1" s="1"/>
  <c r="AS106" i="1" s="1"/>
  <c r="AO187" i="1"/>
  <c r="AR187" i="1" s="1"/>
  <c r="AS187" i="1" s="1"/>
  <c r="AP19" i="1"/>
  <c r="AQ19" i="1" s="1"/>
  <c r="AT19" i="1" s="1"/>
  <c r="AO131" i="1"/>
  <c r="AR131" i="1" s="1"/>
  <c r="AS131" i="1" s="1"/>
  <c r="AP84" i="1"/>
  <c r="AQ84" i="1" s="1"/>
  <c r="AT84" i="1" s="1"/>
  <c r="AP98" i="1"/>
  <c r="AQ98" i="1" s="1"/>
  <c r="AT98" i="1" s="1"/>
  <c r="AP110" i="1"/>
  <c r="AQ110" i="1" s="1"/>
  <c r="AT110" i="1" s="1"/>
  <c r="AP26" i="1"/>
  <c r="AQ26" i="1" s="1"/>
  <c r="AT26" i="1" s="1"/>
  <c r="AO49" i="1"/>
  <c r="AR49" i="1" s="1"/>
  <c r="AS49" i="1" s="1"/>
  <c r="AP139" i="1"/>
  <c r="AQ139" i="1" s="1"/>
  <c r="AT139" i="1" s="1"/>
  <c r="AP32" i="1"/>
  <c r="AQ32" i="1" s="1"/>
  <c r="AT32" i="1" s="1"/>
  <c r="AO4" i="1"/>
  <c r="AR4" i="1" s="1"/>
  <c r="AS4" i="1" s="1"/>
  <c r="AP152" i="1"/>
  <c r="AQ152" i="1" s="1"/>
  <c r="AT152" i="1" s="1"/>
  <c r="AP94" i="1"/>
  <c r="AQ94" i="1" s="1"/>
  <c r="AT94" i="1" s="1"/>
  <c r="AP169" i="1"/>
  <c r="AQ169" i="1" s="1"/>
  <c r="AT169" i="1" s="1"/>
  <c r="AO102" i="1"/>
  <c r="AR102" i="1" s="1"/>
  <c r="AS102" i="1" s="1"/>
  <c r="AP104" i="1"/>
  <c r="AQ104" i="1" s="1"/>
  <c r="AT104" i="1" s="1"/>
  <c r="AP166" i="1"/>
  <c r="AQ166" i="1" s="1"/>
  <c r="AT166" i="1" s="1"/>
  <c r="AP37" i="1"/>
  <c r="AQ37" i="1" s="1"/>
  <c r="AT37" i="1" s="1"/>
  <c r="AO165" i="1"/>
  <c r="AR165" i="1" s="1"/>
  <c r="AS165" i="1" s="1"/>
  <c r="AP171" i="1"/>
  <c r="AQ171" i="1" s="1"/>
  <c r="AT171" i="1" s="1"/>
  <c r="AP188" i="1"/>
  <c r="AQ188" i="1" s="1"/>
  <c r="AT188" i="1" s="1"/>
  <c r="AP196" i="1"/>
  <c r="AQ196" i="1" s="1"/>
  <c r="AT196" i="1" s="1"/>
  <c r="AO114" i="1"/>
  <c r="AR114" i="1" s="1"/>
  <c r="AS114" i="1" s="1"/>
  <c r="AP51" i="1"/>
  <c r="AQ51" i="1" s="1"/>
  <c r="AT51" i="1" s="1"/>
  <c r="AO73" i="1"/>
  <c r="AR73" i="1" s="1"/>
  <c r="AS73" i="1" s="1"/>
  <c r="AP21" i="1"/>
  <c r="AQ21" i="1" s="1"/>
  <c r="AT21" i="1" s="1"/>
  <c r="AP145" i="1"/>
  <c r="AQ145" i="1" s="1"/>
  <c r="AT145" i="1" s="1"/>
  <c r="AP107" i="1"/>
  <c r="AQ107" i="1" s="1"/>
  <c r="AT107" i="1" s="1"/>
  <c r="AP120" i="1"/>
  <c r="AQ120" i="1" s="1"/>
  <c r="AT120" i="1" s="1"/>
  <c r="AP91" i="1"/>
  <c r="AQ91" i="1" s="1"/>
  <c r="AT91" i="1" s="1"/>
  <c r="AP113" i="1"/>
  <c r="AQ113" i="1" s="1"/>
  <c r="AT113" i="1" s="1"/>
  <c r="AO175" i="1"/>
  <c r="AR175" i="1" s="1"/>
  <c r="AS175" i="1" s="1"/>
  <c r="AO64" i="1"/>
  <c r="AR64" i="1" s="1"/>
  <c r="AS64" i="1" s="1"/>
  <c r="AP142" i="1"/>
  <c r="AQ142" i="1" s="1"/>
  <c r="AT142" i="1" s="1"/>
  <c r="AP140" i="1"/>
  <c r="AQ140" i="1" s="1"/>
  <c r="AT140" i="1" s="1"/>
  <c r="AP62" i="1"/>
  <c r="AQ62" i="1" s="1"/>
  <c r="AT62" i="1" s="1"/>
  <c r="AP149" i="1"/>
  <c r="AQ149" i="1" s="1"/>
  <c r="AT149" i="1" s="1"/>
  <c r="AO61" i="1"/>
  <c r="AR61" i="1" s="1"/>
  <c r="AS61" i="1" s="1"/>
  <c r="AP117" i="1"/>
  <c r="AQ117" i="1" s="1"/>
  <c r="AT117" i="1" s="1"/>
  <c r="AO118" i="1"/>
  <c r="AR118" i="1" s="1"/>
  <c r="AS118" i="1" s="1"/>
  <c r="AO134" i="1"/>
  <c r="AR134" i="1" s="1"/>
  <c r="AS134" i="1" s="1"/>
  <c r="AP130" i="1"/>
  <c r="AQ130" i="1" s="1"/>
  <c r="AT130" i="1" s="1"/>
  <c r="AP24" i="1"/>
  <c r="AQ24" i="1" s="1"/>
  <c r="AT24" i="1" s="1"/>
  <c r="AO199" i="1"/>
  <c r="AR199" i="1" s="1"/>
  <c r="AS199" i="1" s="1"/>
  <c r="AO185" i="1"/>
  <c r="AR185" i="1" s="1"/>
  <c r="AS185" i="1" s="1"/>
  <c r="AP189" i="1"/>
  <c r="AQ189" i="1" s="1"/>
  <c r="AT189" i="1" s="1"/>
  <c r="AO30" i="1"/>
  <c r="AR30" i="1" s="1"/>
  <c r="AS30" i="1" s="1"/>
  <c r="AP34" i="1"/>
  <c r="AQ34" i="1" s="1"/>
  <c r="AT34" i="1" s="1"/>
  <c r="AO15" i="1"/>
  <c r="AR15" i="1" s="1"/>
  <c r="AS15" i="1" s="1"/>
  <c r="AP23" i="1"/>
  <c r="AQ23" i="1" s="1"/>
  <c r="AT23" i="1" s="1"/>
  <c r="AP18" i="1"/>
  <c r="AQ18" i="1" s="1"/>
  <c r="AT18" i="1" s="1"/>
  <c r="AO146" i="1"/>
  <c r="AR146" i="1" s="1"/>
  <c r="AS146" i="1" s="1"/>
  <c r="AP103" i="1"/>
  <c r="AQ103" i="1" s="1"/>
  <c r="AT103" i="1" s="1"/>
  <c r="AO76" i="1"/>
  <c r="AR76" i="1" s="1"/>
  <c r="AS76" i="1" s="1"/>
  <c r="AP137" i="1"/>
  <c r="AQ137" i="1" s="1"/>
  <c r="AT137" i="1" s="1"/>
  <c r="AP112" i="1"/>
  <c r="AQ112" i="1" s="1"/>
  <c r="AT112" i="1" s="1"/>
  <c r="AO25" i="1"/>
  <c r="AR25" i="1" s="1"/>
  <c r="AS25" i="1" s="1"/>
  <c r="AP57" i="1"/>
  <c r="AQ57" i="1" s="1"/>
  <c r="AT57" i="1" s="1"/>
  <c r="AP35" i="1"/>
  <c r="AQ35" i="1" s="1"/>
  <c r="AT35" i="1" s="1"/>
  <c r="AP127" i="1"/>
  <c r="AQ127" i="1" s="1"/>
  <c r="AT127" i="1" s="1"/>
  <c r="AP54" i="1"/>
  <c r="AQ54" i="1" s="1"/>
  <c r="AT54" i="1" s="1"/>
  <c r="AP115" i="1"/>
  <c r="AQ115" i="1" s="1"/>
  <c r="AT115" i="1" s="1"/>
  <c r="AO186" i="1"/>
  <c r="AR186" i="1" s="1"/>
  <c r="AS186" i="1" s="1"/>
  <c r="AO153" i="1"/>
  <c r="AR153" i="1" s="1"/>
  <c r="AS153" i="1" s="1"/>
  <c r="AP13" i="1"/>
  <c r="AQ13" i="1" s="1"/>
  <c r="AT13" i="1" s="1"/>
  <c r="AO81" i="1"/>
  <c r="AR81" i="1" s="1"/>
  <c r="AS81" i="1" s="1"/>
  <c r="AO144" i="1"/>
  <c r="AR144" i="1" s="1"/>
  <c r="AS144" i="1" s="1"/>
  <c r="AO197" i="1"/>
  <c r="AR197" i="1" s="1"/>
  <c r="AS197" i="1" s="1"/>
  <c r="AO86" i="1"/>
  <c r="AR86" i="1" s="1"/>
  <c r="AS86" i="1" s="1"/>
  <c r="AP50" i="1"/>
  <c r="AQ50" i="1" s="1"/>
  <c r="AT50" i="1" s="1"/>
  <c r="AO184" i="1"/>
  <c r="AR184" i="1" s="1"/>
  <c r="AS184" i="1" s="1"/>
  <c r="AP183" i="1"/>
  <c r="AQ183" i="1" s="1"/>
  <c r="AT183" i="1" s="1"/>
  <c r="AO147" i="1"/>
  <c r="AR147" i="1" s="1"/>
  <c r="AS147" i="1" s="1"/>
  <c r="AP154" i="1"/>
  <c r="AQ154" i="1" s="1"/>
  <c r="AT154" i="1" s="1"/>
  <c r="AP75" i="1"/>
  <c r="AQ75" i="1" s="1"/>
  <c r="AT75" i="1" s="1"/>
  <c r="AP174" i="1"/>
  <c r="AQ174" i="1" s="1"/>
  <c r="AT174" i="1" s="1"/>
  <c r="AO194" i="1"/>
  <c r="AR194" i="1" s="1"/>
  <c r="AS194" i="1" s="1"/>
  <c r="AP181" i="1"/>
  <c r="AQ181" i="1" s="1"/>
  <c r="AT181" i="1" s="1"/>
  <c r="AO40" i="1"/>
  <c r="AR40" i="1" s="1"/>
  <c r="AS40" i="1" s="1"/>
  <c r="AO179" i="1"/>
  <c r="AR179" i="1" s="1"/>
  <c r="AS179" i="1" s="1"/>
  <c r="AO136" i="1"/>
  <c r="AR136" i="1" s="1"/>
  <c r="AS136" i="1" s="1"/>
  <c r="AP89" i="1"/>
  <c r="AQ89" i="1" s="1"/>
  <c r="AT89" i="1" s="1"/>
  <c r="AO38" i="1"/>
  <c r="AR38" i="1" s="1"/>
  <c r="AS38" i="1" s="1"/>
  <c r="AP53" i="1"/>
  <c r="AQ53" i="1" s="1"/>
  <c r="AT53" i="1" s="1"/>
  <c r="AP138" i="1"/>
  <c r="AQ138" i="1" s="1"/>
  <c r="AT138" i="1" s="1"/>
  <c r="AP161" i="1"/>
  <c r="AQ161" i="1" s="1"/>
  <c r="AT161" i="1" s="1"/>
  <c r="AP88" i="1"/>
  <c r="AQ88" i="1" s="1"/>
  <c r="AT88" i="1" s="1"/>
  <c r="AO162" i="1"/>
  <c r="AR162" i="1" s="1"/>
  <c r="AS162" i="1" s="1"/>
  <c r="AO201" i="1"/>
  <c r="AR201" i="1" s="1"/>
  <c r="AS201" i="1" s="1"/>
  <c r="AP173" i="1"/>
  <c r="AQ173" i="1" s="1"/>
  <c r="AT173" i="1" s="1"/>
</calcChain>
</file>

<file path=xl/comments1.xml><?xml version="1.0" encoding="utf-8"?>
<comments xmlns="http://schemas.openxmlformats.org/spreadsheetml/2006/main">
  <authors>
    <author>ffgd3d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Scales with square root of current unless switch size is changed.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Adder to load scales with switch size.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Scales inversely with switch size.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Adder to load scales with switch size.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Scales with VIN assuming the same impact from Cdiode, Miller C, Coss charge/discharge.
Scales inversely with switch size if driver also scaled since peak adder current prior to voltage rise is higher.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No scaling with VIN or switch size.</t>
        </r>
      </text>
    </comment>
  </commentList>
</comments>
</file>

<file path=xl/sharedStrings.xml><?xml version="1.0" encoding="utf-8"?>
<sst xmlns="http://schemas.openxmlformats.org/spreadsheetml/2006/main" count="227" uniqueCount="164">
  <si>
    <t>DESIGN INPUTS</t>
  </si>
  <si>
    <t>Enter Values</t>
  </si>
  <si>
    <t>MAX INPUT VOLTAGE(Vin)</t>
  </si>
  <si>
    <t>MIN INPUT VOLTAGE(Vin)</t>
  </si>
  <si>
    <t>OUTPUT VOLTAGE(Vo)</t>
  </si>
  <si>
    <t>LOAD CURRENT(Io)</t>
  </si>
  <si>
    <t>SWITCHING FREQUENCY(Fsw)</t>
  </si>
  <si>
    <t>Tsw</t>
  </si>
  <si>
    <t>CROSSOVER FREQUENCY(Fc)</t>
  </si>
  <si>
    <t>HIGH SIDE MOSFET ON RESISTANCE(Rdson)</t>
  </si>
  <si>
    <t>LOW SIDE MOSFET ON RESISTANCE(Rdson)</t>
  </si>
  <si>
    <r>
      <t>ERROR AMPLIFIER TRANSCONDUCTANCE (g</t>
    </r>
    <r>
      <rPr>
        <b/>
        <sz val="6"/>
        <rFont val="Arial"/>
        <family val="2"/>
      </rPr>
      <t>M</t>
    </r>
    <r>
      <rPr>
        <b/>
        <sz val="10"/>
        <rFont val="Arial"/>
        <family val="2"/>
      </rPr>
      <t>)</t>
    </r>
  </si>
  <si>
    <t>Duty Cycle</t>
  </si>
  <si>
    <t>∆Vin or input ripple voltage</t>
  </si>
  <si>
    <t>Input Capacitor</t>
  </si>
  <si>
    <t>Input Capacitor RMS current</t>
  </si>
  <si>
    <t>Ro</t>
  </si>
  <si>
    <t>DCR (inductor resistance)</t>
  </si>
  <si>
    <t>OUTPUT CAPACITOR</t>
  </si>
  <si>
    <t>ESR of output capacitor</t>
  </si>
  <si>
    <t>Peak to Peak Ripple:capacitive component</t>
  </si>
  <si>
    <t>Peak to Peak Ripple:ESR component</t>
  </si>
  <si>
    <t>VOLTAGE DIVIDER NETWORK</t>
  </si>
  <si>
    <t>Actual Output Voltage</t>
  </si>
  <si>
    <t>COMPENSATION</t>
  </si>
  <si>
    <t>Suggested Cc</t>
  </si>
  <si>
    <t>Suggested Rc</t>
  </si>
  <si>
    <t>Suggested Cf</t>
  </si>
  <si>
    <t>Zero Location</t>
  </si>
  <si>
    <t>Pole Location</t>
  </si>
  <si>
    <t>D</t>
  </si>
  <si>
    <t>f</t>
  </si>
  <si>
    <t>s</t>
  </si>
  <si>
    <t>g1</t>
  </si>
  <si>
    <t>g2</t>
  </si>
  <si>
    <t>g3</t>
  </si>
  <si>
    <t>g4</t>
  </si>
  <si>
    <t>Vout(s)/Verr(s)</t>
  </si>
  <si>
    <t>|Vout(s)/Verr(s)|</t>
  </si>
  <si>
    <t>ang</t>
  </si>
  <si>
    <t>°</t>
  </si>
  <si>
    <t>db</t>
  </si>
  <si>
    <t>ota1</t>
  </si>
  <si>
    <t>ota2</t>
  </si>
  <si>
    <t>ota3</t>
  </si>
  <si>
    <t>g(s)</t>
  </si>
  <si>
    <t>|(g(s)|</t>
  </si>
  <si>
    <t>Gain At Frequency</t>
  </si>
  <si>
    <t>Minimum Frequency</t>
  </si>
  <si>
    <t>D'</t>
  </si>
  <si>
    <t>wn</t>
  </si>
  <si>
    <t>Maximum Frequency</t>
  </si>
  <si>
    <t>Tsw_</t>
  </si>
  <si>
    <t>Qp</t>
  </si>
  <si>
    <t>Mccm</t>
  </si>
  <si>
    <t>wz1</t>
  </si>
  <si>
    <t>Ω</t>
  </si>
  <si>
    <t>M</t>
  </si>
  <si>
    <t>Sn</t>
  </si>
  <si>
    <t>A/s</t>
  </si>
  <si>
    <t>wp1</t>
  </si>
  <si>
    <t>mc</t>
  </si>
  <si>
    <t>Rout</t>
  </si>
  <si>
    <t>Se</t>
  </si>
  <si>
    <t>Dmax</t>
  </si>
  <si>
    <t>Rsw_eq</t>
  </si>
  <si>
    <t>Cout</t>
  </si>
  <si>
    <t>Cesr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</si>
  <si>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</si>
  <si>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</si>
  <si>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</si>
  <si>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</si>
  <si>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</si>
  <si>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</si>
  <si>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</si>
  <si>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</si>
  <si>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</si>
  <si>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</si>
  <si>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</si>
  <si>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</si>
  <si>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t>L</t>
  </si>
  <si>
    <t>Vout</t>
  </si>
  <si>
    <t>N/A</t>
  </si>
  <si>
    <t>NOMINAL INPUT VOLTAGE</t>
  </si>
  <si>
    <t>INPUT CAPACITOR</t>
  </si>
  <si>
    <t>INDUCTOR CURRENT RIPPLE</t>
  </si>
  <si>
    <t>INDUCTOR</t>
  </si>
  <si>
    <t xml:space="preserve">∆ Load step </t>
  </si>
  <si>
    <t>OUTPUT VOLTAGE CHANGE(STEP LOAD) (%)</t>
  </si>
  <si>
    <t>∆Vout</t>
  </si>
  <si>
    <t>RFB2 (LOWER)</t>
  </si>
  <si>
    <t>RFB1 (UPPER)</t>
  </si>
  <si>
    <t>Values used</t>
  </si>
  <si>
    <t>Ri</t>
  </si>
  <si>
    <t>com_c1</t>
  </si>
  <si>
    <t>comp_c2</t>
  </si>
  <si>
    <t>Cout(output capacitance)</t>
  </si>
  <si>
    <t>Rload</t>
  </si>
  <si>
    <t>L(output Inductance)</t>
  </si>
  <si>
    <t>%</t>
  </si>
  <si>
    <t>V</t>
  </si>
  <si>
    <t>A</t>
  </si>
  <si>
    <t>Hz</t>
  </si>
  <si>
    <t xml:space="preserve">% </t>
  </si>
  <si>
    <t>S</t>
  </si>
  <si>
    <t>INPUT VOLTAGE RIPPLE</t>
  </si>
  <si>
    <t>Calculation</t>
  </si>
  <si>
    <t>MHz</t>
  </si>
  <si>
    <t>uF</t>
  </si>
  <si>
    <t>uH</t>
  </si>
  <si>
    <t>pF</t>
  </si>
  <si>
    <t>Note: There is a 18pF capacitor at the output of the OTA integrated in the IC, and if a larger capacitor needs to be used, please subtract this value from Cf.</t>
  </si>
  <si>
    <t>Note: The selected inductor value must be larger than the calculated value.  This design sheet is only for continuous conduction mode.</t>
  </si>
  <si>
    <t>NCV89010x / NCV89020x min input voltage calculator</t>
  </si>
  <si>
    <t>rev. 0</t>
  </si>
  <si>
    <t xml:space="preserve">Calculates the Vin thresholds at which: </t>
  </si>
  <si>
    <t>Vout =</t>
  </si>
  <si>
    <t>Iout</t>
  </si>
  <si>
    <t>Vin min @ 2MHz</t>
  </si>
  <si>
    <t>Vin min (loss of reg)</t>
  </si>
  <si>
    <t>* note: the regulator shuts down when Vin is lower than 4.2 V typical (4.5 V max.)</t>
  </si>
  <si>
    <t>NCV8902xx (2A 2MHz Buck Regulator)</t>
  </si>
  <si>
    <t>Worst Case Maximum Allowable Ambient Temperature</t>
  </si>
  <si>
    <t xml:space="preserve">Output Voltage: </t>
  </si>
  <si>
    <t xml:space="preserve">Output Current: </t>
  </si>
  <si>
    <t>Reference output current</t>
  </si>
  <si>
    <t xml:space="preserve">Switching Frequency: </t>
  </si>
  <si>
    <t>kHz</t>
  </si>
  <si>
    <t xml:space="preserve">Diode forward voltage: </t>
  </si>
  <si>
    <t>Rdson</t>
  </si>
  <si>
    <t xml:space="preserve">R theta j-a: </t>
  </si>
  <si>
    <t>°C/W</t>
  </si>
  <si>
    <t>BST LDO Load</t>
  </si>
  <si>
    <t>mA</t>
  </si>
  <si>
    <t>Iq</t>
  </si>
  <si>
    <t>Reference</t>
  </si>
  <si>
    <t>Input Voltage</t>
  </si>
  <si>
    <t>Operating Switching Frequency (kHz)</t>
  </si>
  <si>
    <t>=Vin+VD</t>
  </si>
  <si>
    <t>=0 to Load</t>
  </si>
  <si>
    <t>t1</t>
  </si>
  <si>
    <t>=Vin-1</t>
  </si>
  <si>
    <t>=Load to Load+0.4</t>
  </si>
  <si>
    <t>t2</t>
  </si>
  <si>
    <t>=Vin-1 to 1V</t>
  </si>
  <si>
    <t>=Load+0.4 to Load</t>
  </si>
  <si>
    <t>t3</t>
  </si>
  <si>
    <t>=0.5V</t>
  </si>
  <si>
    <t>=Load</t>
  </si>
  <si>
    <t>t4</t>
  </si>
  <si>
    <t>t1 switching loss</t>
  </si>
  <si>
    <t>t2 switching loss</t>
  </si>
  <si>
    <t>t3 switching loss</t>
  </si>
  <si>
    <t>t4 switching loss</t>
  </si>
  <si>
    <t>Switching Losses (W)</t>
  </si>
  <si>
    <t>Conduction losses (W)</t>
  </si>
  <si>
    <t>Total FET losses (W)</t>
  </si>
  <si>
    <t>Bootstrap LDO losses (W)</t>
  </si>
  <si>
    <t>Iq losses (W)</t>
  </si>
  <si>
    <t>Total Dissipation (W)</t>
  </si>
  <si>
    <t>Temp rise (°C)</t>
  </si>
  <si>
    <t>Max ambient (°C)</t>
  </si>
  <si>
    <t>Diode power dissipation (W)</t>
  </si>
  <si>
    <r>
      <t xml:space="preserve">This spreadsheet calculates the maximum ambient temperature which ensures that the junction temperature of the IC doesn't exceed 150°C in the worst case.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 xml:space="preserve">Enter the output voltage, output current, switching frequency and Rtheta(j-a) of the application; and adjust the minimum and maximum input voltages. Use worst case values for a worst case result.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The Bootstrap LDO losses can be excluded if an external 3.3 V bootstrap voltage source is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</si>
</sst>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000"/>
    <numFmt numFmtId="166" formatCode="0.000"/>
    <numFmt numFmtId="167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name val="돋움체"/>
      <family val="3"/>
      <charset val="129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6" tint="-0.499984740745262"/>
      <name val="Arial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F48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>
      <protection locked="0"/>
    </xf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Protection="1">
      <protection locked="0"/>
    </xf>
    <xf numFmtId="0" fontId="0" fillId="0" borderId="0" xfId="3" applyFont="1" applyFill="1" applyProtection="1"/>
    <xf numFmtId="0" fontId="10" fillId="0" borderId="0" xfId="0" applyFont="1" applyAlignment="1">
      <alignment horizontal="center"/>
    </xf>
    <xf numFmtId="0" fontId="1" fillId="4" borderId="2" xfId="3" applyBorder="1" applyAlignment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2" xfId="3" applyBorder="1" applyAlignment="1" applyProtection="1">
      <alignment horizontal="center"/>
      <protection locked="0"/>
    </xf>
    <xf numFmtId="0" fontId="1" fillId="4" borderId="0" xfId="3" applyProtection="1"/>
    <xf numFmtId="0" fontId="5" fillId="0" borderId="0" xfId="0" applyFont="1" applyFill="1" applyBorder="1" applyAlignment="1" applyProtection="1">
      <alignment horizontal="center"/>
    </xf>
    <xf numFmtId="0" fontId="11" fillId="2" borderId="2" xfId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2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2" applyNumberFormat="1" applyAlignment="1" applyProtection="1">
      <alignment horizontal="center"/>
    </xf>
    <xf numFmtId="0" fontId="3" fillId="3" borderId="4" xfId="2" applyNumberFormat="1" applyBorder="1" applyAlignment="1" applyProtection="1">
      <alignment horizontal="center"/>
    </xf>
    <xf numFmtId="0" fontId="3" fillId="3" borderId="5" xfId="2" applyNumberFormat="1" applyBorder="1" applyAlignment="1" applyProtection="1">
      <alignment horizontal="center"/>
    </xf>
    <xf numFmtId="0" fontId="3" fillId="3" borderId="3" xfId="2" applyNumberFormat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Alignment="1" applyProtection="1"/>
    <xf numFmtId="0" fontId="6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1" fontId="0" fillId="0" borderId="0" xfId="0" applyNumberFormat="1" applyFill="1" applyBorder="1" applyAlignment="1" applyProtection="1">
      <alignment horizontal="center"/>
    </xf>
    <xf numFmtId="11" fontId="6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NumberFormat="1" applyFont="1" applyProtection="1"/>
    <xf numFmtId="0" fontId="6" fillId="0" borderId="0" xfId="0" applyFont="1" applyAlignment="1" applyProtection="1"/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center"/>
    </xf>
    <xf numFmtId="165" fontId="6" fillId="0" borderId="0" xfId="0" applyNumberFormat="1" applyFont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2" xfId="1" applyBorder="1" applyAlignment="1" applyProtection="1">
      <alignment horizontal="center"/>
    </xf>
    <xf numFmtId="0" fontId="0" fillId="4" borderId="2" xfId="3" applyNumberFormat="1" applyFont="1" applyBorder="1" applyAlignment="1" applyProtection="1">
      <alignment horizontal="center"/>
      <protection locked="0"/>
    </xf>
    <xf numFmtId="0" fontId="3" fillId="3" borderId="1" xfId="2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5" borderId="1" xfId="2" applyFont="1" applyFill="1" applyAlignment="1" applyProtection="1">
      <alignment horizontal="center"/>
    </xf>
    <xf numFmtId="0" fontId="0" fillId="0" borderId="0" xfId="0" applyAlignment="1" applyProtection="1">
      <alignment wrapText="1"/>
    </xf>
    <xf numFmtId="0" fontId="15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6" borderId="0" xfId="0" applyFont="1" applyFill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6" fillId="7" borderId="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9" fontId="1" fillId="0" borderId="0" xfId="4" applyFont="1" applyAlignment="1" applyProtection="1">
      <alignment vertical="center"/>
      <protection hidden="1"/>
    </xf>
    <xf numFmtId="167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66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right" vertical="center"/>
      <protection hidden="1"/>
    </xf>
    <xf numFmtId="166" fontId="0" fillId="0" borderId="0" xfId="0" applyNumberForma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16" fillId="7" borderId="9" xfId="0" applyFont="1" applyFill="1" applyBorder="1" applyAlignment="1" applyProtection="1">
      <alignment horizontal="center" vertical="center"/>
      <protection locked="0"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8" xfId="0" quotePrefix="1" applyBorder="1" applyAlignment="1" applyProtection="1">
      <alignment horizontal="center" vertic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22" fillId="0" borderId="28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67" fontId="0" fillId="0" borderId="29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166" fontId="0" fillId="0" borderId="29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" fontId="0" fillId="0" borderId="24" xfId="0" applyNumberFormat="1" applyBorder="1" applyAlignment="1" applyProtection="1">
      <alignment horizontal="center" vertical="center"/>
      <protection hidden="1"/>
    </xf>
    <xf numFmtId="1" fontId="0" fillId="0" borderId="31" xfId="0" applyNumberFormat="1" applyBorder="1" applyAlignment="1" applyProtection="1">
      <alignment horizontal="center" vertical="center"/>
      <protection hidden="1"/>
    </xf>
    <xf numFmtId="0" fontId="24" fillId="8" borderId="21" xfId="0" applyFont="1" applyFill="1" applyBorder="1" applyAlignment="1" applyProtection="1">
      <alignment horizontal="center" vertical="center"/>
      <protection hidden="1"/>
    </xf>
    <xf numFmtId="0" fontId="24" fillId="8" borderId="22" xfId="0" applyFont="1" applyFill="1" applyBorder="1" applyAlignment="1" applyProtection="1">
      <alignment horizontal="center" vertical="center"/>
      <protection hidden="1"/>
    </xf>
    <xf numFmtId="0" fontId="24" fillId="8" borderId="23" xfId="0" applyFont="1" applyFill="1" applyBorder="1" applyAlignment="1" applyProtection="1">
      <alignment horizontal="center" vertical="center"/>
      <protection hidden="1"/>
    </xf>
    <xf numFmtId="1" fontId="24" fillId="8" borderId="21" xfId="0" applyNumberFormat="1" applyFont="1" applyFill="1" applyBorder="1" applyAlignment="1" applyProtection="1">
      <alignment horizontal="center" vertical="center"/>
      <protection hidden="1"/>
    </xf>
    <xf numFmtId="1" fontId="24" fillId="8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" fontId="5" fillId="0" borderId="22" xfId="0" applyNumberFormat="1" applyFont="1" applyBorder="1" applyAlignment="1" applyProtection="1">
      <alignment horizontal="center" vertical="center"/>
      <protection hidden="1"/>
    </xf>
    <xf numFmtId="1" fontId="5" fillId="0" borderId="27" xfId="0" applyNumberFormat="1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166" fontId="18" fillId="0" borderId="25" xfId="0" applyNumberFormat="1" applyFont="1" applyBorder="1" applyAlignment="1" applyProtection="1">
      <alignment horizontal="center" vertical="center"/>
      <protection hidden="1"/>
    </xf>
    <xf numFmtId="166" fontId="18" fillId="0" borderId="31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 wrapText="1"/>
      <protection hidden="1"/>
    </xf>
  </cellXfs>
  <cellStyles count="5">
    <cellStyle name="Calculation" xfId="2" builtinId="22"/>
    <cellStyle name="Good" xfId="1" builtinId="26"/>
    <cellStyle name="Normal" xfId="0" builtinId="0"/>
    <cellStyle name="ONInput" xfId="3"/>
    <cellStyle name="Percent" xfId="4" builtinId="5"/>
  </cellStyles>
  <dxfs count="1"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 / Vout (Compensator)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6269310616249"/>
          <c:y val="0.14946716994325607"/>
          <c:w val="0.73143280969597613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tool'!$AQ$1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tool'!$AQ$2:$AQ$202</c:f>
              <c:numCache>
                <c:formatCode>General</c:formatCode>
                <c:ptCount val="201"/>
                <c:pt idx="0">
                  <c:v>179.83444424315894</c:v>
                </c:pt>
                <c:pt idx="1">
                  <c:v>179.82394180704446</c:v>
                </c:pt>
                <c:pt idx="2">
                  <c:v>179.81277313214878</c:v>
                </c:pt>
                <c:pt idx="3">
                  <c:v>179.80089595638674</c:v>
                </c:pt>
                <c:pt idx="4">
                  <c:v>179.78826533719868</c:v>
                </c:pt>
                <c:pt idx="5">
                  <c:v>179.7748334816163</c:v>
                </c:pt>
                <c:pt idx="6">
                  <c:v>179.76054956557073</c:v>
                </c:pt>
                <c:pt idx="7">
                  <c:v>179.7453595417648</c:v>
                </c:pt>
                <c:pt idx="8">
                  <c:v>179.72920593538879</c:v>
                </c:pt>
                <c:pt idx="9">
                  <c:v>179.71202762691607</c:v>
                </c:pt>
                <c:pt idx="10">
                  <c:v>179.69375962116573</c:v>
                </c:pt>
                <c:pt idx="11">
                  <c:v>179.67433280177107</c:v>
                </c:pt>
                <c:pt idx="12">
                  <c:v>179.6536736701396</c:v>
                </c:pt>
                <c:pt idx="13">
                  <c:v>179.63170406793353</c:v>
                </c:pt>
                <c:pt idx="14">
                  <c:v>179.6083408820426</c:v>
                </c:pt>
                <c:pt idx="15">
                  <c:v>179.58349573095776</c:v>
                </c:pt>
                <c:pt idx="16">
                  <c:v>179.5570746313897</c:v>
                </c:pt>
                <c:pt idx="17">
                  <c:v>179.52897764390727</c:v>
                </c:pt>
                <c:pt idx="18">
                  <c:v>179.4990984962993</c:v>
                </c:pt>
                <c:pt idx="19">
                  <c:v>179.46732418328773</c:v>
                </c:pt>
                <c:pt idx="20">
                  <c:v>179.43353454114134</c:v>
                </c:pt>
                <c:pt idx="21">
                  <c:v>179.39760179565712</c:v>
                </c:pt>
                <c:pt idx="22">
                  <c:v>179.35939008189183</c:v>
                </c:pt>
                <c:pt idx="23">
                  <c:v>179.31875493393702</c:v>
                </c:pt>
                <c:pt idx="24">
                  <c:v>179.27554274294104</c:v>
                </c:pt>
                <c:pt idx="25">
                  <c:v>179.22959018148805</c:v>
                </c:pt>
                <c:pt idx="26">
                  <c:v>179.18072359234881</c:v>
                </c:pt>
                <c:pt idx="27">
                  <c:v>179.12875833952307</c:v>
                </c:pt>
                <c:pt idx="28">
                  <c:v>179.07349811939764</c:v>
                </c:pt>
                <c:pt idx="29">
                  <c:v>179.01473422974891</c:v>
                </c:pt>
                <c:pt idx="30">
                  <c:v>178.95224479422825</c:v>
                </c:pt>
                <c:pt idx="31">
                  <c:v>178.88579393988044</c:v>
                </c:pt>
                <c:pt idx="32">
                  <c:v>178.8151309251669</c:v>
                </c:pt>
                <c:pt idx="33">
                  <c:v>178.73998921589455</c:v>
                </c:pt>
                <c:pt idx="34">
                  <c:v>178.66008550639609</c:v>
                </c:pt>
                <c:pt idx="35">
                  <c:v>178.57511868326947</c:v>
                </c:pt>
                <c:pt idx="36">
                  <c:v>178.48476872897101</c:v>
                </c:pt>
                <c:pt idx="37">
                  <c:v>178.38869556257248</c:v>
                </c:pt>
                <c:pt idx="38">
                  <c:v>178.28653781504855</c:v>
                </c:pt>
                <c:pt idx="39">
                  <c:v>178.17791153656378</c:v>
                </c:pt>
                <c:pt idx="40">
                  <c:v>178.06240883339342</c:v>
                </c:pt>
                <c:pt idx="41">
                  <c:v>177.93959643234885</c:v>
                </c:pt>
                <c:pt idx="42">
                  <c:v>177.80901417091079</c:v>
                </c:pt>
                <c:pt idx="43">
                  <c:v>177.67017341171373</c:v>
                </c:pt>
                <c:pt idx="44">
                  <c:v>177.52255538060612</c:v>
                </c:pt>
                <c:pt idx="45">
                  <c:v>177.36560942825398</c:v>
                </c:pt>
                <c:pt idx="46">
                  <c:v>177.19875121620424</c:v>
                </c:pt>
                <c:pt idx="47">
                  <c:v>177.02136082951077</c:v>
                </c:pt>
                <c:pt idx="48">
                  <c:v>176.8327808195067</c:v>
                </c:pt>
                <c:pt idx="49">
                  <c:v>176.63231418213437</c:v>
                </c:pt>
                <c:pt idx="50">
                  <c:v>176.41922227948811</c:v>
                </c:pt>
                <c:pt idx="51">
                  <c:v>176.19272271496305</c:v>
                </c:pt>
                <c:pt idx="52">
                  <c:v>175.95198717572788</c:v>
                </c:pt>
                <c:pt idx="53">
                  <c:v>175.69613926025104</c:v>
                </c:pt>
                <c:pt idx="54">
                  <c:v>175.42425231343839</c:v>
                </c:pt>
                <c:pt idx="55">
                  <c:v>175.13534729770714</c:v>
                </c:pt>
                <c:pt idx="56">
                  <c:v>174.8283907351942</c:v>
                </c:pt>
                <c:pt idx="57">
                  <c:v>174.50229276443463</c:v>
                </c:pt>
                <c:pt idx="58">
                  <c:v>174.15590536443219</c:v>
                </c:pt>
                <c:pt idx="59">
                  <c:v>173.78802081027808</c:v>
                </c:pt>
                <c:pt idx="60">
                  <c:v>173.39737043754724</c:v>
                </c:pt>
                <c:pt idx="61">
                  <c:v>172.98262380780793</c:v>
                </c:pt>
                <c:pt idx="62">
                  <c:v>172.54238838490372</c:v>
                </c:pt>
                <c:pt idx="63">
                  <c:v>172.07520985132282</c:v>
                </c:pt>
                <c:pt idx="64">
                  <c:v>171.57957321604275</c:v>
                </c:pt>
                <c:pt idx="65">
                  <c:v>171.05390488967296</c:v>
                </c:pt>
                <c:pt idx="66">
                  <c:v>170.49657592931501</c:v>
                </c:pt>
                <c:pt idx="67">
                  <c:v>169.90590668389837</c:v>
                </c:pt>
                <c:pt idx="68">
                  <c:v>169.28017310008175</c:v>
                </c:pt>
                <c:pt idx="69">
                  <c:v>168.61761497800194</c:v>
                </c:pt>
                <c:pt idx="70">
                  <c:v>167.91644649352634</c:v>
                </c:pt>
                <c:pt idx="71">
                  <c:v>167.17486932689289</c:v>
                </c:pt>
                <c:pt idx="72">
                  <c:v>166.39108875358809</c:v>
                </c:pt>
                <c:pt idx="73">
                  <c:v>165.56333305797492</c:v>
                </c:pt>
                <c:pt idx="74">
                  <c:v>164.68987661850181</c:v>
                </c:pt>
                <c:pt idx="75">
                  <c:v>163.76906697923317</c:v>
                </c:pt>
                <c:pt idx="76">
                  <c:v>162.79935615894729</c:v>
                </c:pt>
                <c:pt idx="77">
                  <c:v>161.77933634852405</c:v>
                </c:pt>
                <c:pt idx="78">
                  <c:v>160.70778000206036</c:v>
                </c:pt>
                <c:pt idx="79">
                  <c:v>159.58368413014421</c:v>
                </c:pt>
                <c:pt idx="80">
                  <c:v>158.40631835004072</c:v>
                </c:pt>
                <c:pt idx="81">
                  <c:v>157.17527593594943</c:v>
                </c:pt>
                <c:pt idx="82">
                  <c:v>155.89052674738141</c:v>
                </c:pt>
                <c:pt idx="83">
                  <c:v>154.55247050739794</c:v>
                </c:pt>
                <c:pt idx="84">
                  <c:v>153.16198847709467</c:v>
                </c:pt>
                <c:pt idx="85">
                  <c:v>151.72049116171621</c:v>
                </c:pt>
                <c:pt idx="86">
                  <c:v>150.22995933181789</c:v>
                </c:pt>
                <c:pt idx="87">
                  <c:v>148.69297540388536</c:v>
                </c:pt>
                <c:pt idx="88">
                  <c:v>147.11274215732007</c:v>
                </c:pt>
                <c:pt idx="89">
                  <c:v>145.49308592440266</c:v>
                </c:pt>
                <c:pt idx="90">
                  <c:v>143.83844181955291</c:v>
                </c:pt>
                <c:pt idx="91">
                  <c:v>142.15381929271953</c:v>
                </c:pt>
                <c:pt idx="92">
                  <c:v>140.44474728358549</c:v>
                </c:pt>
                <c:pt idx="93">
                  <c:v>138.71719946221546</c:v>
                </c:pt>
                <c:pt idx="94">
                  <c:v>136.97750137070378</c:v>
                </c:pt>
                <c:pt idx="95">
                  <c:v>135.23222259936006</c:v>
                </c:pt>
                <c:pt idx="96">
                  <c:v>133.48805829376943</c:v>
                </c:pt>
                <c:pt idx="97">
                  <c:v>131.75170515522154</c:v>
                </c:pt>
                <c:pt idx="98">
                  <c:v>130.02973755612231</c:v>
                </c:pt>
                <c:pt idx="99">
                  <c:v>128.32848938357932</c:v>
                </c:pt>
                <c:pt idx="100">
                  <c:v>126.65394674960253</c:v>
                </c:pt>
                <c:pt idx="101">
                  <c:v>125.01165582764426</c:v>
                </c:pt>
                <c:pt idx="102">
                  <c:v>123.40664890451181</c:v>
                </c:pt>
                <c:pt idx="103">
                  <c:v>121.84339041496756</c:v>
                </c:pt>
                <c:pt idx="104">
                  <c:v>120.32574339971352</c:v>
                </c:pt>
                <c:pt idx="105">
                  <c:v>118.85695562485665</c:v>
                </c:pt>
                <c:pt idx="106">
                  <c:v>117.43966361817799</c:v>
                </c:pt>
                <c:pt idx="107">
                  <c:v>116.07591216929494</c:v>
                </c:pt>
                <c:pt idx="108">
                  <c:v>114.76718642126502</c:v>
                </c:pt>
                <c:pt idx="109">
                  <c:v>113.51445353045784</c:v>
                </c:pt>
                <c:pt idx="110">
                  <c:v>112.31821094620265</c:v>
                </c:pt>
                <c:pt idx="111">
                  <c:v>111.17853860581886</c:v>
                </c:pt>
                <c:pt idx="112">
                  <c:v>110.09515269568479</c:v>
                </c:pt>
                <c:pt idx="113">
                  <c:v>109.06745904131695</c:v>
                </c:pt>
                <c:pt idx="114">
                  <c:v>108.0946046147244</c:v>
                </c:pt>
                <c:pt idx="115">
                  <c:v>107.17552605257968</c:v>
                </c:pt>
                <c:pt idx="116">
                  <c:v>106.30899444222075</c:v>
                </c:pt>
                <c:pt idx="117">
                  <c:v>105.49365594218261</c:v>
                </c:pt>
                <c:pt idx="118">
                  <c:v>104.72806805567062</c:v>
                </c:pt>
                <c:pt idx="119">
                  <c:v>104.01073157054378</c:v>
                </c:pt>
                <c:pt idx="120">
                  <c:v>103.34011832302532</c:v>
                </c:pt>
                <c:pt idx="121">
                  <c:v>102.71469504148361</c:v>
                </c:pt>
                <c:pt idx="122">
                  <c:v>102.13294358898743</c:v>
                </c:pt>
                <c:pt idx="123">
                  <c:v>101.59337795652412</c:v>
                </c:pt>
                <c:pt idx="124">
                  <c:v>101.09455836974108</c:v>
                </c:pt>
                <c:pt idx="125">
                  <c:v>100.63510286685639</c:v>
                </c:pt>
                <c:pt idx="126">
                  <c:v>100.21369668896349</c:v>
                </c:pt>
                <c:pt idx="127">
                  <c:v>99.829099800339392</c:v>
                </c:pt>
                <c:pt idx="128">
                  <c:v>99.480152828608638</c:v>
                </c:pt>
                <c:pt idx="129">
                  <c:v>99.165781685014807</c:v>
                </c:pt>
                <c:pt idx="130">
                  <c:v>98.88500109523514</c:v>
                </c:pt>
                <c:pt idx="131">
                  <c:v>98.636917242232172</c:v>
                </c:pt>
                <c:pt idx="132">
                  <c:v>98.420729695278865</c:v>
                </c:pt>
                <c:pt idx="133">
                  <c:v>98.235732773887662</c:v>
                </c:pt>
                <c:pt idx="134">
                  <c:v>98.08131647207621</c:v>
                </c:pt>
                <c:pt idx="135">
                  <c:v>97.956967047200337</c:v>
                </c:pt>
                <c:pt idx="136">
                  <c:v>97.862267358342834</c:v>
                </c:pt>
                <c:pt idx="137">
                  <c:v>97.796897021766299</c:v>
                </c:pt>
                <c:pt idx="138">
                  <c:v>97.760632434952583</c:v>
                </c:pt>
                <c:pt idx="139">
                  <c:v>97.753346705975659</c:v>
                </c:pt>
                <c:pt idx="140">
                  <c:v>97.775009511078508</c:v>
                </c:pt>
                <c:pt idx="141">
                  <c:v>97.82568689002872</c:v>
                </c:pt>
                <c:pt idx="142">
                  <c:v>97.905540975785414</c:v>
                </c:pt>
                <c:pt idx="143">
                  <c:v>98.01482964189853</c:v>
                </c:pt>
                <c:pt idx="144">
                  <c:v>98.15390603754922</c:v>
                </c:pt>
                <c:pt idx="145">
                  <c:v>98.323217965912704</c:v>
                </c:pt>
                <c:pt idx="146">
                  <c:v>98.523307046251659</c:v>
                </c:pt>
                <c:pt idx="147">
                  <c:v>98.754807583547006</c:v>
                </c:pt>
                <c:pt idx="148">
                  <c:v>99.018445051245578</c:v>
                </c:pt>
                <c:pt idx="149">
                  <c:v>99.315034072623732</c:v>
                </c:pt>
                <c:pt idx="150">
                  <c:v>99.645475764151158</c:v>
                </c:pt>
                <c:pt idx="151">
                  <c:v>100.01075428000091</c:v>
                </c:pt>
                <c:pt idx="152">
                  <c:v>100.41193237054237</c:v>
                </c:pt>
                <c:pt idx="153">
                  <c:v>100.85014573951256</c:v>
                </c:pt>
                <c:pt idx="154">
                  <c:v>101.32659595508701</c:v>
                </c:pt>
                <c:pt idx="155">
                  <c:v>101.84254164012178</c:v>
                </c:pt>
                <c:pt idx="156">
                  <c:v>102.39928763771383</c:v>
                </c:pt>
                <c:pt idx="157">
                  <c:v>102.99817182183121</c:v>
                </c:pt>
                <c:pt idx="158">
                  <c:v>103.64054920167881</c:v>
                </c:pt>
                <c:pt idx="159">
                  <c:v>104.32777295616687</c:v>
                </c:pt>
                <c:pt idx="160">
                  <c:v>105.06117203570759</c:v>
                </c:pt>
                <c:pt idx="161">
                  <c:v>105.84202498805443</c:v>
                </c:pt>
                <c:pt idx="162">
                  <c:v>106.67152970941643</c:v>
                </c:pt>
                <c:pt idx="163">
                  <c:v>107.55076889893655</c:v>
                </c:pt>
                <c:pt idx="164">
                  <c:v>108.48067111154826</c:v>
                </c:pt>
                <c:pt idx="165">
                  <c:v>109.46196746876767</c:v>
                </c:pt>
                <c:pt idx="166">
                  <c:v>110.49514430550322</c:v>
                </c:pt>
                <c:pt idx="167">
                  <c:v>111.58039230720813</c:v>
                </c:pt>
                <c:pt idx="168">
                  <c:v>112.71755302495185</c:v>
                </c:pt>
                <c:pt idx="169">
                  <c:v>113.90606403908092</c:v>
                </c:pt>
                <c:pt idx="170">
                  <c:v>115.14490445914402</c:v>
                </c:pt>
                <c:pt idx="171">
                  <c:v>116.4325428722984</c:v>
                </c:pt>
                <c:pt idx="172">
                  <c:v>117.76689024661377</c:v>
                </c:pt>
                <c:pt idx="173">
                  <c:v>119.14526061097992</c:v>
                </c:pt>
                <c:pt idx="174">
                  <c:v>120.56434251322968</c:v>
                </c:pt>
                <c:pt idx="175">
                  <c:v>122.02018424420055</c:v>
                </c:pt>
                <c:pt idx="176">
                  <c:v>123.50819555574553</c:v>
                </c:pt>
                <c:pt idx="177">
                  <c:v>125.02316806038054</c:v>
                </c:pt>
                <c:pt idx="178">
                  <c:v>126.55931567271237</c:v>
                </c:pt>
                <c:pt idx="179">
                  <c:v>128.11033536882329</c:v>
                </c:pt>
                <c:pt idx="180">
                  <c:v>129.66948727191325</c:v>
                </c:pt>
                <c:pt idx="181">
                  <c:v>131.22969173200227</c:v>
                </c:pt>
                <c:pt idx="182">
                  <c:v>132.7836397929789</c:v>
                </c:pt>
                <c:pt idx="183">
                  <c:v>134.32391237870937</c:v>
                </c:pt>
                <c:pt idx="184">
                  <c:v>135.84310281289203</c:v>
                </c:pt>
                <c:pt idx="185">
                  <c:v>137.33393700807898</c:v>
                </c:pt>
                <c:pt idx="186">
                  <c:v>138.78938585524784</c:v>
                </c:pt>
                <c:pt idx="187">
                  <c:v>140.20276499102422</c:v>
                </c:pt>
                <c:pt idx="188">
                  <c:v>141.5678181317318</c:v>
                </c:pt>
                <c:pt idx="189">
                  <c:v>142.8787814160774</c:v>
                </c:pt>
                <c:pt idx="190">
                  <c:v>144.13042754581394</c:v>
                </c:pt>
                <c:pt idx="191">
                  <c:v>145.31808981446679</c:v>
                </c:pt>
                <c:pt idx="192">
                  <c:v>146.43766725080744</c:v>
                </c:pt>
                <c:pt idx="193">
                  <c:v>147.48561299598748</c:v>
                </c:pt>
                <c:pt idx="194">
                  <c:v>148.45890864277089</c:v>
                </c:pt>
                <c:pt idx="195">
                  <c:v>149.355027592353</c:v>
                </c:pt>
                <c:pt idx="196">
                  <c:v>150.17189055934853</c:v>
                </c:pt>
                <c:pt idx="197">
                  <c:v>150.90781622831278</c:v>
                </c:pt>
                <c:pt idx="198">
                  <c:v>151.56146979374768</c:v>
                </c:pt>
                <c:pt idx="199">
                  <c:v>152.13181175717247</c:v>
                </c:pt>
                <c:pt idx="200">
                  <c:v>152.61804895973989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83808"/>
        <c:axId val="39822464"/>
      </c:scatterChart>
      <c:valAx>
        <c:axId val="3978380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822464"/>
        <c:crosses val="autoZero"/>
        <c:crossBetween val="midCat"/>
      </c:valAx>
      <c:valAx>
        <c:axId val="39822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783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 / Vout| (Compensator)</a:t>
            </a:r>
          </a:p>
        </c:rich>
      </c:tx>
      <c:layout>
        <c:manualLayout>
          <c:xMode val="edge"/>
          <c:yMode val="edge"/>
          <c:x val="0.23478889435194419"/>
          <c:y val="9.49421862807689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6933299042585"/>
          <c:y val="0.14376014636628506"/>
          <c:w val="0.71896987774062171"/>
          <c:h val="0.68947028910838004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tool'!$AR$2:$AR$201</c:f>
              <c:numCache>
                <c:formatCode>General</c:formatCode>
                <c:ptCount val="200"/>
                <c:pt idx="0">
                  <c:v>50.531147985862589</c:v>
                </c:pt>
                <c:pt idx="1">
                  <c:v>50.531143195661691</c:v>
                </c:pt>
                <c:pt idx="2">
                  <c:v>50.531137778429603</c:v>
                </c:pt>
                <c:pt idx="3">
                  <c:v>50.531131652089663</c:v>
                </c:pt>
                <c:pt idx="4">
                  <c:v>50.531124723821826</c:v>
                </c:pt>
                <c:pt idx="5">
                  <c:v>50.531116888656612</c:v>
                </c:pt>
                <c:pt idx="6">
                  <c:v>50.531108027884954</c:v>
                </c:pt>
                <c:pt idx="7">
                  <c:v>50.531098007259416</c:v>
                </c:pt>
                <c:pt idx="8">
                  <c:v>50.531086674961365</c:v>
                </c:pt>
                <c:pt idx="9">
                  <c:v>50.53107385930042</c:v>
                </c:pt>
                <c:pt idx="10">
                  <c:v>50.531059366114249</c:v>
                </c:pt>
                <c:pt idx="11">
                  <c:v>50.531042975827418</c:v>
                </c:pt>
                <c:pt idx="12">
                  <c:v>50.531024440125599</c:v>
                </c:pt>
                <c:pt idx="13">
                  <c:v>50.531003478194748</c:v>
                </c:pt>
                <c:pt idx="14">
                  <c:v>50.530979772467731</c:v>
                </c:pt>
                <c:pt idx="15">
                  <c:v>50.530952963815565</c:v>
                </c:pt>
                <c:pt idx="16">
                  <c:v>50.530922646108642</c:v>
                </c:pt>
                <c:pt idx="17">
                  <c:v>50.530888360067152</c:v>
                </c:pt>
                <c:pt idx="18">
                  <c:v>50.530849586306928</c:v>
                </c:pt>
                <c:pt idx="19">
                  <c:v>50.530805737476371</c:v>
                </c:pt>
                <c:pt idx="20">
                  <c:v>50.530756149364684</c:v>
                </c:pt>
                <c:pt idx="21">
                  <c:v>50.530700070848496</c:v>
                </c:pt>
                <c:pt idx="22">
                  <c:v>50.530636652523775</c:v>
                </c:pt>
                <c:pt idx="23">
                  <c:v>50.530564933852453</c:v>
                </c:pt>
                <c:pt idx="24">
                  <c:v>50.530483828629954</c:v>
                </c:pt>
                <c:pt idx="25">
                  <c:v>50.530392108554068</c:v>
                </c:pt>
                <c:pt idx="26">
                  <c:v>50.530288384648841</c:v>
                </c:pt>
                <c:pt idx="27">
                  <c:v>50.530171086263309</c:v>
                </c:pt>
                <c:pt idx="28">
                  <c:v>50.530038437329509</c:v>
                </c:pt>
                <c:pt idx="29">
                  <c:v>50.529888429524341</c:v>
                </c:pt>
                <c:pt idx="30">
                  <c:v>50.529718791931721</c:v>
                </c:pt>
                <c:pt idx="31">
                  <c:v>50.529526956752129</c:v>
                </c:pt>
                <c:pt idx="32">
                  <c:v>50.529310020546284</c:v>
                </c:pt>
                <c:pt idx="33">
                  <c:v>50.529064700434894</c:v>
                </c:pt>
                <c:pt idx="34">
                  <c:v>50.528787284603283</c:v>
                </c:pt>
                <c:pt idx="35">
                  <c:v>50.52847357637426</c:v>
                </c:pt>
                <c:pt idx="36">
                  <c:v>50.528118831022525</c:v>
                </c:pt>
                <c:pt idx="37">
                  <c:v>50.527717684396258</c:v>
                </c:pt>
                <c:pt idx="38">
                  <c:v>50.527264072296205</c:v>
                </c:pt>
                <c:pt idx="39">
                  <c:v>50.526751139429209</c:v>
                </c:pt>
                <c:pt idx="40">
                  <c:v>50.52617113660888</c:v>
                </c:pt>
                <c:pt idx="41">
                  <c:v>50.525515304708335</c:v>
                </c:pt>
                <c:pt idx="42">
                  <c:v>50.524773743691597</c:v>
                </c:pt>
                <c:pt idx="43">
                  <c:v>50.523935264841803</c:v>
                </c:pt>
                <c:pt idx="44">
                  <c:v>50.522987224084332</c:v>
                </c:pt>
                <c:pt idx="45">
                  <c:v>50.521915334048238</c:v>
                </c:pt>
                <c:pt idx="46">
                  <c:v>50.520703452239559</c:v>
                </c:pt>
                <c:pt idx="47">
                  <c:v>50.519333342393999</c:v>
                </c:pt>
                <c:pt idx="48">
                  <c:v>50.517784405749815</c:v>
                </c:pt>
                <c:pt idx="49">
                  <c:v>50.516033378622048</c:v>
                </c:pt>
                <c:pt idx="50">
                  <c:v>50.514053992272217</c:v>
                </c:pt>
                <c:pt idx="51">
                  <c:v>50.511816590656444</c:v>
                </c:pt>
                <c:pt idx="52">
                  <c:v>50.509287701192598</c:v>
                </c:pt>
                <c:pt idx="53">
                  <c:v>50.506429553232373</c:v>
                </c:pt>
                <c:pt idx="54">
                  <c:v>50.503199538452151</c:v>
                </c:pt>
                <c:pt idx="55">
                  <c:v>50.49954960690058</c:v>
                </c:pt>
                <c:pt idx="56">
                  <c:v>50.495425591982766</c:v>
                </c:pt>
                <c:pt idx="57">
                  <c:v>50.490766457228382</c:v>
                </c:pt>
                <c:pt idx="58">
                  <c:v>50.4855034573214</c:v>
                </c:pt>
                <c:pt idx="59">
                  <c:v>50.479559205594889</c:v>
                </c:pt>
                <c:pt idx="60">
                  <c:v>50.472846640054925</c:v>
                </c:pt>
                <c:pt idx="61">
                  <c:v>50.465267880065753</c:v>
                </c:pt>
                <c:pt idx="62">
                  <c:v>50.456712966162954</c:v>
                </c:pt>
                <c:pt idx="63">
                  <c:v>50.44705847616499</c:v>
                </c:pt>
                <c:pt idx="64">
                  <c:v>50.436166011936372</c:v>
                </c:pt>
                <c:pt idx="65">
                  <c:v>50.423880552953321</c:v>
                </c:pt>
                <c:pt idx="66">
                  <c:v>50.410028675396234</c:v>
                </c:pt>
                <c:pt idx="67">
                  <c:v>50.394416639036976</c:v>
                </c:pt>
                <c:pt idx="68">
                  <c:v>50.376828348906926</c:v>
                </c:pt>
                <c:pt idx="69">
                  <c:v>50.357023204864042</c:v>
                </c:pt>
                <c:pt idx="70">
                  <c:v>50.334733859970427</c:v>
                </c:pt>
                <c:pt idx="71">
                  <c:v>50.309663918279163</c:v>
                </c:pt>
                <c:pt idx="72">
                  <c:v>50.281485614437358</c:v>
                </c:pt>
                <c:pt idx="73">
                  <c:v>50.2498375315799</c:v>
                </c:pt>
                <c:pt idx="74">
                  <c:v>50.214322430363111</c:v>
                </c:pt>
                <c:pt idx="75">
                  <c:v>50.174505280534369</c:v>
                </c:pt>
                <c:pt idx="76">
                  <c:v>50.129911606755108</c:v>
                </c:pt>
                <c:pt idx="77">
                  <c:v>50.080026281774352</c:v>
                </c:pt>
                <c:pt idx="78">
                  <c:v>50.024292921294766</c:v>
                </c:pt>
                <c:pt idx="79">
                  <c:v>49.962114054289792</c:v>
                </c:pt>
                <c:pt idx="80">
                  <c:v>49.892852257801565</c:v>
                </c:pt>
                <c:pt idx="81">
                  <c:v>49.815832453468147</c:v>
                </c:pt>
                <c:pt idx="82">
                  <c:v>49.730345560739202</c:v>
                </c:pt>
                <c:pt idx="83">
                  <c:v>49.635653685194953</c:v>
                </c:pt>
                <c:pt idx="84">
                  <c:v>49.530996985854401</c:v>
                </c:pt>
                <c:pt idx="85">
                  <c:v>49.415602309780681</c:v>
                </c:pt>
                <c:pt idx="86">
                  <c:v>49.288693603901109</c:v>
                </c:pt>
                <c:pt idx="87">
                  <c:v>49.149504013213587</c:v>
                </c:pt>
                <c:pt idx="88">
                  <c:v>48.997289454876977</c:v>
                </c:pt>
                <c:pt idx="89">
                  <c:v>48.831343326096437</c:v>
                </c:pt>
                <c:pt idx="90">
                  <c:v>48.651011870958669</c:v>
                </c:pt>
                <c:pt idx="91">
                  <c:v>48.455709611343075</c:v>
                </c:pt>
                <c:pt idx="92">
                  <c:v>48.244934155476145</c:v>
                </c:pt>
                <c:pt idx="93">
                  <c:v>48.018279650005155</c:v>
                </c:pt>
                <c:pt idx="94">
                  <c:v>47.775448150083577</c:v>
                </c:pt>
                <c:pt idx="95">
                  <c:v>47.516258253652275</c:v>
                </c:pt>
                <c:pt idx="96">
                  <c:v>47.240650479871881</c:v>
                </c:pt>
                <c:pt idx="97">
                  <c:v>46.948689057929258</c:v>
                </c:pt>
                <c:pt idx="98">
                  <c:v>46.640560013703912</c:v>
                </c:pt>
                <c:pt idx="99">
                  <c:v>46.316565675075694</c:v>
                </c:pt>
                <c:pt idx="100">
                  <c:v>45.977115937053895</c:v>
                </c:pt>
                <c:pt idx="101">
                  <c:v>45.622716812569905</c:v>
                </c:pt>
                <c:pt idx="102">
                  <c:v>45.253956926475979</c:v>
                </c:pt>
                <c:pt idx="103">
                  <c:v>44.871492679720006</c:v>
                </c:pt>
                <c:pt idx="104">
                  <c:v>44.476032817140037</c:v>
                </c:pt>
                <c:pt idx="105">
                  <c:v>44.068323082853809</c:v>
                </c:pt>
                <c:pt idx="106">
                  <c:v>43.64913155438618</c:v>
                </c:pt>
                <c:pt idx="107">
                  <c:v>43.21923512595199</c:v>
                </c:pt>
                <c:pt idx="108">
                  <c:v>42.779407478383895</c:v>
                </c:pt>
                <c:pt idx="109">
                  <c:v>42.330408741890963</c:v>
                </c:pt>
                <c:pt idx="110">
                  <c:v>41.87297693874654</c:v>
                </c:pt>
                <c:pt idx="111">
                  <c:v>41.407821193033541</c:v>
                </c:pt>
                <c:pt idx="112">
                  <c:v>40.935616617027335</c:v>
                </c:pt>
                <c:pt idx="113">
                  <c:v>40.457000729026824</c:v>
                </c:pt>
                <c:pt idx="114">
                  <c:v>39.97257122364973</c:v>
                </c:pt>
                <c:pt idx="115">
                  <c:v>39.482884899663233</c:v>
                </c:pt>
                <c:pt idx="116">
                  <c:v>38.988457548614861</c:v>
                </c:pt>
                <c:pt idx="117">
                  <c:v>38.489764616094618</c:v>
                </c:pt>
                <c:pt idx="118">
                  <c:v>37.987242462982827</c:v>
                </c:pt>
                <c:pt idx="119">
                  <c:v>37.481290073610253</c:v>
                </c:pt>
                <c:pt idx="120">
                  <c:v>36.972271079105312</c:v>
                </c:pt>
                <c:pt idx="121">
                  <c:v>36.460515985635446</c:v>
                </c:pt>
                <c:pt idx="122">
                  <c:v>35.946324517606556</c:v>
                </c:pt>
                <c:pt idx="123">
                  <c:v>35.429968004458409</c:v>
                </c:pt>
                <c:pt idx="124">
                  <c:v>34.911691756090157</c:v>
                </c:pt>
                <c:pt idx="125">
                  <c:v>34.391717386069267</c:v>
                </c:pt>
                <c:pt idx="126">
                  <c:v>33.870245053630406</c:v>
                </c:pt>
                <c:pt idx="127">
                  <c:v>33.347455605252499</c:v>
                </c:pt>
                <c:pt idx="128">
                  <c:v>32.823512604493899</c:v>
                </c:pt>
                <c:pt idx="129">
                  <c:v>32.298564245038655</c:v>
                </c:pt>
                <c:pt idx="130">
                  <c:v>31.772745146787543</c:v>
                </c:pt>
                <c:pt idx="131">
                  <c:v>31.246178038567692</c:v>
                </c:pt>
                <c:pt idx="132">
                  <c:v>30.718975333835935</c:v>
                </c:pt>
                <c:pt idx="133">
                  <c:v>30.191240607808677</c:v>
                </c:pt>
                <c:pt idx="134">
                  <c:v>29.663069985924576</c:v>
                </c:pt>
                <c:pt idx="135">
                  <c:v>29.134553454574661</c:v>
                </c:pt>
                <c:pt idx="136">
                  <c:v>28.60577610572885</c:v>
                </c:pt>
                <c:pt idx="137">
                  <c:v>28.076819327537848</c:v>
                </c:pt>
                <c:pt idx="138">
                  <c:v>27.547761953269919</c:v>
                </c:pt>
                <c:pt idx="139">
                  <c:v>27.018681381108212</c:v>
                </c:pt>
                <c:pt idx="140">
                  <c:v>26.489654677419075</c:v>
                </c:pt>
                <c:pt idx="141">
                  <c:v>25.96075967614652</c:v>
                </c:pt>
                <c:pt idx="142">
                  <c:v>25.432076086987752</c:v>
                </c:pt>
                <c:pt idx="143">
                  <c:v>24.903686624984466</c:v>
                </c:pt>
                <c:pt idx="144">
                  <c:v>24.375678174097423</c:v>
                </c:pt>
                <c:pt idx="145">
                  <c:v>23.848142997206519</c:v>
                </c:pt>
                <c:pt idx="146">
                  <c:v>23.321180004768554</c:v>
                </c:pt>
                <c:pt idx="147">
                  <c:v>22.794896094008436</c:v>
                </c:pt>
                <c:pt idx="148">
                  <c:v>22.269407569966774</c:v>
                </c:pt>
                <c:pt idx="149">
                  <c:v>21.744841658900626</c:v>
                </c:pt>
                <c:pt idx="150">
                  <c:v>21.221338123316727</c:v>
                </c:pt>
                <c:pt idx="151">
                  <c:v>20.699050986207226</c:v>
                </c:pt>
                <c:pt idx="152">
                  <c:v>20.17815036969532</c:v>
                </c:pt>
                <c:pt idx="153">
                  <c:v>19.658824450110593</c:v>
                </c:pt>
                <c:pt idx="154">
                  <c:v>19.141281527307122</c:v>
                </c:pt>
                <c:pt idx="155">
                  <c:v>18.625752200579434</c:v>
                </c:pt>
                <c:pt idx="156">
                  <c:v>18.112491636588647</c:v>
                </c:pt>
                <c:pt idx="157">
                  <c:v>17.601781906028716</c:v>
                </c:pt>
                <c:pt idx="158">
                  <c:v>17.093934355108509</c:v>
                </c:pt>
                <c:pt idx="159">
                  <c:v>16.589291965100845</c:v>
                </c:pt>
                <c:pt idx="160">
                  <c:v>16.088231638100865</c:v>
                </c:pt>
                <c:pt idx="161">
                  <c:v>15.591166329753907</c:v>
                </c:pt>
                <c:pt idx="162">
                  <c:v>15.098546930292216</c:v>
                </c:pt>
                <c:pt idx="163">
                  <c:v>14.610863774252298</c:v>
                </c:pt>
                <c:pt idx="164">
                  <c:v>14.1286476376326</c:v>
                </c:pt>
                <c:pt idx="165">
                  <c:v>13.652470060361402</c:v>
                </c:pt>
                <c:pt idx="166">
                  <c:v>13.182942813708822</c:v>
                </c:pt>
                <c:pt idx="167">
                  <c:v>12.72071631923701</c:v>
                </c:pt>
                <c:pt idx="168">
                  <c:v>12.266476821179346</c:v>
                </c:pt>
                <c:pt idx="169">
                  <c:v>11.820942121364823</c:v>
                </c:pt>
                <c:pt idx="170">
                  <c:v>11.38485570875851</c:v>
                </c:pt>
                <c:pt idx="171">
                  <c:v>10.958979157910564</c:v>
                </c:pt>
                <c:pt idx="172">
                  <c:v>10.544082734765411</c:v>
                </c:pt>
                <c:pt idx="173">
                  <c:v>10.140934235356161</c:v>
                </c:pt>
                <c:pt idx="174">
                  <c:v>9.7502861914130392</c:v>
                </c:pt>
                <c:pt idx="175">
                  <c:v>9.3728617020451939</c:v>
                </c:pt>
                <c:pt idx="176">
                  <c:v>9.0093392839649731</c:v>
                </c:pt>
                <c:pt idx="177">
                  <c:v>8.6603372621253456</c:v>
                </c:pt>
                <c:pt idx="178">
                  <c:v>8.3263983333162308</c:v>
                </c:pt>
                <c:pt idx="179">
                  <c:v>8.0079750113203474</c:v>
                </c:pt>
                <c:pt idx="180">
                  <c:v>7.7054166890658085</c:v>
                </c:pt>
                <c:pt idx="181">
                  <c:v>7.4189590202989297</c:v>
                </c:pt>
                <c:pt idx="182">
                  <c:v>7.1487162266665694</c:v>
                </c:pt>
                <c:pt idx="183">
                  <c:v>6.8946767800440165</c:v>
                </c:pt>
                <c:pt idx="184">
                  <c:v>6.6567027073063549</c:v>
                </c:pt>
                <c:pt idx="185">
                  <c:v>6.4345325354832648</c:v>
                </c:pt>
                <c:pt idx="186">
                  <c:v>6.2277876635646763</c:v>
                </c:pt>
                <c:pt idx="187">
                  <c:v>6.0359817377232847</c:v>
                </c:pt>
                <c:pt idx="188">
                  <c:v>5.8585324404349137</c:v>
                </c:pt>
                <c:pt idx="189">
                  <c:v>5.6947749952764557</c:v>
                </c:pt>
                <c:pt idx="190">
                  <c:v>5.543976644030475</c:v>
                </c:pt>
                <c:pt idx="191">
                  <c:v>5.4053513686700017</c:v>
                </c:pt>
                <c:pt idx="192">
                  <c:v>5.2780741984044095</c:v>
                </c:pt>
                <c:pt idx="193">
                  <c:v>5.1612945472362401</c:v>
                </c:pt>
                <c:pt idx="194">
                  <c:v>5.0541481546182148</c:v>
                </c:pt>
                <c:pt idx="195">
                  <c:v>4.9557673356835865</c:v>
                </c:pt>
                <c:pt idx="196">
                  <c:v>4.8652893755441289</c:v>
                </c:pt>
                <c:pt idx="197">
                  <c:v>4.781863015215734</c:v>
                </c:pt>
                <c:pt idx="198">
                  <c:v>4.7046530695000763</c:v>
                </c:pt>
                <c:pt idx="199">
                  <c:v>4.6328432876818058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5728"/>
        <c:axId val="40730624"/>
      </c:scatterChart>
      <c:valAx>
        <c:axId val="3986572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730624"/>
        <c:crosses val="autoZero"/>
        <c:crossBetween val="midCat"/>
      </c:valAx>
      <c:valAx>
        <c:axId val="4073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865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 / Verr </a:t>
            </a:r>
          </a:p>
          <a:p>
            <a:pPr>
              <a:defRPr/>
            </a:pPr>
            <a:r>
              <a:rPr lang="en-US"/>
              <a:t>(Power Stage)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44707386795686"/>
          <c:y val="0.25615075205382609"/>
          <c:w val="0.65330318693326161"/>
          <c:h val="0.68976247938047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'[1]8.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'[1]8. Loop Compensation'!$AI$2:$AI$202</c:f>
              <c:numCache>
                <c:formatCode>General</c:formatCode>
                <c:ptCount val="201"/>
                <c:pt idx="0">
                  <c:v>-0.23927531200898353</c:v>
                </c:pt>
                <c:pt idx="1">
                  <c:v>-0.25445422772829379</c:v>
                </c:pt>
                <c:pt idx="2">
                  <c:v>-0.27059602160855623</c:v>
                </c:pt>
                <c:pt idx="3">
                  <c:v>-0.28776176854376251</c:v>
                </c:pt>
                <c:pt idx="4">
                  <c:v>-0.30601641626158638</c:v>
                </c:pt>
                <c:pt idx="5">
                  <c:v>-0.32542903067810408</c:v>
                </c:pt>
                <c:pt idx="6">
                  <c:v>-0.34607305675054162</c:v>
                </c:pt>
                <c:pt idx="7">
                  <c:v>-0.36802659579766672</c:v>
                </c:pt>
                <c:pt idx="8">
                  <c:v>-0.39137270031624344</c:v>
                </c:pt>
                <c:pt idx="9">
                  <c:v>-0.41619968738389718</c:v>
                </c:pt>
                <c:pt idx="10">
                  <c:v>-0.44260147180396053</c:v>
                </c:pt>
                <c:pt idx="11">
                  <c:v>-0.4706779202164183</c:v>
                </c:pt>
                <c:pt idx="12">
                  <c:v>-0.50053522747096824</c:v>
                </c:pt>
                <c:pt idx="13">
                  <c:v>-0.53228631663358184</c:v>
                </c:pt>
                <c:pt idx="14">
                  <c:v>-0.56605126407666728</c:v>
                </c:pt>
                <c:pt idx="15">
                  <c:v>-0.60195775118496531</c:v>
                </c:pt>
                <c:pt idx="16">
                  <c:v>-0.64014154429451198</c:v>
                </c:pt>
                <c:pt idx="17">
                  <c:v>-0.68074700457035575</c:v>
                </c:pt>
                <c:pt idx="18">
                  <c:v>-0.72392762961934531</c:v>
                </c:pt>
                <c:pt idx="19">
                  <c:v>-0.7698466287279716</c:v>
                </c:pt>
                <c:pt idx="20">
                  <c:v>-0.81867753370958052</c:v>
                </c:pt>
                <c:pt idx="21">
                  <c:v>-0.87060484744162547</c:v>
                </c:pt>
                <c:pt idx="22">
                  <c:v>-0.92582473226935946</c:v>
                </c:pt>
                <c:pt idx="23">
                  <c:v>-0.98454574054702648</c:v>
                </c:pt>
                <c:pt idx="24">
                  <c:v>-1.046989589679993</c:v>
                </c:pt>
                <c:pt idx="25">
                  <c:v>-1.1133919841180082</c:v>
                </c:pt>
                <c:pt idx="26">
                  <c:v>-1.184003486830947</c:v>
                </c:pt>
                <c:pt idx="27">
                  <c:v>-1.25909044286813</c:v>
                </c:pt>
                <c:pt idx="28">
                  <c:v>-1.3389359576592914</c:v>
                </c:pt>
                <c:pt idx="29">
                  <c:v>-1.423840932754149</c:v>
                </c:pt>
                <c:pt idx="30">
                  <c:v>-1.5141251617122169</c:v>
                </c:pt>
                <c:pt idx="31">
                  <c:v>-1.6101284888399865</c:v>
                </c:pt>
                <c:pt idx="32">
                  <c:v>-1.7122120334188695</c:v>
                </c:pt>
                <c:pt idx="33">
                  <c:v>-1.820759481966252</c:v>
                </c:pt>
                <c:pt idx="34">
                  <c:v>-1.9361784509111435</c:v>
                </c:pt>
                <c:pt idx="35">
                  <c:v>-2.0589019218305231</c:v>
                </c:pt>
                <c:pt idx="36">
                  <c:v>-2.1893897510670457</c:v>
                </c:pt>
                <c:pt idx="37">
                  <c:v>-2.3281302551108847</c:v>
                </c:pt>
                <c:pt idx="38">
                  <c:v>-2.4756418725558538</c:v>
                </c:pt>
                <c:pt idx="39">
                  <c:v>-2.6324749027012446</c:v>
                </c:pt>
                <c:pt idx="40">
                  <c:v>-2.7992133199336693</c:v>
                </c:pt>
                <c:pt idx="41">
                  <c:v>-2.9764766618443934</c:v>
                </c:pt>
                <c:pt idx="42">
                  <c:v>-3.164921987570589</c:v>
                </c:pt>
                <c:pt idx="43">
                  <c:v>-3.3652459010351654</c:v>
                </c:pt>
                <c:pt idx="44">
                  <c:v>-3.5781866315330149</c:v>
                </c:pt>
                <c:pt idx="45">
                  <c:v>-3.804526161393651</c:v>
                </c:pt>
                <c:pt idx="46">
                  <c:v>-4.0450923871503175</c:v>
                </c:pt>
                <c:pt idx="47">
                  <c:v>-4.3007612966594388</c:v>
                </c:pt>
                <c:pt idx="48">
                  <c:v>-4.5724591398221559</c:v>
                </c:pt>
                <c:pt idx="49">
                  <c:v>-4.8611645648267992</c:v>
                </c:pt>
                <c:pt idx="50">
                  <c:v>-5.1679106850031022</c:v>
                </c:pt>
                <c:pt idx="51">
                  <c:v>-5.4937870332934695</c:v>
                </c:pt>
                <c:pt idx="52">
                  <c:v>-5.8399413518123824</c:v>
                </c:pt>
                <c:pt idx="53">
                  <c:v>-6.2075811528007314</c:v>
                </c:pt>
                <c:pt idx="54">
                  <c:v>-6.5979749742753002</c:v>
                </c:pt>
                <c:pt idx="55">
                  <c:v>-7.0124532386473106</c:v>
                </c:pt>
                <c:pt idx="56">
                  <c:v>-7.4524086053463705</c:v>
                </c:pt>
                <c:pt idx="57">
                  <c:v>-7.9192956889129551</c:v>
                </c:pt>
                <c:pt idx="58">
                  <c:v>-8.4146299920454517</c:v>
                </c:pt>
                <c:pt idx="59">
                  <c:v>-8.9399858787311821</c:v>
                </c:pt>
                <c:pt idx="60">
                  <c:v>-9.4969933860733207</c:v>
                </c:pt>
                <c:pt idx="61">
                  <c:v>-10.087333645138447</c:v>
                </c:pt>
                <c:pt idx="62">
                  <c:v>-10.71273265184063</c:v>
                </c:pt>
                <c:pt idx="63">
                  <c:v>-11.374953099657228</c:v>
                </c:pt>
                <c:pt idx="64">
                  <c:v>-12.075783958499066</c:v>
                </c:pt>
                <c:pt idx="65">
                  <c:v>-12.817027460634787</c:v>
                </c:pt>
                <c:pt idx="66">
                  <c:v>-13.600483138279156</c:v>
                </c:pt>
                <c:pt idx="67">
                  <c:v>-14.427928552311434</c:v>
                </c:pt>
                <c:pt idx="68">
                  <c:v>-15.301096362582202</c:v>
                </c:pt>
                <c:pt idx="69">
                  <c:v>-16.221647423442462</c:v>
                </c:pt>
                <c:pt idx="70">
                  <c:v>-17.191139650437155</c:v>
                </c:pt>
                <c:pt idx="71">
                  <c:v>-18.210992503162743</c:v>
                </c:pt>
                <c:pt idx="72">
                  <c:v>-19.282447072840149</c:v>
                </c:pt>
                <c:pt idx="73">
                  <c:v>-20.406521958198322</c:v>
                </c:pt>
                <c:pt idx="74">
                  <c:v>-21.583965364858773</c:v>
                </c:pt>
                <c:pt idx="75">
                  <c:v>-22.81520417296024</c:v>
                </c:pt>
                <c:pt idx="76">
                  <c:v>-24.100291081113195</c:v>
                </c:pt>
                <c:pt idx="77">
                  <c:v>-25.438851339921477</c:v>
                </c:pt>
                <c:pt idx="78">
                  <c:v>-26.830031013502186</c:v>
                </c:pt>
                <c:pt idx="79">
                  <c:v>-28.2724491196645</c:v>
                </c:pt>
                <c:pt idx="80">
                  <c:v>-29.764156354399585</c:v>
                </c:pt>
                <c:pt idx="81">
                  <c:v>-31.30260335043091</c:v>
                </c:pt>
                <c:pt idx="82">
                  <c:v>-32.884621494262198</c:v>
                </c:pt>
                <c:pt idx="83">
                  <c:v>-34.506419175507403</c:v>
                </c:pt>
                <c:pt idx="84">
                  <c:v>-36.163595922812732</c:v>
                </c:pt>
                <c:pt idx="85">
                  <c:v>-37.851176172540072</c:v>
                </c:pt>
                <c:pt idx="86">
                  <c:v>-39.563663433664836</c:v>
                </c:pt>
                <c:pt idx="87">
                  <c:v>-41.295114409760536</c:v>
                </c:pt>
                <c:pt idx="88">
                  <c:v>-43.039231312269678</c:v>
                </c:pt>
                <c:pt idx="89">
                  <c:v>-44.789469277411179</c:v>
                </c:pt>
                <c:pt idx="90">
                  <c:v>-46.539154628138981</c:v>
                </c:pt>
                <c:pt idx="91">
                  <c:v>-48.281608843558757</c:v>
                </c:pt>
                <c:pt idx="92">
                  <c:v>-50.010272623071856</c:v>
                </c:pt>
                <c:pt idx="93">
                  <c:v>-51.71882442373402</c:v>
                </c:pt>
                <c:pt idx="94">
                  <c:v>-53.401288308039852</c:v>
                </c:pt>
                <c:pt idx="95">
                  <c:v>-55.05212680522385</c:v>
                </c:pt>
                <c:pt idx="96">
                  <c:v>-56.666315651713774</c:v>
                </c:pt>
                <c:pt idx="97">
                  <c:v>-58.239398595228124</c:v>
                </c:pt>
                <c:pt idx="98">
                  <c:v>-59.767521775892071</c:v>
                </c:pt>
                <c:pt idx="99">
                  <c:v>-61.247448406705416</c:v>
                </c:pt>
                <c:pt idx="100">
                  <c:v>-62.676555467625604</c:v>
                </c:pt>
                <c:pt idx="101">
                  <c:v>-64.052814846134225</c:v>
                </c:pt>
                <c:pt idx="102">
                  <c:v>-65.374761786953115</c:v>
                </c:pt>
                <c:pt idx="103">
                  <c:v>-66.641453673345225</c:v>
                </c:pt>
                <c:pt idx="104">
                  <c:v>-67.852422094975836</c:v>
                </c:pt>
                <c:pt idx="105">
                  <c:v>-69.00762091829327</c:v>
                </c:pt>
                <c:pt idx="106">
                  <c:v>-70.107372723387442</c:v>
                </c:pt>
                <c:pt idx="107">
                  <c:v>-71.152315560209431</c:v>
                </c:pt>
                <c:pt idx="108">
                  <c:v>-72.143351551585368</c:v>
                </c:pt>
                <c:pt idx="109">
                  <c:v>-73.081598464030833</c:v>
                </c:pt>
                <c:pt idx="110">
                  <c:v>-73.968345002142044</c:v>
                </c:pt>
                <c:pt idx="111">
                  <c:v>-74.805010270607582</c:v>
                </c:pt>
                <c:pt idx="112">
                  <c:v>-75.593107594085268</c:v>
                </c:pt>
                <c:pt idx="113">
                  <c:v>-76.334212688044772</c:v>
                </c:pt>
                <c:pt idx="114">
                  <c:v>-77.029936028281867</c:v>
                </c:pt>
                <c:pt idx="115">
                  <c:v>-77.681899166166332</c:v>
                </c:pt>
                <c:pt idx="116">
                  <c:v>-78.291714673095356</c:v>
                </c:pt>
                <c:pt idx="117">
                  <c:v>-78.86096936344515</c:v>
                </c:pt>
                <c:pt idx="118">
                  <c:v>-79.391210433554718</c:v>
                </c:pt>
                <c:pt idx="119">
                  <c:v>-79.883934158888508</c:v>
                </c:pt>
                <c:pt idx="120">
                  <c:v>-80.340576807448983</c:v>
                </c:pt>
                <c:pt idx="121">
                  <c:v>-80.762507450733835</c:v>
                </c:pt>
                <c:pt idx="122">
                  <c:v>-81.151022380927287</c:v>
                </c:pt>
                <c:pt idx="123">
                  <c:v>-81.507340872261963</c:v>
                </c:pt>
                <c:pt idx="124">
                  <c:v>-81.832602053935204</c:v>
                </c:pt>
                <c:pt idx="125">
                  <c:v>-82.127862690454464</c:v>
                </c:pt>
                <c:pt idx="126">
                  <c:v>-82.394095692125092</c:v>
                </c:pt>
                <c:pt idx="127">
                  <c:v>-82.632189203144534</c:v>
                </c:pt>
                <c:pt idx="128">
                  <c:v>-82.842946137261421</c:v>
                </c:pt>
                <c:pt idx="129">
                  <c:v>-83.027084051166227</c:v>
                </c:pt>
                <c:pt idx="130">
                  <c:v>-83.185235263807513</c:v>
                </c:pt>
                <c:pt idx="131">
                  <c:v>-83.317947145819645</c:v>
                </c:pt>
                <c:pt idx="132">
                  <c:v>-83.425682517438872</c:v>
                </c:pt>
                <c:pt idx="133">
                  <c:v>-83.508820105895026</c:v>
                </c:pt>
                <c:pt idx="134">
                  <c:v>-83.567655024558576</c:v>
                </c:pt>
                <c:pt idx="135">
                  <c:v>-83.602399246344902</c:v>
                </c:pt>
                <c:pt idx="136">
                  <c:v>-83.613182053292022</c:v>
                </c:pt>
                <c:pt idx="137">
                  <c:v>-83.600050453082403</c:v>
                </c:pt>
                <c:pt idx="138">
                  <c:v>-83.5629695618249</c:v>
                </c:pt>
                <c:pt idx="139">
                  <c:v>-83.5018229609027</c:v>
                </c:pt>
                <c:pt idx="140">
                  <c:v>-83.416413044366493</c:v>
                </c:pt>
                <c:pt idx="141">
                  <c:v>-83.306461382467688</c:v>
                </c:pt>
                <c:pt idx="142">
                  <c:v>-83.171609136728549</c:v>
                </c:pt>
                <c:pt idx="143">
                  <c:v>-83.011417572692821</c:v>
                </c:pt>
                <c:pt idx="144">
                  <c:v>-82.825368728446676</c:v>
                </c:pt>
                <c:pt idx="145">
                  <c:v>-82.612866310399383</c:v>
                </c:pt>
                <c:pt idx="146">
                  <c:v>-82.373236902914059</c:v>
                </c:pt>
                <c:pt idx="147">
                  <c:v>-82.10573159540364</c:v>
                </c:pt>
                <c:pt idx="148">
                  <c:v>-81.809528149658718</c:v>
                </c:pt>
                <c:pt idx="149">
                  <c:v>-81.483733851571529</c:v>
                </c:pt>
                <c:pt idx="150">
                  <c:v>-81.127389215123486</c:v>
                </c:pt>
                <c:pt idx="151">
                  <c:v>-80.739472732408217</c:v>
                </c:pt>
                <c:pt idx="152">
                  <c:v>-80.318906891292016</c:v>
                </c:pt>
                <c:pt idx="153">
                  <c:v>-79.864565711511219</c:v>
                </c:pt>
                <c:pt idx="154">
                  <c:v>-79.375284079672412</c:v>
                </c:pt>
                <c:pt idx="155">
                  <c:v>-78.849869192377128</c:v>
                </c:pt>
                <c:pt idx="156">
                  <c:v>-78.287114442571095</c:v>
                </c:pt>
                <c:pt idx="157">
                  <c:v>-77.685816104547811</c:v>
                </c:pt>
                <c:pt idx="158">
                  <c:v>-77.0447931842522</c:v>
                </c:pt>
                <c:pt idx="159">
                  <c:v>-76.362910799144842</c:v>
                </c:pt>
                <c:pt idx="160">
                  <c:v>-75.639107430344211</c:v>
                </c:pt>
                <c:pt idx="161">
                  <c:v>-74.872426342542155</c:v>
                </c:pt>
                <c:pt idx="162">
                  <c:v>-74.062051386930293</c:v>
                </c:pt>
                <c:pt idx="163">
                  <c:v>-73.207347281315336</c:v>
                </c:pt>
                <c:pt idx="164">
                  <c:v>-72.307904292235307</c:v>
                </c:pt>
                <c:pt idx="165">
                  <c:v>-71.363587020038352</c:v>
                </c:pt>
                <c:pt idx="166">
                  <c:v>-70.374586706121903</c:v>
                </c:pt>
                <c:pt idx="167">
                  <c:v>-69.341476143040538</c:v>
                </c:pt>
                <c:pt idx="168">
                  <c:v>-68.265265880886076</c:v>
                </c:pt>
                <c:pt idx="169">
                  <c:v>-67.147460003989934</c:v>
                </c:pt>
                <c:pt idx="170">
                  <c:v>-65.99010932804147</c:v>
                </c:pt>
                <c:pt idx="171">
                  <c:v>-64.795859478000963</c:v>
                </c:pt>
                <c:pt idx="172">
                  <c:v>-63.567991001218999</c:v>
                </c:pt>
                <c:pt idx="173">
                  <c:v>-62.31044850477452</c:v>
                </c:pt>
                <c:pt idx="174">
                  <c:v>-61.027855839467477</c:v>
                </c:pt>
                <c:pt idx="175">
                  <c:v>-59.725514635927944</c:v>
                </c:pt>
                <c:pt idx="176">
                  <c:v>-58.409384063545794</c:v>
                </c:pt>
                <c:pt idx="177">
                  <c:v>-57.086040533777485</c:v>
                </c:pt>
                <c:pt idx="178">
                  <c:v>-55.762617171165033</c:v>
                </c:pt>
                <c:pt idx="179">
                  <c:v>-54.446724151684151</c:v>
                </c:pt>
                <c:pt idx="180">
                  <c:v>-53.146352344260698</c:v>
                </c:pt>
                <c:pt idx="181">
                  <c:v>-51.869763947058459</c:v>
                </c:pt>
                <c:pt idx="182">
                  <c:v>-50.62537483873875</c:v>
                </c:pt>
                <c:pt idx="183">
                  <c:v>-49.421634037211462</c:v>
                </c:pt>
                <c:pt idx="184">
                  <c:v>-48.266905885579291</c:v>
                </c:pt>
                <c:pt idx="185">
                  <c:v>-47.169360335137043</c:v>
                </c:pt>
                <c:pt idx="186">
                  <c:v>-46.136875999393219</c:v>
                </c:pt>
                <c:pt idx="187">
                  <c:v>-45.176959599117851</c:v>
                </c:pt>
                <c:pt idx="188">
                  <c:v>-44.296684134785608</c:v>
                </c:pt>
                <c:pt idx="189">
                  <c:v>-43.50264675564101</c:v>
                </c:pt>
                <c:pt idx="190">
                  <c:v>-42.800945983951806</c:v>
                </c:pt>
                <c:pt idx="191">
                  <c:v>-42.197176813222654</c:v>
                </c:pt>
                <c:pt idx="192">
                  <c:v>-41.696441306611348</c:v>
                </c:pt>
                <c:pt idx="193">
                  <c:v>-41.303371711348923</c:v>
                </c:pt>
                <c:pt idx="194">
                  <c:v>-41.022162773651218</c:v>
                </c:pt>
                <c:pt idx="195">
                  <c:v>-40.856609854514879</c:v>
                </c:pt>
                <c:pt idx="196">
                  <c:v>-40.810149560286554</c:v>
                </c:pt>
                <c:pt idx="197">
                  <c:v>-40.885899856543205</c:v>
                </c:pt>
                <c:pt idx="198">
                  <c:v>-41.086696975273121</c:v>
                </c:pt>
                <c:pt idx="199">
                  <c:v>-41.415126807756721</c:v>
                </c:pt>
                <c:pt idx="200">
                  <c:v>-41.873548864724313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92608"/>
        <c:axId val="42697088"/>
      </c:scatterChart>
      <c:valAx>
        <c:axId val="4269260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97088"/>
        <c:crosses val="autoZero"/>
        <c:crossBetween val="midCat"/>
      </c:valAx>
      <c:valAx>
        <c:axId val="4269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92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 / Verr| (Power Stage)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tool'!$AJ$2:$AJ$202</c:f>
              <c:numCache>
                <c:formatCode>General</c:formatCode>
                <c:ptCount val="201"/>
                <c:pt idx="0">
                  <c:v>18.416631692668076</c:v>
                </c:pt>
                <c:pt idx="1">
                  <c:v>18.416631671766648</c:v>
                </c:pt>
                <c:pt idx="2">
                  <c:v>18.416631648129222</c:v>
                </c:pt>
                <c:pt idx="3">
                  <c:v>18.416631621397649</c:v>
                </c:pt>
                <c:pt idx="4">
                  <c:v>18.416631591166922</c:v>
                </c:pt>
                <c:pt idx="5">
                  <c:v>18.416631556978984</c:v>
                </c:pt>
                <c:pt idx="6">
                  <c:v>18.416631518315839</c:v>
                </c:pt>
                <c:pt idx="7">
                  <c:v>18.416631474591696</c:v>
                </c:pt>
                <c:pt idx="8">
                  <c:v>18.41663142514404</c:v>
                </c:pt>
                <c:pt idx="9">
                  <c:v>18.416631369223712</c:v>
                </c:pt>
                <c:pt idx="10">
                  <c:v>18.416631305983415</c:v>
                </c:pt>
                <c:pt idx="11">
                  <c:v>18.416631234464923</c:v>
                </c:pt>
                <c:pt idx="12">
                  <c:v>18.416631153584685</c:v>
                </c:pt>
                <c:pt idx="13">
                  <c:v>18.416631062117215</c:v>
                </c:pt>
                <c:pt idx="14">
                  <c:v>18.416630958676638</c:v>
                </c:pt>
                <c:pt idx="15">
                  <c:v>18.416630841695707</c:v>
                </c:pt>
                <c:pt idx="16">
                  <c:v>18.416630709401943</c:v>
                </c:pt>
                <c:pt idx="17">
                  <c:v>18.416630559790942</c:v>
                </c:pt>
                <c:pt idx="18">
                  <c:v>18.416630390595881</c:v>
                </c:pt>
                <c:pt idx="19">
                  <c:v>18.416630199253142</c:v>
                </c:pt>
                <c:pt idx="20">
                  <c:v>18.416629982863654</c:v>
                </c:pt>
                <c:pt idx="21">
                  <c:v>18.416629738148778</c:v>
                </c:pt>
                <c:pt idx="22">
                  <c:v>18.416629461400728</c:v>
                </c:pt>
                <c:pt idx="23">
                  <c:v>18.41662914842637</c:v>
                </c:pt>
                <c:pt idx="24">
                  <c:v>18.416628794483675</c:v>
                </c:pt>
                <c:pt idx="25">
                  <c:v>18.416628394209869</c:v>
                </c:pt>
                <c:pt idx="26">
                  <c:v>18.416627941540277</c:v>
                </c:pt>
                <c:pt idx="27">
                  <c:v>18.416627429616256</c:v>
                </c:pt>
                <c:pt idx="28">
                  <c:v>18.416626850681428</c:v>
                </c:pt>
                <c:pt idx="29">
                  <c:v>18.416626195964081</c:v>
                </c:pt>
                <c:pt idx="30">
                  <c:v>18.416625455544324</c:v>
                </c:pt>
                <c:pt idx="31">
                  <c:v>18.41662461820372</c:v>
                </c:pt>
                <c:pt idx="32">
                  <c:v>18.41662367125538</c:v>
                </c:pt>
                <c:pt idx="33">
                  <c:v>18.416622600351694</c:v>
                </c:pt>
                <c:pt idx="34">
                  <c:v>18.416621389266961</c:v>
                </c:pt>
                <c:pt idx="35">
                  <c:v>18.416620019651585</c:v>
                </c:pt>
                <c:pt idx="36">
                  <c:v>18.416618470753974</c:v>
                </c:pt>
                <c:pt idx="37">
                  <c:v>18.416616719106269</c:v>
                </c:pt>
                <c:pt idx="38">
                  <c:v>18.416614738168619</c:v>
                </c:pt>
                <c:pt idx="39">
                  <c:v>18.416612497927197</c:v>
                </c:pt>
                <c:pt idx="40">
                  <c:v>18.416609964439424</c:v>
                </c:pt>
                <c:pt idx="41">
                  <c:v>18.416607099319723</c:v>
                </c:pt>
                <c:pt idx="42">
                  <c:v>18.416603859157991</c:v>
                </c:pt>
                <c:pt idx="43">
                  <c:v>18.416600194861793</c:v>
                </c:pt>
                <c:pt idx="44">
                  <c:v>18.416596050912737</c:v>
                </c:pt>
                <c:pt idx="45">
                  <c:v>18.416591364525271</c:v>
                </c:pt>
                <c:pt idx="46">
                  <c:v>18.416586064695498</c:v>
                </c:pt>
                <c:pt idx="47">
                  <c:v>18.41658007112548</c:v>
                </c:pt>
                <c:pt idx="48">
                  <c:v>18.416573293006763</c:v>
                </c:pt>
                <c:pt idx="49">
                  <c:v>18.416565627644658</c:v>
                </c:pt>
                <c:pt idx="50">
                  <c:v>18.416556958902483</c:v>
                </c:pt>
                <c:pt idx="51">
                  <c:v>18.416547155442316</c:v>
                </c:pt>
                <c:pt idx="52">
                  <c:v>18.41653606873529</c:v>
                </c:pt>
                <c:pt idx="53">
                  <c:v>18.416523530811755</c:v>
                </c:pt>
                <c:pt idx="54">
                  <c:v>18.416509351716911</c:v>
                </c:pt>
                <c:pt idx="55">
                  <c:v>18.416493316633488</c:v>
                </c:pt>
                <c:pt idx="56">
                  <c:v>18.416475182628037</c:v>
                </c:pt>
                <c:pt idx="57">
                  <c:v>18.41645467497144</c:v>
                </c:pt>
                <c:pt idx="58">
                  <c:v>18.416431482978062</c:v>
                </c:pt>
                <c:pt idx="59">
                  <c:v>18.416405255300621</c:v>
                </c:pt>
                <c:pt idx="60">
                  <c:v>18.416375594609494</c:v>
                </c:pt>
                <c:pt idx="61">
                  <c:v>18.416342051576223</c:v>
                </c:pt>
                <c:pt idx="62">
                  <c:v>18.416304118070087</c:v>
                </c:pt>
                <c:pt idx="63">
                  <c:v>18.416261219464978</c:v>
                </c:pt>
                <c:pt idx="64">
                  <c:v>18.416212705940527</c:v>
                </c:pt>
                <c:pt idx="65">
                  <c:v>18.416157842645845</c:v>
                </c:pt>
                <c:pt idx="66">
                  <c:v>18.416095798577739</c:v>
                </c:pt>
                <c:pt idx="67">
                  <c:v>18.416025634005486</c:v>
                </c:pt>
                <c:pt idx="68">
                  <c:v>18.415946286252456</c:v>
                </c:pt>
                <c:pt idx="69">
                  <c:v>18.415856553620692</c:v>
                </c:pt>
                <c:pt idx="70">
                  <c:v>18.415755077216087</c:v>
                </c:pt>
                <c:pt idx="71">
                  <c:v>18.415640320401089</c:v>
                </c:pt>
                <c:pt idx="72">
                  <c:v>18.415510545565912</c:v>
                </c:pt>
                <c:pt idx="73">
                  <c:v>18.415363787869701</c:v>
                </c:pt>
                <c:pt idx="74">
                  <c:v>18.415197825557872</c:v>
                </c:pt>
                <c:pt idx="75">
                  <c:v>18.41501014641128</c:v>
                </c:pt>
                <c:pt idx="76">
                  <c:v>18.414797909825648</c:v>
                </c:pt>
                <c:pt idx="77">
                  <c:v>18.414557903955405</c:v>
                </c:pt>
                <c:pt idx="78">
                  <c:v>18.414286497283605</c:v>
                </c:pt>
                <c:pt idx="79">
                  <c:v>18.413979583898602</c:v>
                </c:pt>
                <c:pt idx="80">
                  <c:v>18.413632521666166</c:v>
                </c:pt>
                <c:pt idx="81">
                  <c:v>18.4132400623838</c:v>
                </c:pt>
                <c:pt idx="82">
                  <c:v>18.41279627288835</c:v>
                </c:pt>
                <c:pt idx="83">
                  <c:v>18.412294445959624</c:v>
                </c:pt>
                <c:pt idx="84">
                  <c:v>18.411726999718312</c:v>
                </c:pt>
                <c:pt idx="85">
                  <c:v>18.411085364056067</c:v>
                </c:pt>
                <c:pt idx="86">
                  <c:v>18.41035985245545</c:v>
                </c:pt>
                <c:pt idx="87">
                  <c:v>18.409539517358606</c:v>
                </c:pt>
                <c:pt idx="88">
                  <c:v>18.408611987022226</c:v>
                </c:pt>
                <c:pt idx="89">
                  <c:v>18.407563281550207</c:v>
                </c:pt>
                <c:pt idx="90">
                  <c:v>18.406377605527204</c:v>
                </c:pt>
                <c:pt idx="91">
                  <c:v>18.405037114377105</c:v>
                </c:pt>
                <c:pt idx="92">
                  <c:v>18.403521651247626</c:v>
                </c:pt>
                <c:pt idx="93">
                  <c:v>18.401808450868231</c:v>
                </c:pt>
                <c:pt idx="94">
                  <c:v>18.399871806446853</c:v>
                </c:pt>
                <c:pt idx="95">
                  <c:v>18.397682695262457</c:v>
                </c:pt>
                <c:pt idx="96">
                  <c:v>18.395208358175815</c:v>
                </c:pt>
                <c:pt idx="97">
                  <c:v>18.392411827825651</c:v>
                </c:pt>
                <c:pt idx="98">
                  <c:v>18.389251399808558</c:v>
                </c:pt>
                <c:pt idx="99">
                  <c:v>18.385680040665729</c:v>
                </c:pt>
                <c:pt idx="100">
                  <c:v>18.381644726035287</c:v>
                </c:pt>
                <c:pt idx="101">
                  <c:v>18.377085701891826</c:v>
                </c:pt>
                <c:pt idx="102">
                  <c:v>18.371935661410713</c:v>
                </c:pt>
                <c:pt idx="103">
                  <c:v>18.366118829699879</c:v>
                </c:pt>
                <c:pt idx="104">
                  <c:v>18.359549948476442</c:v>
                </c:pt>
                <c:pt idx="105">
                  <c:v>18.352133152789396</c:v>
                </c:pt>
                <c:pt idx="106">
                  <c:v>18.343760732171503</c:v>
                </c:pt>
                <c:pt idx="107">
                  <c:v>18.33431176923461</c:v>
                </c:pt>
                <c:pt idx="108">
                  <c:v>18.323650649809274</c:v>
                </c:pt>
                <c:pt idx="109">
                  <c:v>18.311625440406772</c:v>
                </c:pt>
                <c:pt idx="110">
                  <c:v>18.298066131205559</c:v>
                </c:pt>
                <c:pt idx="111">
                  <c:v>18.282782746117338</c:v>
                </c:pt>
                <c:pt idx="112">
                  <c:v>18.265563325982029</c:v>
                </c:pt>
                <c:pt idx="113">
                  <c:v>18.246171796803186</c:v>
                </c:pt>
                <c:pt idx="114">
                  <c:v>18.224345742413185</c:v>
                </c:pt>
                <c:pt idx="115">
                  <c:v>18.199794110292672</c:v>
                </c:pt>
                <c:pt idx="116">
                  <c:v>18.17219489068356</c:v>
                </c:pt>
                <c:pt idx="117">
                  <c:v>18.141192822794089</c:v>
                </c:pt>
                <c:pt idx="118">
                  <c:v>18.106397197862403</c:v>
                </c:pt>
                <c:pt idx="119">
                  <c:v>18.067379847022774</c:v>
                </c:pt>
                <c:pt idx="120">
                  <c:v>18.023673421969452</c:v>
                </c:pt>
                <c:pt idx="121">
                  <c:v>17.974770097672945</c:v>
                </c:pt>
                <c:pt idx="122">
                  <c:v>17.920120847783721</c:v>
                </c:pt>
                <c:pt idx="123">
                  <c:v>17.859135463249114</c:v>
                </c:pt>
                <c:pt idx="124">
                  <c:v>17.79118350087807</c:v>
                </c:pt>
                <c:pt idx="125">
                  <c:v>17.71559635829869</c:v>
                </c:pt>
                <c:pt idx="126">
                  <c:v>17.631670671611122</c:v>
                </c:pt>
                <c:pt idx="127">
                  <c:v>17.538673218307224</c:v>
                </c:pt>
                <c:pt idx="128">
                  <c:v>17.435847476961502</c:v>
                </c:pt>
                <c:pt idx="129">
                  <c:v>17.322421943542594</c:v>
                </c:pt>
                <c:pt idx="130">
                  <c:v>17.197620229912115</c:v>
                </c:pt>
                <c:pt idx="131">
                  <c:v>17.060672873157564</c:v>
                </c:pt>
                <c:pt idx="132">
                  <c:v>16.910830667697837</c:v>
                </c:pt>
                <c:pt idx="133">
                  <c:v>16.7473792019554</c:v>
                </c:pt>
                <c:pt idx="134">
                  <c:v>16.569654147898195</c:v>
                </c:pt>
                <c:pt idx="135">
                  <c:v>16.377056728337397</c:v>
                </c:pt>
                <c:pt idx="136">
                  <c:v>16.169068689062605</c:v>
                </c:pt>
                <c:pt idx="137">
                  <c:v>15.945266046358181</c:v>
                </c:pt>
                <c:pt idx="138">
                  <c:v>15.705330878337362</c:v>
                </c:pt>
                <c:pt idx="139">
                  <c:v>15.449060488811588</c:v>
                </c:pt>
                <c:pt idx="140">
                  <c:v>15.176373395580939</c:v>
                </c:pt>
                <c:pt idx="141">
                  <c:v>14.887311773018272</c:v>
                </c:pt>
                <c:pt idx="142">
                  <c:v>14.582040195413924</c:v>
                </c:pt>
                <c:pt idx="143">
                  <c:v>14.260840760519057</c:v>
                </c:pt>
                <c:pt idx="144">
                  <c:v>13.924104897203136</c:v>
                </c:pt>
                <c:pt idx="145">
                  <c:v>13.572322353631492</c:v>
                </c:pt>
                <c:pt idx="146">
                  <c:v>13.206068004429621</c:v>
                </c:pt>
                <c:pt idx="147">
                  <c:v>12.825987196114708</c:v>
                </c:pt>
                <c:pt idx="148">
                  <c:v>12.432780367449446</c:v>
                </c:pt>
                <c:pt idx="149">
                  <c:v>12.027187641071542</c:v>
                </c:pt>
                <c:pt idx="150">
                  <c:v>11.609973996558811</c:v>
                </c:pt>
                <c:pt idx="151">
                  <c:v>11.181915518153103</c:v>
                </c:pt>
                <c:pt idx="152">
                  <c:v>10.743787078524523</c:v>
                </c:pt>
                <c:pt idx="153">
                  <c:v>10.296351687474289</c:v>
                </c:pt>
                <c:pt idx="154">
                  <c:v>9.8403516125977433</c:v>
                </c:pt>
                <c:pt idx="155">
                  <c:v>9.3765012752035268</c:v>
                </c:pt>
                <c:pt idx="156">
                  <c:v>8.905481843136128</c:v>
                </c:pt>
                <c:pt idx="157">
                  <c:v>8.4279373833927966</c:v>
                </c:pt>
                <c:pt idx="158">
                  <c:v>7.9444724000862799</c:v>
                </c:pt>
                <c:pt idx="159">
                  <c:v>7.4556505644319202</c:v>
                </c:pt>
                <c:pt idx="160">
                  <c:v>6.9619944393786017</c:v>
                </c:pt>
                <c:pt idx="161">
                  <c:v>6.4639860084718626</c:v>
                </c:pt>
                <c:pt idx="162">
                  <c:v>5.9620678330301953</c:v>
                </c:pt>
                <c:pt idx="163">
                  <c:v>5.4566446807339917</c:v>
                </c:pt>
                <c:pt idx="164">
                  <c:v>4.9480854898717128</c:v>
                </c:pt>
                <c:pt idx="165">
                  <c:v>4.4367255549782314</c:v>
                </c:pt>
                <c:pt idx="166">
                  <c:v>3.9228688401791429</c:v>
                </c:pt>
                <c:pt idx="167">
                  <c:v>3.4067903454419808</c:v>
                </c:pt>
                <c:pt idx="168">
                  <c:v>2.8887384676934262</c:v>
                </c:pt>
                <c:pt idx="169">
                  <c:v>2.3689373132255591</c:v>
                </c:pt>
                <c:pt idx="170">
                  <c:v>1.8475889300040333</c:v>
                </c:pt>
                <c:pt idx="171">
                  <c:v>1.3248754385444947</c:v>
                </c:pt>
                <c:pt idx="172">
                  <c:v>0.80096104814064728</c:v>
                </c:pt>
                <c:pt idx="173">
                  <c:v>0.27599395165979268</c:v>
                </c:pt>
                <c:pt idx="174">
                  <c:v>-0.249891902908567</c:v>
                </c:pt>
                <c:pt idx="175">
                  <c:v>-0.77657516220154443</c:v>
                </c:pt>
                <c:pt idx="176">
                  <c:v>-1.3039455338350456</c:v>
                </c:pt>
                <c:pt idx="177">
                  <c:v>-1.8319023627320952</c:v>
                </c:pt>
                <c:pt idx="178">
                  <c:v>-2.3603533095454683</c:v>
                </c:pt>
                <c:pt idx="179">
                  <c:v>-2.8892131225686306</c:v>
                </c:pt>
                <c:pt idx="180">
                  <c:v>-3.4184024942544484</c:v>
                </c:pt>
                <c:pt idx="181">
                  <c:v>-3.9478469935496756</c:v>
                </c:pt>
                <c:pt idx="182">
                  <c:v>-4.4774760656715538</c:v>
                </c:pt>
                <c:pt idx="183">
                  <c:v>-5.0072220916659429</c:v>
                </c:pt>
                <c:pt idx="184">
                  <c:v>-5.537019501112046</c:v>
                </c:pt>
                <c:pt idx="185">
                  <c:v>-6.0668039326926158</c:v>
                </c:pt>
                <c:pt idx="186">
                  <c:v>-6.5965114390969504</c:v>
                </c:pt>
                <c:pt idx="187">
                  <c:v>-7.1260777349495763</c:v>
                </c:pt>
                <c:pt idx="188">
                  <c:v>-7.655437489287225</c:v>
                </c:pt>
                <c:pt idx="189">
                  <c:v>-8.1845236677034592</c:v>
                </c:pt>
                <c:pt idx="190">
                  <c:v>-8.7132669338642952</c:v>
                </c:pt>
                <c:pt idx="191">
                  <c:v>-9.2415951259446345</c:v>
                </c:pt>
                <c:pt idx="192">
                  <c:v>-9.769432831000751</c:v>
                </c:pt>
                <c:pt idx="193">
                  <c:v>-10.29670108981751</c:v>
                </c:pt>
                <c:pt idx="194">
                  <c:v>-10.823317276904467</c:v>
                </c:pt>
                <c:pt idx="195">
                  <c:v>-11.349195215733454</c:v>
                </c:pt>
                <c:pt idx="196">
                  <c:v>-11.874245608839333</c:v>
                </c:pt>
                <c:pt idx="197">
                  <c:v>-12.398376887018541</c:v>
                </c:pt>
                <c:pt idx="198">
                  <c:v>-12.921496612707564</c:v>
                </c:pt>
                <c:pt idx="199">
                  <c:v>-13.443513611004473</c:v>
                </c:pt>
                <c:pt idx="200">
                  <c:v>-13.964341049112628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8912"/>
        <c:axId val="43240448"/>
      </c:scatterChart>
      <c:valAx>
        <c:axId val="43238912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240448"/>
        <c:crosses val="autoZero"/>
        <c:crossBetween val="midCat"/>
      </c:valAx>
      <c:valAx>
        <c:axId val="4324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238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'Design tool'!$AT$1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tool'!$AT$2:$AT$202</c:f>
              <c:numCache>
                <c:formatCode>General</c:formatCode>
                <c:ptCount val="201"/>
                <c:pt idx="0">
                  <c:v>179.82342490360662</c:v>
                </c:pt>
                <c:pt idx="1">
                  <c:v>179.81222342430954</c:v>
                </c:pt>
                <c:pt idx="2">
                  <c:v>179.80031136043905</c:v>
                </c:pt>
                <c:pt idx="3">
                  <c:v>179.78764363670905</c:v>
                </c:pt>
                <c:pt idx="4">
                  <c:v>179.77417231889569</c:v>
                </c:pt>
                <c:pt idx="5">
                  <c:v>179.75984643258198</c:v>
                </c:pt>
                <c:pt idx="6">
                  <c:v>179.74461177042625</c:v>
                </c:pt>
                <c:pt idx="7">
                  <c:v>179.72841068723133</c:v>
                </c:pt>
                <c:pt idx="8">
                  <c:v>179.71118188204471</c:v>
                </c:pt>
                <c:pt idx="9">
                  <c:v>179.69286016647513</c:v>
                </c:pt>
                <c:pt idx="10">
                  <c:v>179.67337621835753</c:v>
                </c:pt>
                <c:pt idx="11">
                  <c:v>179.65265631984701</c:v>
                </c:pt>
                <c:pt idx="12">
                  <c:v>179.6306220789657</c:v>
                </c:pt>
                <c:pt idx="13">
                  <c:v>179.60719013356541</c:v>
                </c:pt>
                <c:pt idx="14">
                  <c:v>179.58227183660793</c:v>
                </c:pt>
                <c:pt idx="15">
                  <c:v>179.55577292159697</c:v>
                </c:pt>
                <c:pt idx="16">
                  <c:v>179.52759314692642</c:v>
                </c:pt>
                <c:pt idx="17">
                  <c:v>179.49762591783596</c:v>
                </c:pt>
                <c:pt idx="18">
                  <c:v>179.4657578845875</c:v>
                </c:pt>
                <c:pt idx="19">
                  <c:v>179.43186851539551</c:v>
                </c:pt>
                <c:pt idx="20">
                  <c:v>179.39582964255877</c:v>
                </c:pt>
                <c:pt idx="21">
                  <c:v>179.35750498015327</c:v>
                </c:pt>
                <c:pt idx="22">
                  <c:v>179.31674961155377</c:v>
                </c:pt>
                <c:pt idx="23">
                  <c:v>179.27340944495583</c:v>
                </c:pt>
                <c:pt idx="24">
                  <c:v>179.22732063497193</c:v>
                </c:pt>
                <c:pt idx="25">
                  <c:v>179.178308968274</c:v>
                </c:pt>
                <c:pt idx="26">
                  <c:v>179.12618921115074</c:v>
                </c:pt>
                <c:pt idx="27">
                  <c:v>179.07076441674363</c:v>
                </c:pt>
                <c:pt idx="28">
                  <c:v>179.01182518961994</c:v>
                </c:pt>
                <c:pt idx="29">
                  <c:v>178.94914890523526</c:v>
                </c:pt>
                <c:pt idx="30">
                  <c:v>178.88249888173706</c:v>
                </c:pt>
                <c:pt idx="31">
                  <c:v>178.81162350145962</c:v>
                </c:pt>
                <c:pt idx="32">
                  <c:v>178.73625527937062</c:v>
                </c:pt>
                <c:pt idx="33">
                  <c:v>178.65610987564489</c:v>
                </c:pt>
                <c:pt idx="34">
                  <c:v>178.57088504947154</c:v>
                </c:pt>
                <c:pt idx="35">
                  <c:v>178.48025955114781</c:v>
                </c:pt>
                <c:pt idx="36">
                  <c:v>178.38389194948283</c:v>
                </c:pt>
                <c:pt idx="37">
                  <c:v>178.28141939153426</c:v>
                </c:pt>
                <c:pt idx="38">
                  <c:v>178.17245629173775</c:v>
                </c:pt>
                <c:pt idx="39">
                  <c:v>178.05659294757328</c:v>
                </c:pt>
                <c:pt idx="40">
                  <c:v>177.93339407905614</c:v>
                </c:pt>
                <c:pt idx="41">
                  <c:v>177.80239728955632</c:v>
                </c:pt>
                <c:pt idx="42">
                  <c:v>177.66311144575766</c:v>
                </c:pt>
                <c:pt idx="43">
                  <c:v>177.51501497498518</c:v>
                </c:pt>
                <c:pt idx="44">
                  <c:v>177.35755407868297</c:v>
                </c:pt>
                <c:pt idx="45">
                  <c:v>177.19014086154078</c:v>
                </c:pt>
                <c:pt idx="46">
                  <c:v>177.0121513766868</c:v>
                </c:pt>
                <c:pt idx="47">
                  <c:v>176.82292358851848</c:v>
                </c:pt>
                <c:pt idx="48">
                  <c:v>176.62175525619236</c:v>
                </c:pt>
                <c:pt idx="49">
                  <c:v>176.40790174258461</c:v>
                </c:pt>
                <c:pt idx="50">
                  <c:v>176.18057375574131</c:v>
                </c:pt>
                <c:pt idx="51">
                  <c:v>175.93893503253631</c:v>
                </c:pt>
                <c:pt idx="52">
                  <c:v>175.68209997753596</c:v>
                </c:pt>
                <c:pt idx="53">
                  <c:v>175.4091312740386</c:v>
                </c:pt>
                <c:pt idx="54">
                  <c:v>175.11903748903671</c:v>
                </c:pt>
                <c:pt idx="55">
                  <c:v>174.81077069956777</c:v>
                </c:pt>
                <c:pt idx="56">
                  <c:v>174.48322417473972</c:v>
                </c:pt>
                <c:pt idx="57">
                  <c:v>174.13523015579941</c:v>
                </c:pt>
                <c:pt idx="58">
                  <c:v>173.76555778613965</c:v>
                </c:pt>
                <c:pt idx="59">
                  <c:v>173.3729112543127</c:v>
                </c:pt>
                <c:pt idx="60">
                  <c:v>172.95592822612628</c:v>
                </c:pt>
                <c:pt idx="61">
                  <c:v>172.51317865693633</c:v>
                </c:pt>
                <c:pt idx="62">
                  <c:v>172.04316409250117</c:v>
                </c:pt>
                <c:pt idx="63">
                  <c:v>171.54431758634334</c:v>
                </c:pt>
                <c:pt idx="64">
                  <c:v>171.01500438355896</c:v>
                </c:pt>
                <c:pt idx="65">
                  <c:v>170.45352354536735</c:v>
                </c:pt>
                <c:pt idx="66">
                  <c:v>169.85811071520456</c:v>
                </c:pt>
                <c:pt idx="67">
                  <c:v>169.226942255415</c:v>
                </c:pt>
                <c:pt idx="68">
                  <c:v>168.55814101283624</c:v>
                </c:pt>
                <c:pt idx="69">
                  <c:v>167.84978400066942</c:v>
                </c:pt>
                <c:pt idx="70">
                  <c:v>167.09991231130721</c:v>
                </c:pt>
                <c:pt idx="71">
                  <c:v>166.30654359792223</c:v>
                </c:pt>
                <c:pt idx="72">
                  <c:v>165.46768747848836</c:v>
                </c:pt>
                <c:pt idx="73">
                  <c:v>164.58136422047272</c:v>
                </c:pt>
                <c:pt idx="74">
                  <c:v>163.64562705266255</c:v>
                </c:pt>
                <c:pt idx="75">
                  <c:v>162.65858841640986</c:v>
                </c:pt>
                <c:pt idx="76">
                  <c:v>161.61845040500123</c:v>
                </c:pt>
                <c:pt idx="77">
                  <c:v>160.52353953926186</c:v>
                </c:pt>
                <c:pt idx="78">
                  <c:v>159.3723458821589</c:v>
                </c:pt>
                <c:pt idx="79">
                  <c:v>158.16356629811958</c:v>
                </c:pt>
                <c:pt idx="80">
                  <c:v>156.89615140908086</c:v>
                </c:pt>
                <c:pt idx="81">
                  <c:v>155.56935548770235</c:v>
                </c:pt>
                <c:pt idx="82">
                  <c:v>154.18278816310979</c:v>
                </c:pt>
                <c:pt idx="83">
                  <c:v>152.73646640832007</c:v>
                </c:pt>
                <c:pt idx="84">
                  <c:v>151.23086485329262</c:v>
                </c:pt>
                <c:pt idx="85">
                  <c:v>149.66696205677289</c:v>
                </c:pt>
                <c:pt idx="86">
                  <c:v>148.04628001843588</c:v>
                </c:pt>
                <c:pt idx="87">
                  <c:v>146.37091397424979</c:v>
                </c:pt>
                <c:pt idx="88">
                  <c:v>144.64354945102636</c:v>
                </c:pt>
                <c:pt idx="89">
                  <c:v>142.86746371653865</c:v>
                </c:pt>
                <c:pt idx="90">
                  <c:v>141.0465091921987</c:v>
                </c:pt>
                <c:pt idx="91">
                  <c:v>139.18507711493953</c:v>
                </c:pt>
                <c:pt idx="92">
                  <c:v>137.28804072821907</c:v>
                </c:pt>
                <c:pt idx="93">
                  <c:v>135.36067849276105</c:v>
                </c:pt>
                <c:pt idx="94">
                  <c:v>133.40857913874072</c:v>
                </c:pt>
                <c:pt idx="95">
                  <c:v>131.43753170274056</c:v>
                </c:pt>
                <c:pt idx="96">
                  <c:v>129.45340485880777</c:v>
                </c:pt>
                <c:pt idx="97">
                  <c:v>127.46202072298122</c:v>
                </c:pt>
                <c:pt idx="98">
                  <c:v>125.46902877443917</c:v>
                </c:pt>
                <c:pt idx="99">
                  <c:v>123.4797855335829</c:v>
                </c:pt>
                <c:pt idx="100">
                  <c:v>121.49924516927798</c:v>
                </c:pt>
                <c:pt idx="101">
                  <c:v>119.53186533664982</c:v>
                </c:pt>
                <c:pt idx="102">
                  <c:v>117.58153138544813</c:v>
                </c:pt>
                <c:pt idx="103">
                  <c:v>115.65150076819359</c:v>
                </c:pt>
                <c:pt idx="104">
                  <c:v>113.74436816342504</c:v>
                </c:pt>
                <c:pt idx="105">
                  <c:v>111.86205064148976</c:v>
                </c:pt>
                <c:pt idx="106">
                  <c:v>110.00579123444868</c:v>
                </c:pt>
                <c:pt idx="107">
                  <c:v>108.17617858266468</c:v>
                </c:pt>
                <c:pt idx="108">
                  <c:v>106.37317993272792</c:v>
                </c:pt>
                <c:pt idx="109">
                  <c:v>104.59618463466293</c:v>
                </c:pt>
                <c:pt idx="110">
                  <c:v>102.84405538727223</c:v>
                </c:pt>
                <c:pt idx="111">
                  <c:v>101.11518475262254</c:v>
                </c:pt>
                <c:pt idx="112">
                  <c:v>99.407554844946802</c:v>
                </c:pt>
                <c:pt idx="113">
                  <c:v>97.718798540858188</c:v>
                </c:pt>
                <c:pt idx="114">
                  <c:v>96.04626101089616</c:v>
                </c:pt>
                <c:pt idx="115">
                  <c:v>94.387060801859221</c:v>
                </c:pt>
                <c:pt idx="116">
                  <c:v>92.738150080360469</c:v>
                </c:pt>
                <c:pt idx="117">
                  <c:v>91.096373964723909</c:v>
                </c:pt>
                <c:pt idx="118">
                  <c:v>89.458529115682438</c:v>
                </c:pt>
                <c:pt idx="119">
                  <c:v>87.82142192185924</c:v>
                </c:pt>
                <c:pt idx="120">
                  <c:v>86.181926701935623</c:v>
                </c:pt>
                <c:pt idx="121">
                  <c:v>84.53704435115597</c:v>
                </c:pt>
                <c:pt idx="122">
                  <c:v>82.883961785389801</c:v>
                </c:pt>
                <c:pt idx="123">
                  <c:v>81.220112381784446</c:v>
                </c:pt>
                <c:pt idx="124">
                  <c:v>79.54323738261823</c:v>
                </c:pt>
                <c:pt idx="125">
                  <c:v>77.851447922320943</c:v>
                </c:pt>
                <c:pt idx="126">
                  <c:v>76.143286964947094</c:v>
                </c:pt>
                <c:pt idx="127">
                  <c:v>74.417790015464732</c:v>
                </c:pt>
                <c:pt idx="128">
                  <c:v>72.674543016343492</c:v>
                </c:pt>
                <c:pt idx="129">
                  <c:v>70.913735394777433</c:v>
                </c:pt>
                <c:pt idx="130">
                  <c:v>69.13620582981406</c:v>
                </c:pt>
                <c:pt idx="131">
                  <c:v>67.343478016296359</c:v>
                </c:pt>
                <c:pt idx="132">
                  <c:v>65.537783572800208</c:v>
                </c:pt>
                <c:pt idx="133">
                  <c:v>63.72206933086305</c:v>
                </c:pt>
                <c:pt idx="134">
                  <c:v>61.899986598840272</c:v>
                </c:pt>
                <c:pt idx="135">
                  <c:v>60.07586063956785</c:v>
                </c:pt>
                <c:pt idx="136">
                  <c:v>58.254639527754378</c:v>
                </c:pt>
                <c:pt idx="137">
                  <c:v>56.44182271175179</c:v>
                </c:pt>
                <c:pt idx="138">
                  <c:v>54.643370904578319</c:v>
                </c:pt>
                <c:pt idx="139">
                  <c:v>52.865600245494669</c:v>
                </c:pt>
                <c:pt idx="140">
                  <c:v>51.115064860857395</c:v>
                </c:pt>
                <c:pt idx="141">
                  <c:v>49.398432867869936</c:v>
                </c:pt>
                <c:pt idx="142">
                  <c:v>47.722361389413301</c:v>
                </c:pt>
                <c:pt idx="143">
                  <c:v>46.093376211586694</c:v>
                </c:pt>
                <c:pt idx="144">
                  <c:v>44.517761307389002</c:v>
                </c:pt>
                <c:pt idx="145">
                  <c:v>43.001462621898497</c:v>
                </c:pt>
                <c:pt idx="146">
                  <c:v>41.550009370451662</c:v>
                </c:pt>
                <c:pt idx="147">
                  <c:v>40.168454778930396</c:v>
                </c:pt>
                <c:pt idx="148">
                  <c:v>38.861336840964007</c:v>
                </c:pt>
                <c:pt idx="149">
                  <c:v>37.63265841383253</c:v>
                </c:pt>
                <c:pt idx="150">
                  <c:v>36.485884925417153</c:v>
                </c:pt>
                <c:pt idx="151">
                  <c:v>35.423957180862033</c:v>
                </c:pt>
                <c:pt idx="152">
                  <c:v>34.449316260742137</c:v>
                </c:pt>
                <c:pt idx="153">
                  <c:v>33.5639372782463</c:v>
                </c:pt>
                <c:pt idx="154">
                  <c:v>32.769368771594614</c:v>
                </c:pt>
                <c:pt idx="155">
                  <c:v>32.066774695987121</c:v>
                </c:pt>
                <c:pt idx="156">
                  <c:v>31.456976289429718</c:v>
                </c:pt>
                <c:pt idx="157">
                  <c:v>30.940491465799255</c:v>
                </c:pt>
                <c:pt idx="158">
                  <c:v>30.517569792851873</c:v>
                </c:pt>
                <c:pt idx="159">
                  <c:v>30.188221511026882</c:v>
                </c:pt>
                <c:pt idx="160">
                  <c:v>29.952239421459495</c:v>
                </c:pt>
                <c:pt idx="161">
                  <c:v>29.809212810490834</c:v>
                </c:pt>
                <c:pt idx="162">
                  <c:v>29.758532884138717</c:v>
                </c:pt>
                <c:pt idx="163">
                  <c:v>29.799389467324787</c:v>
                </c:pt>
                <c:pt idx="164">
                  <c:v>29.930758991408837</c:v>
                </c:pt>
                <c:pt idx="165">
                  <c:v>30.151384064054952</c:v>
                </c:pt>
                <c:pt idx="166">
                  <c:v>30.459745201667133</c:v>
                </c:pt>
                <c:pt idx="167">
                  <c:v>30.854025618003021</c:v>
                </c:pt>
                <c:pt idx="168">
                  <c:v>31.332070309472726</c:v>
                </c:pt>
                <c:pt idx="169">
                  <c:v>31.891341057065901</c:v>
                </c:pt>
                <c:pt idx="170">
                  <c:v>32.528869366073792</c:v>
                </c:pt>
                <c:pt idx="171">
                  <c:v>33.24120976552986</c:v>
                </c:pt>
                <c:pt idx="172">
                  <c:v>34.024396254936818</c:v>
                </c:pt>
                <c:pt idx="173">
                  <c:v>34.87390497016402</c:v>
                </c:pt>
                <c:pt idx="174">
                  <c:v>35.784626288656142</c:v>
                </c:pt>
                <c:pt idx="175">
                  <c:v>36.750849548990388</c:v>
                </c:pt>
                <c:pt idx="176">
                  <c:v>37.766263270071718</c:v>
                </c:pt>
                <c:pt idx="177">
                  <c:v>38.823973186428077</c:v>
                </c:pt>
                <c:pt idx="178">
                  <c:v>39.916539561697576</c:v>
                </c:pt>
                <c:pt idx="179">
                  <c:v>41.036034133213889</c:v>
                </c:pt>
                <c:pt idx="180">
                  <c:v>42.174115748917075</c:v>
                </c:pt>
                <c:pt idx="181">
                  <c:v>43.322122394659829</c:v>
                </c:pt>
                <c:pt idx="182">
                  <c:v>44.47117601357786</c:v>
                </c:pt>
                <c:pt idx="183">
                  <c:v>45.61229543612842</c:v>
                </c:pt>
                <c:pt idx="184">
                  <c:v>46.736512000839184</c:v>
                </c:pt>
                <c:pt idx="185">
                  <c:v>47.834982144536923</c:v>
                </c:pt>
                <c:pt idx="186">
                  <c:v>48.899091413849433</c:v>
                </c:pt>
                <c:pt idx="187">
                  <c:v>49.920544971195099</c:v>
                </c:pt>
                <c:pt idx="188">
                  <c:v>50.891440654479169</c:v>
                </c:pt>
                <c:pt idx="189">
                  <c:v>51.804321874153288</c:v>
                </c:pt>
                <c:pt idx="190">
                  <c:v>52.652208948243242</c:v>
                </c:pt>
                <c:pt idx="191">
                  <c:v>53.428608743623727</c:v>
                </c:pt>
                <c:pt idx="192">
                  <c:v>54.127503592991388</c:v>
                </c:pt>
                <c:pt idx="193">
                  <c:v>54.743321311956649</c:v>
                </c:pt>
                <c:pt idx="194">
                  <c:v>55.27088871217687</c:v>
                </c:pt>
                <c:pt idx="195">
                  <c:v>55.705371296616676</c:v>
                </c:pt>
                <c:pt idx="196">
                  <c:v>56.042201865464193</c:v>
                </c:pt>
                <c:pt idx="197">
                  <c:v>56.277000610417389</c:v>
                </c:pt>
                <c:pt idx="198">
                  <c:v>56.40548899636542</c:v>
                </c:pt>
                <c:pt idx="199">
                  <c:v>56.423399390850122</c:v>
                </c:pt>
                <c:pt idx="200">
                  <c:v>56.326382068768879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7888"/>
        <c:axId val="59610240"/>
      </c:scatterChart>
      <c:valAx>
        <c:axId val="5915788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610240"/>
        <c:crosses val="autoZero"/>
        <c:crossBetween val="midCat"/>
      </c:valAx>
      <c:valAx>
        <c:axId val="59610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157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|Vloop|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155656795747917E-2"/>
          <c:y val="0.14502612166526546"/>
          <c:w val="0.7104696896192868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tool'!$AS$2:$AS$202</c:f>
              <c:numCache>
                <c:formatCode>General</c:formatCode>
                <c:ptCount val="201"/>
                <c:pt idx="0">
                  <c:v>68.947779678530665</c:v>
                </c:pt>
                <c:pt idx="1">
                  <c:v>68.947774867428336</c:v>
                </c:pt>
                <c:pt idx="2">
                  <c:v>68.947769426558821</c:v>
                </c:pt>
                <c:pt idx="3">
                  <c:v>68.947763273487311</c:v>
                </c:pt>
                <c:pt idx="4">
                  <c:v>68.947756314988752</c:v>
                </c:pt>
                <c:pt idx="5">
                  <c:v>68.947748445635597</c:v>
                </c:pt>
                <c:pt idx="6">
                  <c:v>68.947739546200793</c:v>
                </c:pt>
                <c:pt idx="7">
                  <c:v>68.947729481851113</c:v>
                </c:pt>
                <c:pt idx="8">
                  <c:v>68.947718100105405</c:v>
                </c:pt>
                <c:pt idx="9">
                  <c:v>68.947705228524129</c:v>
                </c:pt>
                <c:pt idx="10">
                  <c:v>68.947690672097664</c:v>
                </c:pt>
                <c:pt idx="11">
                  <c:v>68.947674210292348</c:v>
                </c:pt>
                <c:pt idx="12">
                  <c:v>68.94765559371028</c:v>
                </c:pt>
                <c:pt idx="13">
                  <c:v>68.947634540311967</c:v>
                </c:pt>
                <c:pt idx="14">
                  <c:v>68.947610731144366</c:v>
                </c:pt>
                <c:pt idx="15">
                  <c:v>68.947583805511272</c:v>
                </c:pt>
                <c:pt idx="16">
                  <c:v>68.947553355510593</c:v>
                </c:pt>
                <c:pt idx="17">
                  <c:v>68.947518919858098</c:v>
                </c:pt>
                <c:pt idx="18">
                  <c:v>68.947479976902812</c:v>
                </c:pt>
                <c:pt idx="19">
                  <c:v>68.947435936729505</c:v>
                </c:pt>
                <c:pt idx="20">
                  <c:v>68.947386132228331</c:v>
                </c:pt>
                <c:pt idx="21">
                  <c:v>68.947329808997267</c:v>
                </c:pt>
                <c:pt idx="22">
                  <c:v>68.947266113924499</c:v>
                </c:pt>
                <c:pt idx="23">
                  <c:v>68.947194082278827</c:v>
                </c:pt>
                <c:pt idx="24">
                  <c:v>68.947112623113625</c:v>
                </c:pt>
                <c:pt idx="25">
                  <c:v>68.947020502763934</c:v>
                </c:pt>
                <c:pt idx="26">
                  <c:v>68.946916326189125</c:v>
                </c:pt>
                <c:pt idx="27">
                  <c:v>68.946798515879564</c:v>
                </c:pt>
                <c:pt idx="28">
                  <c:v>68.946665288010934</c:v>
                </c:pt>
                <c:pt idx="29">
                  <c:v>68.946514625488419</c:v>
                </c:pt>
                <c:pt idx="30">
                  <c:v>68.946344247476048</c:v>
                </c:pt>
                <c:pt idx="31">
                  <c:v>68.946151574955849</c:v>
                </c:pt>
                <c:pt idx="32">
                  <c:v>68.945933691801656</c:v>
                </c:pt>
                <c:pt idx="33">
                  <c:v>68.945687300786588</c:v>
                </c:pt>
                <c:pt idx="34">
                  <c:v>68.945408673870247</c:v>
                </c:pt>
                <c:pt idx="35">
                  <c:v>68.945093596025842</c:v>
                </c:pt>
                <c:pt idx="36">
                  <c:v>68.944737301776499</c:v>
                </c:pt>
                <c:pt idx="37">
                  <c:v>68.944334403502523</c:v>
                </c:pt>
                <c:pt idx="38">
                  <c:v>68.943878810464824</c:v>
                </c:pt>
                <c:pt idx="39">
                  <c:v>68.943363637356413</c:v>
                </c:pt>
                <c:pt idx="40">
                  <c:v>68.942781101048297</c:v>
                </c:pt>
                <c:pt idx="41">
                  <c:v>68.942122404028055</c:v>
                </c:pt>
                <c:pt idx="42">
                  <c:v>68.941377602849585</c:v>
                </c:pt>
                <c:pt idx="43">
                  <c:v>68.940535459703597</c:v>
                </c:pt>
                <c:pt idx="44">
                  <c:v>68.939583274997062</c:v>
                </c:pt>
                <c:pt idx="45">
                  <c:v>68.938506698573505</c:v>
                </c:pt>
                <c:pt idx="46">
                  <c:v>68.937289516935053</c:v>
                </c:pt>
                <c:pt idx="47">
                  <c:v>68.935913413519472</c:v>
                </c:pt>
                <c:pt idx="48">
                  <c:v>68.934357698756571</c:v>
                </c:pt>
                <c:pt idx="49">
                  <c:v>68.932599006266713</c:v>
                </c:pt>
                <c:pt idx="50">
                  <c:v>68.9306109511747</c:v>
                </c:pt>
                <c:pt idx="51">
                  <c:v>68.928363746098768</c:v>
                </c:pt>
                <c:pt idx="52">
                  <c:v>68.925823769927888</c:v>
                </c:pt>
                <c:pt idx="53">
                  <c:v>68.922953084044124</c:v>
                </c:pt>
                <c:pt idx="54">
                  <c:v>68.919708890169062</c:v>
                </c:pt>
                <c:pt idx="55">
                  <c:v>68.916042923534064</c:v>
                </c:pt>
                <c:pt idx="56">
                  <c:v>68.9119007746108</c:v>
                </c:pt>
                <c:pt idx="57">
                  <c:v>68.907221132199822</c:v>
                </c:pt>
                <c:pt idx="58">
                  <c:v>68.901934940299469</c:v>
                </c:pt>
                <c:pt idx="59">
                  <c:v>68.895964460895513</c:v>
                </c:pt>
                <c:pt idx="60">
                  <c:v>68.889222234664416</c:v>
                </c:pt>
                <c:pt idx="61">
                  <c:v>68.881609931641975</c:v>
                </c:pt>
                <c:pt idx="62">
                  <c:v>68.873017084233041</c:v>
                </c:pt>
                <c:pt idx="63">
                  <c:v>68.863319695629968</c:v>
                </c:pt>
                <c:pt idx="64">
                  <c:v>68.852378717876903</c:v>
                </c:pt>
                <c:pt idx="65">
                  <c:v>68.840038395599166</c:v>
                </c:pt>
                <c:pt idx="66">
                  <c:v>68.826124473973977</c:v>
                </c:pt>
                <c:pt idx="67">
                  <c:v>68.810442273042469</c:v>
                </c:pt>
                <c:pt idx="68">
                  <c:v>68.79277463515939</c:v>
                </c:pt>
                <c:pt idx="69">
                  <c:v>68.772879758484734</c:v>
                </c:pt>
                <c:pt idx="70">
                  <c:v>68.750488937186518</c:v>
                </c:pt>
                <c:pt idx="71">
                  <c:v>68.725304238680252</c:v>
                </c:pt>
                <c:pt idx="72">
                  <c:v>68.696996160003266</c:v>
                </c:pt>
                <c:pt idx="73">
                  <c:v>68.665201319449608</c:v>
                </c:pt>
                <c:pt idx="74">
                  <c:v>68.62952025592098</c:v>
                </c:pt>
                <c:pt idx="75">
                  <c:v>68.589515426945653</c:v>
                </c:pt>
                <c:pt idx="76">
                  <c:v>68.544709516580753</c:v>
                </c:pt>
                <c:pt idx="77">
                  <c:v>68.494584185729764</c:v>
                </c:pt>
                <c:pt idx="78">
                  <c:v>68.438579418578371</c:v>
                </c:pt>
                <c:pt idx="79">
                  <c:v>68.376093638188394</c:v>
                </c:pt>
                <c:pt idx="80">
                  <c:v>68.306484779467723</c:v>
                </c:pt>
                <c:pt idx="81">
                  <c:v>68.229072515851954</c:v>
                </c:pt>
                <c:pt idx="82">
                  <c:v>68.143141833627553</c:v>
                </c:pt>
                <c:pt idx="83">
                  <c:v>68.047948131154584</c:v>
                </c:pt>
                <c:pt idx="84">
                  <c:v>67.942723985572712</c:v>
                </c:pt>
                <c:pt idx="85">
                  <c:v>67.826687673836744</c:v>
                </c:pt>
                <c:pt idx="86">
                  <c:v>67.699053456356552</c:v>
                </c:pt>
                <c:pt idx="87">
                  <c:v>67.559043530572197</c:v>
                </c:pt>
                <c:pt idx="88">
                  <c:v>67.405901441899204</c:v>
                </c:pt>
                <c:pt idx="89">
                  <c:v>67.238906607646641</c:v>
                </c:pt>
                <c:pt idx="90">
                  <c:v>67.057389476485866</c:v>
                </c:pt>
                <c:pt idx="91">
                  <c:v>66.860746725720176</c:v>
                </c:pt>
                <c:pt idx="92">
                  <c:v>66.648455806723774</c:v>
                </c:pt>
                <c:pt idx="93">
                  <c:v>66.420088100873386</c:v>
                </c:pt>
                <c:pt idx="94">
                  <c:v>66.17531995653043</c:v>
                </c:pt>
                <c:pt idx="95">
                  <c:v>65.913940948914728</c:v>
                </c:pt>
                <c:pt idx="96">
                  <c:v>65.635858838047696</c:v>
                </c:pt>
                <c:pt idx="97">
                  <c:v>65.341100885754912</c:v>
                </c:pt>
                <c:pt idx="98">
                  <c:v>65.029811413512476</c:v>
                </c:pt>
                <c:pt idx="99">
                  <c:v>64.702245715741427</c:v>
                </c:pt>
                <c:pt idx="100">
                  <c:v>64.358760663089186</c:v>
                </c:pt>
                <c:pt idx="101">
                  <c:v>63.999802514461734</c:v>
                </c:pt>
                <c:pt idx="102">
                  <c:v>63.625892587886696</c:v>
                </c:pt>
                <c:pt idx="103">
                  <c:v>63.237611509419885</c:v>
                </c:pt>
                <c:pt idx="104">
                  <c:v>62.835582765616479</c:v>
                </c:pt>
                <c:pt idx="105">
                  <c:v>62.420456235643201</c:v>
                </c:pt>
                <c:pt idx="106">
                  <c:v>61.992892286557684</c:v>
                </c:pt>
                <c:pt idx="107">
                  <c:v>61.553546895186599</c:v>
                </c:pt>
                <c:pt idx="108">
                  <c:v>61.103058128193169</c:v>
                </c:pt>
                <c:pt idx="109">
                  <c:v>60.642034182297735</c:v>
                </c:pt>
                <c:pt idx="110">
                  <c:v>60.171043069952098</c:v>
                </c:pt>
                <c:pt idx="111">
                  <c:v>59.690603939150876</c:v>
                </c:pt>
                <c:pt idx="112">
                  <c:v>59.201179943009365</c:v>
                </c:pt>
                <c:pt idx="113">
                  <c:v>58.703172525830013</c:v>
                </c:pt>
                <c:pt idx="114">
                  <c:v>58.196916966062915</c:v>
                </c:pt>
                <c:pt idx="115">
                  <c:v>57.682679009955905</c:v>
                </c:pt>
                <c:pt idx="116">
                  <c:v>57.160652439298417</c:v>
                </c:pt>
                <c:pt idx="117">
                  <c:v>56.630957438888707</c:v>
                </c:pt>
                <c:pt idx="118">
                  <c:v>56.093639660845227</c:v>
                </c:pt>
                <c:pt idx="119">
                  <c:v>55.548669920633031</c:v>
                </c:pt>
                <c:pt idx="120">
                  <c:v>54.99594450107476</c:v>
                </c:pt>
                <c:pt idx="121">
                  <c:v>54.435286083308391</c:v>
                </c:pt>
                <c:pt idx="122">
                  <c:v>53.866445365390277</c:v>
                </c:pt>
                <c:pt idx="123">
                  <c:v>53.28910346770752</c:v>
                </c:pt>
                <c:pt idx="124">
                  <c:v>52.702875256968227</c:v>
                </c:pt>
                <c:pt idx="125">
                  <c:v>52.107313744367957</c:v>
                </c:pt>
                <c:pt idx="126">
                  <c:v>51.501915725241531</c:v>
                </c:pt>
                <c:pt idx="127">
                  <c:v>50.886128823559723</c:v>
                </c:pt>
                <c:pt idx="128">
                  <c:v>50.259360081455398</c:v>
                </c:pt>
                <c:pt idx="129">
                  <c:v>49.620986188581249</c:v>
                </c:pt>
                <c:pt idx="130">
                  <c:v>48.970365376699661</c:v>
                </c:pt>
                <c:pt idx="131">
                  <c:v>48.306850911725256</c:v>
                </c:pt>
                <c:pt idx="132">
                  <c:v>47.629806001533773</c:v>
                </c:pt>
                <c:pt idx="133">
                  <c:v>46.938619809764077</c:v>
                </c:pt>
                <c:pt idx="134">
                  <c:v>46.232724133822771</c:v>
                </c:pt>
                <c:pt idx="135">
                  <c:v>45.511610182912058</c:v>
                </c:pt>
                <c:pt idx="136">
                  <c:v>44.774844794791456</c:v>
                </c:pt>
                <c:pt idx="137">
                  <c:v>44.022085373896033</c:v>
                </c:pt>
                <c:pt idx="138">
                  <c:v>43.253092831607283</c:v>
                </c:pt>
                <c:pt idx="139">
                  <c:v>42.467741869919799</c:v>
                </c:pt>
                <c:pt idx="140">
                  <c:v>41.666028073000014</c:v>
                </c:pt>
                <c:pt idx="141">
                  <c:v>40.848071449164792</c:v>
                </c:pt>
                <c:pt idx="142">
                  <c:v>40.014116282401673</c:v>
                </c:pt>
                <c:pt idx="143">
                  <c:v>39.164527385503526</c:v>
                </c:pt>
                <c:pt idx="144">
                  <c:v>38.29978307130056</c:v>
                </c:pt>
                <c:pt idx="145">
                  <c:v>37.420465350838015</c:v>
                </c:pt>
                <c:pt idx="146">
                  <c:v>36.527248009198175</c:v>
                </c:pt>
                <c:pt idx="147">
                  <c:v>35.620883290123146</c:v>
                </c:pt>
                <c:pt idx="148">
                  <c:v>34.70218793741622</c:v>
                </c:pt>
                <c:pt idx="149">
                  <c:v>33.772029299972168</c:v>
                </c:pt>
                <c:pt idx="150">
                  <c:v>32.831312119875534</c:v>
                </c:pt>
                <c:pt idx="151">
                  <c:v>31.88096650436033</c:v>
                </c:pt>
                <c:pt idx="152">
                  <c:v>30.921937448219843</c:v>
                </c:pt>
                <c:pt idx="153">
                  <c:v>29.955176137584882</c:v>
                </c:pt>
                <c:pt idx="154">
                  <c:v>28.981633139904865</c:v>
                </c:pt>
                <c:pt idx="155">
                  <c:v>28.002253475782961</c:v>
                </c:pt>
                <c:pt idx="156">
                  <c:v>27.017973479724773</c:v>
                </c:pt>
                <c:pt idx="157">
                  <c:v>26.029719289421514</c:v>
                </c:pt>
                <c:pt idx="158">
                  <c:v>25.038406755194789</c:v>
                </c:pt>
                <c:pt idx="159">
                  <c:v>24.044942529532765</c:v>
                </c:pt>
                <c:pt idx="160">
                  <c:v>23.050226077479465</c:v>
                </c:pt>
                <c:pt idx="161">
                  <c:v>22.055152338225771</c:v>
                </c:pt>
                <c:pt idx="162">
                  <c:v>21.060614763322413</c:v>
                </c:pt>
                <c:pt idx="163">
                  <c:v>20.067508454986289</c:v>
                </c:pt>
                <c:pt idx="164">
                  <c:v>19.076733127504312</c:v>
                </c:pt>
                <c:pt idx="165">
                  <c:v>18.089195615339634</c:v>
                </c:pt>
                <c:pt idx="166">
                  <c:v>17.105811653887965</c:v>
                </c:pt>
                <c:pt idx="167">
                  <c:v>16.12750666467899</c:v>
                </c:pt>
                <c:pt idx="168">
                  <c:v>15.155215288872771</c:v>
                </c:pt>
                <c:pt idx="169">
                  <c:v>14.189879434590381</c:v>
                </c:pt>
                <c:pt idx="170">
                  <c:v>13.232444638762543</c:v>
                </c:pt>
                <c:pt idx="171">
                  <c:v>12.283854596455059</c:v>
                </c:pt>
                <c:pt idx="172">
                  <c:v>11.345043782906059</c:v>
                </c:pt>
                <c:pt idx="173">
                  <c:v>10.416928187015953</c:v>
                </c:pt>
                <c:pt idx="174">
                  <c:v>9.5003942885044719</c:v>
                </c:pt>
                <c:pt idx="175">
                  <c:v>8.5962865398436499</c:v>
                </c:pt>
                <c:pt idx="176">
                  <c:v>7.705393750129927</c:v>
                </c:pt>
                <c:pt idx="177">
                  <c:v>6.8284348993932502</c:v>
                </c:pt>
                <c:pt idx="178">
                  <c:v>5.9660450237707625</c:v>
                </c:pt>
                <c:pt idx="179">
                  <c:v>5.1187618887517168</c:v>
                </c:pt>
                <c:pt idx="180">
                  <c:v>4.28701419481136</c:v>
                </c:pt>
                <c:pt idx="181">
                  <c:v>3.4711120267492541</c:v>
                </c:pt>
                <c:pt idx="182">
                  <c:v>2.6712401609950156</c:v>
                </c:pt>
                <c:pt idx="183">
                  <c:v>1.8874546883780736</c:v>
                </c:pt>
                <c:pt idx="184">
                  <c:v>1.1196832061943089</c:v>
                </c:pt>
                <c:pt idx="185">
                  <c:v>0.36772860279064901</c:v>
                </c:pt>
                <c:pt idx="186">
                  <c:v>-0.36872377553227409</c:v>
                </c:pt>
                <c:pt idx="187">
                  <c:v>-1.0900959972262916</c:v>
                </c:pt>
                <c:pt idx="188">
                  <c:v>-1.7969050488523113</c:v>
                </c:pt>
                <c:pt idx="189">
                  <c:v>-2.4897486724270035</c:v>
                </c:pt>
                <c:pt idx="190">
                  <c:v>-3.1692902898338202</c:v>
                </c:pt>
                <c:pt idx="191">
                  <c:v>-3.8362437572746328</c:v>
                </c:pt>
                <c:pt idx="192">
                  <c:v>-4.4913586325963415</c:v>
                </c:pt>
                <c:pt idx="193">
                  <c:v>-5.1354065425812703</c:v>
                </c:pt>
                <c:pt idx="194">
                  <c:v>-5.769169122286252</c:v>
                </c:pt>
                <c:pt idx="195">
                  <c:v>-6.3934278800498676</c:v>
                </c:pt>
                <c:pt idx="196">
                  <c:v>-7.008956233295204</c:v>
                </c:pt>
                <c:pt idx="197">
                  <c:v>-7.6165138718028071</c:v>
                </c:pt>
                <c:pt idx="198">
                  <c:v>-8.2168435432074887</c:v>
                </c:pt>
                <c:pt idx="199">
                  <c:v>-8.8106703233226682</c:v>
                </c:pt>
                <c:pt idx="200">
                  <c:v>-9.3987034321741412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42432"/>
        <c:axId val="70075520"/>
      </c:scatterChart>
      <c:valAx>
        <c:axId val="68242432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075520"/>
        <c:crosses val="autoZero"/>
        <c:crossBetween val="midCat"/>
      </c:valAx>
      <c:valAx>
        <c:axId val="7007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8242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64747209629098E-2"/>
          <c:y val="3.9475614495016076E-2"/>
          <c:w val="0.86969495479731695"/>
          <c:h val="0.871451864510414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'Minimum Vin'!$D$7</c:f>
              <c:strCache>
                <c:ptCount val="1"/>
                <c:pt idx="0">
                  <c:v>Vin min @ 2MHz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'Minimum Vin'!$C$8:$C$16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Vin'!$D$8:$D$16</c:f>
              <c:numCache>
                <c:formatCode>0.00</c:formatCode>
                <c:ptCount val="9"/>
                <c:pt idx="0">
                  <c:v>3.7216666666666667</c:v>
                </c:pt>
                <c:pt idx="1">
                  <c:v>3.7766666666666664</c:v>
                </c:pt>
                <c:pt idx="2">
                  <c:v>3.9416666666666664</c:v>
                </c:pt>
                <c:pt idx="3">
                  <c:v>4.1066666666666665</c:v>
                </c:pt>
                <c:pt idx="4">
                  <c:v>4.2166666666666668</c:v>
                </c:pt>
                <c:pt idx="5">
                  <c:v>4.3266666666666662</c:v>
                </c:pt>
                <c:pt idx="6">
                  <c:v>4.4916666666666663</c:v>
                </c:pt>
                <c:pt idx="7">
                  <c:v>4.6566666666666663</c:v>
                </c:pt>
                <c:pt idx="8">
                  <c:v>4.7666666666666666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'Minimum Vin'!$E$7</c:f>
              <c:strCache>
                <c:ptCount val="1"/>
                <c:pt idx="0">
                  <c:v>Vin min (loss of reg)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'Minimum Vin'!$C$8:$C$16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Vin'!$E$8:$E$16</c:f>
              <c:numCache>
                <c:formatCode>0.00</c:formatCode>
                <c:ptCount val="9"/>
                <c:pt idx="0">
                  <c:v>3.4746891191709848</c:v>
                </c:pt>
                <c:pt idx="1">
                  <c:v>3.5296891191709845</c:v>
                </c:pt>
                <c:pt idx="2">
                  <c:v>3.6946891191709845</c:v>
                </c:pt>
                <c:pt idx="3">
                  <c:v>3.8596891191709846</c:v>
                </c:pt>
                <c:pt idx="4">
                  <c:v>3.9696891191709849</c:v>
                </c:pt>
                <c:pt idx="5">
                  <c:v>4.0796891191709843</c:v>
                </c:pt>
                <c:pt idx="6">
                  <c:v>4.2446891191709843</c:v>
                </c:pt>
                <c:pt idx="7">
                  <c:v>4.4096891191709844</c:v>
                </c:pt>
                <c:pt idx="8">
                  <c:v>4.5196891191709847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48"/>
        <c:axId val="59177984"/>
      </c:scatterChart>
      <c:valAx>
        <c:axId val="59176448"/>
        <c:scaling>
          <c:orientation val="minMax"/>
          <c:max val="2.0499999999999998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177984"/>
        <c:crosses val="autoZero"/>
        <c:crossBetween val="midCat"/>
        <c:majorUnit val="0.2"/>
      </c:valAx>
      <c:valAx>
        <c:axId val="59177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 w="25400"/>
        </c:spPr>
        <c:crossAx val="59176448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6358169641606191"/>
          <c:y val="0.41081630618957438"/>
          <c:w val="0.26141171855297451"/>
          <c:h val="0.12858952124655304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seLD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334496</xdr:colOff>
      <xdr:row>32</xdr:row>
      <xdr:rowOff>34179</xdr:rowOff>
    </xdr:from>
    <xdr:to>
      <xdr:col>23</xdr:col>
      <xdr:colOff>152399</xdr:colOff>
      <xdr:row>48</xdr:row>
      <xdr:rowOff>314325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327213</xdr:colOff>
      <xdr:row>17</xdr:row>
      <xdr:rowOff>49867</xdr:rowOff>
    </xdr:from>
    <xdr:to>
      <xdr:col>23</xdr:col>
      <xdr:colOff>142875</xdr:colOff>
      <xdr:row>32</xdr:row>
      <xdr:rowOff>11767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174252</xdr:colOff>
      <xdr:row>32</xdr:row>
      <xdr:rowOff>24652</xdr:rowOff>
    </xdr:from>
    <xdr:to>
      <xdr:col>48</xdr:col>
      <xdr:colOff>542925</xdr:colOff>
      <xdr:row>48</xdr:row>
      <xdr:rowOff>323850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166408</xdr:colOff>
      <xdr:row>17</xdr:row>
      <xdr:rowOff>47626</xdr:rowOff>
    </xdr:from>
    <xdr:to>
      <xdr:col>48</xdr:col>
      <xdr:colOff>523875</xdr:colOff>
      <xdr:row>32</xdr:row>
      <xdr:rowOff>10086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419099</xdr:colOff>
      <xdr:row>32</xdr:row>
      <xdr:rowOff>47626</xdr:rowOff>
    </xdr:from>
    <xdr:to>
      <xdr:col>13</xdr:col>
      <xdr:colOff>314324</xdr:colOff>
      <xdr:row>48</xdr:row>
      <xdr:rowOff>304800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12885</xdr:colOff>
      <xdr:row>17</xdr:row>
      <xdr:rowOff>47625</xdr:rowOff>
    </xdr:from>
    <xdr:to>
      <xdr:col>13</xdr:col>
      <xdr:colOff>304800</xdr:colOff>
      <xdr:row>32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0</xdr:colOff>
      <xdr:row>49</xdr:row>
      <xdr:rowOff>0</xdr:rowOff>
    </xdr:from>
    <xdr:ext cx="3318088" cy="280205"/>
    <xdr:sp macro="" textlink="">
      <xdr:nvSpPr>
        <xdr:cNvPr id="8" name="TextBox 7"/>
        <xdr:cNvSpPr txBox="1"/>
      </xdr:nvSpPr>
      <xdr:spPr>
        <a:xfrm>
          <a:off x="7448550" y="9810750"/>
          <a:ext cx="3318088" cy="2802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Closed loop Bode plot (for phase margin reading)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261939</xdr:colOff>
      <xdr:row>36</xdr:row>
      <xdr:rowOff>0</xdr:rowOff>
    </xdr:from>
    <xdr:to>
      <xdr:col>1</xdr:col>
      <xdr:colOff>490539</xdr:colOff>
      <xdr:row>37</xdr:row>
      <xdr:rowOff>38100</xdr:rowOff>
    </xdr:to>
    <xdr:sp macro="" textlink="">
      <xdr:nvSpPr>
        <xdr:cNvPr id="2" name="Rounded Rectangle 1"/>
        <xdr:cNvSpPr/>
      </xdr:nvSpPr>
      <xdr:spPr>
        <a:xfrm>
          <a:off x="452439" y="4400550"/>
          <a:ext cx="228600" cy="228600"/>
        </a:xfrm>
        <a:prstGeom prst="roundRect">
          <a:avLst/>
        </a:prstGeom>
        <a:solidFill>
          <a:srgbClr val="00FFFF"/>
        </a:solidFill>
        <a:ln>
          <a:solidFill>
            <a:srgbClr val="00FFFF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35</xdr:row>
          <xdr:rowOff>133350</xdr:rowOff>
        </xdr:from>
        <xdr:to>
          <xdr:col>1</xdr:col>
          <xdr:colOff>571500</xdr:colOff>
          <xdr:row>37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28575</xdr:rowOff>
    </xdr:from>
    <xdr:to>
      <xdr:col>7</xdr:col>
      <xdr:colOff>114300</xdr:colOff>
      <xdr:row>37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0100/Copy%20of%20NCV8901_DWS,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V89133X%20DESIGN%20TOOL%20re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1XX-02XXMINV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2XX_MAXAMB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Q1" t="str">
            <v>°</v>
          </cell>
        </row>
        <row r="2">
          <cell r="Z2">
            <v>1</v>
          </cell>
          <cell r="AI2">
            <v>-0.23927531200898353</v>
          </cell>
        </row>
        <row r="3">
          <cell r="Z3">
            <v>1.0634378492473788</v>
          </cell>
          <cell r="AI3">
            <v>-0.25445422772829379</v>
          </cell>
        </row>
        <row r="4">
          <cell r="Z4">
            <v>1.1309000592118907</v>
          </cell>
          <cell r="AI4">
            <v>-0.27059602160855623</v>
          </cell>
        </row>
        <row r="5">
          <cell r="Z5">
            <v>1.2026419266820265</v>
          </cell>
          <cell r="AI5">
            <v>-0.28776176854376251</v>
          </cell>
        </row>
        <row r="6">
          <cell r="Z6">
            <v>1.278934943925458</v>
          </cell>
          <cell r="AI6">
            <v>-0.30601641626158638</v>
          </cell>
        </row>
        <row r="7">
          <cell r="Z7">
            <v>1.3600678260954062</v>
          </cell>
          <cell r="AI7">
            <v>-0.32542903067810408</v>
          </cell>
        </row>
        <row r="8">
          <cell r="Z8">
            <v>1.4463476038134566</v>
          </cell>
          <cell r="AI8">
            <v>-0.34607305675054162</v>
          </cell>
        </row>
        <row r="9">
          <cell r="Z9">
            <v>1.5381007850634825</v>
          </cell>
          <cell r="AI9">
            <v>-0.36802659579766672</v>
          </cell>
        </row>
        <row r="10">
          <cell r="Z10">
            <v>1.6356745907936145</v>
          </cell>
          <cell r="AI10">
            <v>-0.39137270031624344</v>
          </cell>
        </row>
        <row r="11">
          <cell r="Z11">
            <v>1.7394382689021479</v>
          </cell>
          <cell r="AI11">
            <v>-0.41619968738389718</v>
          </cell>
        </row>
        <row r="12">
          <cell r="Z12">
            <v>1.849784491579884</v>
          </cell>
          <cell r="AI12">
            <v>-0.44260147180396053</v>
          </cell>
        </row>
        <row r="13">
          <cell r="Z13">
            <v>1.967130841296868</v>
          </cell>
          <cell r="AI13">
            <v>-0.4706779202164183</v>
          </cell>
        </row>
        <row r="14">
          <cell r="Z14">
            <v>2.0919213910569279</v>
          </cell>
          <cell r="AI14">
            <v>-0.50053522747096824</v>
          </cell>
        </row>
        <row r="15">
          <cell r="Z15">
            <v>2.2246283849001642</v>
          </cell>
          <cell r="AI15">
            <v>-0.53228631663358184</v>
          </cell>
        </row>
        <row r="16">
          <cell r="Z16">
            <v>2.365754025012901</v>
          </cell>
          <cell r="AI16">
            <v>-0.56605126407666728</v>
          </cell>
        </row>
        <row r="17">
          <cell r="Z17">
            <v>2.5158323722080485</v>
          </cell>
          <cell r="AI17">
            <v>-0.60195775118496531</v>
          </cell>
        </row>
        <row r="18">
          <cell r="Z18">
            <v>2.6754313669678584</v>
          </cell>
          <cell r="AI18">
            <v>-0.64014154429451198</v>
          </cell>
        </row>
        <row r="19">
          <cell r="Z19">
            <v>2.8451549786972743</v>
          </cell>
          <cell r="AI19">
            <v>-0.68074700457035575</v>
          </cell>
        </row>
        <row r="20">
          <cell r="Z20">
            <v>3.0256454913213009</v>
          </cell>
          <cell r="AI20">
            <v>-0.72392762961934531</v>
          </cell>
        </row>
        <row r="21">
          <cell r="Z21">
            <v>3.2175859338757533</v>
          </cell>
          <cell r="AI21">
            <v>-0.7698466287279716</v>
          </cell>
        </row>
        <row r="22">
          <cell r="Z22">
            <v>3.42170266528945</v>
          </cell>
          <cell r="AI22">
            <v>-0.81867753370958052</v>
          </cell>
        </row>
        <row r="23">
          <cell r="Z23">
            <v>3.6387681231394358</v>
          </cell>
          <cell r="AI23">
            <v>-0.87060484744162547</v>
          </cell>
        </row>
        <row r="24">
          <cell r="Z24">
            <v>3.8696037467813236</v>
          </cell>
          <cell r="AI24">
            <v>-0.92582473226935946</v>
          </cell>
        </row>
        <row r="25">
          <cell r="Z25">
            <v>4.1150830859167291</v>
          </cell>
          <cell r="AI25">
            <v>-0.98454574054702648</v>
          </cell>
        </row>
        <row r="26">
          <cell r="Z26">
            <v>4.376135106361553</v>
          </cell>
          <cell r="AI26">
            <v>-1.046989589679993</v>
          </cell>
        </row>
        <row r="27">
          <cell r="Z27">
            <v>4.6537477055250784</v>
          </cell>
          <cell r="AI27">
            <v>-1.1133919841180082</v>
          </cell>
        </row>
        <row r="28">
          <cell r="Z28">
            <v>4.9489714509035139</v>
          </cell>
          <cell r="AI28">
            <v>-1.184003486830947</v>
          </cell>
        </row>
        <row r="29">
          <cell r="Z29">
            <v>5.2629235557355134</v>
          </cell>
          <cell r="AI29">
            <v>-1.25909044286813</v>
          </cell>
        </row>
        <row r="30">
          <cell r="Z30">
            <v>5.5967921068647417</v>
          </cell>
          <cell r="AI30">
            <v>-1.3389359576592914</v>
          </cell>
        </row>
        <row r="31">
          <cell r="Z31">
            <v>5.9518405608089449</v>
          </cell>
          <cell r="AI31">
            <v>-1.423840932754149</v>
          </cell>
        </row>
        <row r="32">
          <cell r="Z32">
            <v>6.3294125250499764</v>
          </cell>
          <cell r="AI32">
            <v>-1.5141251617122169</v>
          </cell>
        </row>
        <row r="33">
          <cell r="Z33">
            <v>6.7309368426385694</v>
          </cell>
          <cell r="AI33">
            <v>-1.6101284888399865</v>
          </cell>
        </row>
        <row r="34">
          <cell r="Z34">
            <v>7.1579329993555039</v>
          </cell>
          <cell r="AI34">
            <v>-1.7122120334188695</v>
          </cell>
        </row>
        <row r="35">
          <cell r="Z35">
            <v>7.6120168738914558</v>
          </cell>
          <cell r="AI35">
            <v>-1.820759481966252</v>
          </cell>
        </row>
        <row r="36">
          <cell r="Z36">
            <v>8.0949068528058863</v>
          </cell>
          <cell r="AI36">
            <v>-1.9361784509111435</v>
          </cell>
        </row>
        <row r="37">
          <cell r="Z37">
            <v>8.6084303334057619</v>
          </cell>
          <cell r="AI37">
            <v>-2.0589019218305231</v>
          </cell>
        </row>
        <row r="38">
          <cell r="Z38">
            <v>9.1545306391529166</v>
          </cell>
          <cell r="AI38">
            <v>-2.1893897510670457</v>
          </cell>
        </row>
        <row r="39">
          <cell r="Z39">
            <v>9.7352743737700074</v>
          </cell>
          <cell r="AI39">
            <v>-2.3281302551108847</v>
          </cell>
        </row>
        <row r="40">
          <cell r="Z40">
            <v>10.352859241875105</v>
          </cell>
          <cell r="AI40">
            <v>-2.4756418725558538</v>
          </cell>
        </row>
        <row r="41">
          <cell r="Z41">
            <v>11.009622365740512</v>
          </cell>
          <cell r="AI41">
            <v>-2.6324749027012446</v>
          </cell>
        </row>
        <row r="42">
          <cell r="Z42">
            <v>11.708049129648925</v>
          </cell>
          <cell r="AI42">
            <v>-2.7992133199336693</v>
          </cell>
        </row>
        <row r="43">
          <cell r="Z43">
            <v>12.4507825853165</v>
          </cell>
          <cell r="AI43">
            <v>-2.9764766618443934</v>
          </cell>
        </row>
        <row r="44">
          <cell r="Z44">
            <v>13.240633453975693</v>
          </cell>
          <cell r="AI44">
            <v>-3.164921987570589</v>
          </cell>
        </row>
        <row r="45">
          <cell r="Z45">
            <v>14.080590762968805</v>
          </cell>
          <cell r="AI45">
            <v>-3.3652459010351654</v>
          </cell>
        </row>
        <row r="46">
          <cell r="Z46">
            <v>14.973833157104059</v>
          </cell>
          <cell r="AI46">
            <v>-3.5781866315330149</v>
          </cell>
        </row>
        <row r="47">
          <cell r="Z47">
            <v>15.923740927579823</v>
          </cell>
          <cell r="AI47">
            <v>-3.804526161393651</v>
          </cell>
        </row>
        <row r="48">
          <cell r="Z48">
            <v>16.933908803997952</v>
          </cell>
          <cell r="AI48">
            <v>-4.0450923871503175</v>
          </cell>
        </row>
        <row r="49">
          <cell r="Z49">
            <v>18.008159557874837</v>
          </cell>
          <cell r="AI49">
            <v>-4.3007612966594388</v>
          </cell>
        </row>
        <row r="50">
          <cell r="Z50">
            <v>19.150558469130036</v>
          </cell>
          <cell r="AI50">
            <v>-4.5724591398221559</v>
          </cell>
        </row>
        <row r="51">
          <cell r="Z51">
            <v>20.365428710297824</v>
          </cell>
          <cell r="AI51">
            <v>-4.8611645648267992</v>
          </cell>
        </row>
        <row r="52">
          <cell r="Z52">
            <v>21.657367706679931</v>
          </cell>
          <cell r="AI52">
            <v>-5.1679106850031022</v>
          </cell>
        </row>
        <row r="53">
          <cell r="Z53">
            <v>23.031264534351347</v>
          </cell>
          <cell r="AI53">
            <v>-5.4937870332934695</v>
          </cell>
        </row>
        <row r="54">
          <cell r="Z54">
            <v>24.492318421858034</v>
          </cell>
          <cell r="AI54">
            <v>-5.8399413518123824</v>
          </cell>
        </row>
        <row r="55">
          <cell r="Z55">
            <v>26.046058425622668</v>
          </cell>
          <cell r="AI55">
            <v>-6.2075811528007314</v>
          </cell>
        </row>
        <row r="56">
          <cell r="Z56">
            <v>27.698364353515743</v>
          </cell>
          <cell r="AI56">
            <v>-6.5979749742753002</v>
          </cell>
        </row>
        <row r="57">
          <cell r="Z57">
            <v>29.45548901577305</v>
          </cell>
          <cell r="AI57">
            <v>-7.0124532386473106</v>
          </cell>
        </row>
        <row r="58">
          <cell r="Z58">
            <v>31.324081887463471</v>
          </cell>
          <cell r="AI58">
            <v>-7.4524086053463705</v>
          </cell>
        </row>
        <row r="59">
          <cell r="Z59">
            <v>33.311214272052936</v>
          </cell>
          <cell r="AI59">
            <v>-7.9192956889129551</v>
          </cell>
        </row>
        <row r="60">
          <cell r="Z60">
            <v>35.424406061290533</v>
          </cell>
          <cell r="AI60">
            <v>-8.4146299920454517</v>
          </cell>
        </row>
        <row r="61">
          <cell r="Z61">
            <v>37.67165419268462</v>
          </cell>
          <cell r="AI61">
            <v>-8.9399858787311821</v>
          </cell>
        </row>
        <row r="62">
          <cell r="Z62">
            <v>40.061462912259522</v>
          </cell>
          <cell r="AI62">
            <v>-9.4969933860733207</v>
          </cell>
        </row>
        <row r="63">
          <cell r="Z63">
            <v>42.602875957116908</v>
          </cell>
          <cell r="AI63">
            <v>-10.087333645138447</v>
          </cell>
        </row>
        <row r="64">
          <cell r="Z64">
            <v>45.305510779589277</v>
          </cell>
          <cell r="AI64">
            <v>-10.71273265184063</v>
          </cell>
        </row>
        <row r="65">
          <cell r="Z65">
            <v>48.179594942500358</v>
          </cell>
          <cell r="AI65">
            <v>-11.374953099657228</v>
          </cell>
        </row>
        <row r="66">
          <cell r="Z66">
            <v>51.236004823262483</v>
          </cell>
          <cell r="AI66">
            <v>-12.075783958499066</v>
          </cell>
        </row>
        <row r="67">
          <cell r="Z67">
            <v>54.486306773278585</v>
          </cell>
          <cell r="AI67">
            <v>-12.817027460634787</v>
          </cell>
        </row>
        <row r="68">
          <cell r="Z68">
            <v>57.94280088840825</v>
          </cell>
          <cell r="AI68">
            <v>-13.600483138279156</v>
          </cell>
        </row>
        <row r="69">
          <cell r="Z69">
            <v>61.61856755613799</v>
          </cell>
          <cell r="AI69">
            <v>-14.427928552311434</v>
          </cell>
        </row>
        <row r="70">
          <cell r="Z70">
            <v>65.527516955603716</v>
          </cell>
          <cell r="AI70">
            <v>-15.301096362582202</v>
          </cell>
        </row>
        <row r="71">
          <cell r="Z71">
            <v>69.684441697788372</v>
          </cell>
          <cell r="AI71">
            <v>-16.221647423442462</v>
          </cell>
        </row>
        <row r="72">
          <cell r="Z72">
            <v>74.105072805100434</v>
          </cell>
          <cell r="AI72">
            <v>-17.191139650437155</v>
          </cell>
        </row>
        <row r="73">
          <cell r="Z73">
            <v>78.806139242176371</v>
          </cell>
          <cell r="AI73">
            <v>-18.210992503162743</v>
          </cell>
        </row>
        <row r="74">
          <cell r="Z74">
            <v>83.805431223189501</v>
          </cell>
          <cell r="AI74">
            <v>-19.282447072840149</v>
          </cell>
        </row>
        <row r="75">
          <cell r="Z75">
            <v>89.121867535237712</v>
          </cell>
          <cell r="AI75">
            <v>-20.406521958198322</v>
          </cell>
        </row>
        <row r="76">
          <cell r="Z76">
            <v>94.775567132582992</v>
          </cell>
          <cell r="AI76">
            <v>-21.583965364858773</v>
          </cell>
        </row>
        <row r="77">
          <cell r="Z77">
            <v>100.78792527267464</v>
          </cell>
          <cell r="AI77">
            <v>-22.81520417296024</v>
          </cell>
        </row>
        <row r="78">
          <cell r="Z78">
            <v>107.18169448207877</v>
          </cell>
          <cell r="AI78">
            <v>-24.100291081113195</v>
          </cell>
        </row>
        <row r="79">
          <cell r="Z79">
            <v>113.98107065871142</v>
          </cell>
          <cell r="AI79">
            <v>-25.438851339921477</v>
          </cell>
        </row>
        <row r="80">
          <cell r="Z80">
            <v>121.21178463621371</v>
          </cell>
          <cell r="AI80">
            <v>-26.830031013502186</v>
          </cell>
        </row>
        <row r="81">
          <cell r="Z81">
            <v>128.90119955697148</v>
          </cell>
          <cell r="AI81">
            <v>-28.2724491196645</v>
          </cell>
        </row>
        <row r="82">
          <cell r="Z82">
            <v>137.07841442227294</v>
          </cell>
          <cell r="AI82">
            <v>-29.764156354399585</v>
          </cell>
        </row>
        <row r="83">
          <cell r="Z83">
            <v>145.77437421146283</v>
          </cell>
          <cell r="AI83">
            <v>-31.30260335043091</v>
          </cell>
        </row>
        <row r="84">
          <cell r="Z84">
            <v>155.02198698682062</v>
          </cell>
          <cell r="AI84">
            <v>-32.884621494262198</v>
          </cell>
        </row>
        <row r="85">
          <cell r="Z85">
            <v>164.85624842731968</v>
          </cell>
          <cell r="AI85">
            <v>-34.506419175507403</v>
          </cell>
        </row>
        <row r="86">
          <cell r="Z86">
            <v>175.3143742625403</v>
          </cell>
          <cell r="AI86">
            <v>-36.163595922812732</v>
          </cell>
        </row>
        <row r="87">
          <cell r="Z87">
            <v>186.43594110790573</v>
          </cell>
          <cell r="AI87">
            <v>-37.851176172540072</v>
          </cell>
        </row>
        <row r="88">
          <cell r="Z88">
            <v>198.26303623420247</v>
          </cell>
          <cell r="AI88">
            <v>-39.563663433664836</v>
          </cell>
        </row>
        <row r="89">
          <cell r="Z89">
            <v>210.84041683815525</v>
          </cell>
          <cell r="AI89">
            <v>-41.295114409760536</v>
          </cell>
        </row>
        <row r="90">
          <cell r="Z90">
            <v>224.21567941678887</v>
          </cell>
          <cell r="AI90">
            <v>-43.039231312269678</v>
          </cell>
        </row>
        <row r="91">
          <cell r="Z91">
            <v>238.43943988652958</v>
          </cell>
          <cell r="AI91">
            <v>-44.789469277411179</v>
          </cell>
        </row>
        <row r="92">
          <cell r="Z92">
            <v>253.56552512868072</v>
          </cell>
          <cell r="AI92">
            <v>-46.539154628138981</v>
          </cell>
        </row>
        <row r="93">
          <cell r="Z93">
            <v>269.65117668612646</v>
          </cell>
          <cell r="AI93">
            <v>-48.281608843558757</v>
          </cell>
        </row>
        <row r="94">
          <cell r="Z94">
            <v>286.75726738211927</v>
          </cell>
          <cell r="AI94">
            <v>-50.010272623071856</v>
          </cell>
        </row>
        <row r="95">
          <cell r="Z95">
            <v>304.94853168089651</v>
          </cell>
          <cell r="AI95">
            <v>-51.71882442373402</v>
          </cell>
        </row>
        <row r="96">
          <cell r="Z96">
            <v>324.29381066187881</v>
          </cell>
          <cell r="AI96">
            <v>-53.401288308039852</v>
          </cell>
        </row>
        <row r="97">
          <cell r="Z97">
            <v>344.8663125345048</v>
          </cell>
          <cell r="AI97">
            <v>-55.05212680522385</v>
          </cell>
        </row>
        <row r="98">
          <cell r="Z98">
            <v>366.74388967956821</v>
          </cell>
          <cell r="AI98">
            <v>-56.666315651713774</v>
          </cell>
        </row>
        <row r="99">
          <cell r="Z99">
            <v>390.00933326545766</v>
          </cell>
          <cell r="AI99">
            <v>-58.239398595228124</v>
          </cell>
        </row>
        <row r="100">
          <cell r="Z100">
            <v>414.75068655422291</v>
          </cell>
          <cell r="AI100">
            <v>-59.767521775892071</v>
          </cell>
        </row>
        <row r="101">
          <cell r="Z101">
            <v>441.06157808309626</v>
          </cell>
          <cell r="AI101">
            <v>-61.247448406705416</v>
          </cell>
        </row>
        <row r="102">
          <cell r="Z102">
            <v>469.04157598234281</v>
          </cell>
          <cell r="AI102">
            <v>-62.676555467625604</v>
          </cell>
        </row>
        <row r="103">
          <cell r="Z103">
            <v>498.79656477026373</v>
          </cell>
          <cell r="AI103">
            <v>-64.052814846134225</v>
          </cell>
        </row>
        <row r="104">
          <cell r="Z104">
            <v>530.4391460512702</v>
          </cell>
          <cell r="AI104">
            <v>-65.374761786953115</v>
          </cell>
        </row>
        <row r="105">
          <cell r="Z105">
            <v>564.08906463337905</v>
          </cell>
          <cell r="AI105">
            <v>-66.641453673345225</v>
          </cell>
        </row>
        <row r="106">
          <cell r="Z106">
            <v>599.87366167768641</v>
          </cell>
          <cell r="AI106">
            <v>-67.852422094975836</v>
          </cell>
        </row>
        <row r="107">
          <cell r="Z107">
            <v>637.92835659466812</v>
          </cell>
          <cell r="AI107">
            <v>-69.00762091829327</v>
          </cell>
        </row>
        <row r="108">
          <cell r="Z108">
            <v>678.39715951094945</v>
          </cell>
          <cell r="AI108">
            <v>-70.107372723387442</v>
          </cell>
        </row>
        <row r="109">
          <cell r="Z109">
            <v>721.43321624585462</v>
          </cell>
          <cell r="AI109">
            <v>-71.152315560209431</v>
          </cell>
        </row>
        <row r="110">
          <cell r="Z110">
            <v>767.19938786011153</v>
          </cell>
          <cell r="AI110">
            <v>-72.143351551585368</v>
          </cell>
        </row>
        <row r="111">
          <cell r="Z111">
            <v>815.86886696986198</v>
          </cell>
          <cell r="AI111">
            <v>-73.081598464030833</v>
          </cell>
        </row>
        <row r="112">
          <cell r="Z112">
            <v>867.62583315832671</v>
          </cell>
          <cell r="AI112">
            <v>-73.968345002142044</v>
          </cell>
        </row>
        <row r="113">
          <cell r="Z113">
            <v>922.66614996535543</v>
          </cell>
          <cell r="AI113">
            <v>-74.805010270607582</v>
          </cell>
        </row>
        <row r="114">
          <cell r="Z114">
            <v>981.19810609251715</v>
          </cell>
          <cell r="AI114">
            <v>-75.593107594085268</v>
          </cell>
        </row>
        <row r="115">
          <cell r="Z115">
            <v>1043.443203628628</v>
          </cell>
          <cell r="AI115">
            <v>-76.334212688044772</v>
          </cell>
        </row>
        <row r="116">
          <cell r="Z116">
            <v>1109.6369962786232</v>
          </cell>
          <cell r="AI116">
            <v>-77.029936028281867</v>
          </cell>
        </row>
        <row r="117">
          <cell r="Z117">
            <v>1180.0299807678607</v>
          </cell>
          <cell r="AI117">
            <v>-77.681899166166332</v>
          </cell>
        </row>
        <row r="118">
          <cell r="Z118">
            <v>1254.8885447951977</v>
          </cell>
          <cell r="AI118">
            <v>-78.291714673095356</v>
          </cell>
        </row>
        <row r="119">
          <cell r="Z119">
            <v>1334.4959751221782</v>
          </cell>
          <cell r="AI119">
            <v>-78.86096936344515</v>
          </cell>
        </row>
        <row r="120">
          <cell r="Z120">
            <v>1419.1535296132129</v>
          </cell>
          <cell r="AI120">
            <v>-79.391210433554718</v>
          </cell>
        </row>
        <row r="121">
          <cell r="Z121">
            <v>1509.1815772837017</v>
          </cell>
          <cell r="AI121">
            <v>-79.883934158888508</v>
          </cell>
        </row>
        <row r="122">
          <cell r="Z122">
            <v>1604.9208106703452</v>
          </cell>
          <cell r="AI122">
            <v>-80.340576807448983</v>
          </cell>
        </row>
        <row r="123">
          <cell r="Z123">
            <v>1706.7335351116335</v>
          </cell>
          <cell r="AI123">
            <v>-80.762507450733835</v>
          </cell>
        </row>
        <row r="124">
          <cell r="Z124">
            <v>1815.0050398174897</v>
          </cell>
          <cell r="AI124">
            <v>-81.151022380927287</v>
          </cell>
        </row>
        <row r="125">
          <cell r="Z125">
            <v>1930.1450559166665</v>
          </cell>
          <cell r="AI125">
            <v>-81.507340872261963</v>
          </cell>
        </row>
        <row r="126">
          <cell r="Z126">
            <v>2052.58930699948</v>
          </cell>
          <cell r="AI126">
            <v>-81.832602053935204</v>
          </cell>
        </row>
        <row r="127">
          <cell r="Z127">
            <v>2182.8011580236971</v>
          </cell>
          <cell r="AI127">
            <v>-82.127862690454464</v>
          </cell>
        </row>
        <row r="128">
          <cell r="Z128">
            <v>2321.2733688234066</v>
          </cell>
          <cell r="AI128">
            <v>-82.394095692125092</v>
          </cell>
        </row>
        <row r="129">
          <cell r="Z129">
            <v>2468.5299588567814</v>
          </cell>
          <cell r="AI129">
            <v>-82.632189203144534</v>
          </cell>
        </row>
        <row r="130">
          <cell r="Z130">
            <v>2625.1281902493761</v>
          </cell>
          <cell r="AI130">
            <v>-82.842946137261421</v>
          </cell>
        </row>
        <row r="131">
          <cell r="Z131">
            <v>2791.6606766374607</v>
          </cell>
          <cell r="AI131">
            <v>-83.027084051166227</v>
          </cell>
        </row>
        <row r="132">
          <cell r="Z132">
            <v>2968.757625791824</v>
          </cell>
          <cell r="AI132">
            <v>-83.185235263807513</v>
          </cell>
        </row>
        <row r="133">
          <cell r="Z133">
            <v>3157.0892245088098</v>
          </cell>
          <cell r="AI133">
            <v>-83.317947145819645</v>
          </cell>
        </row>
        <row r="134">
          <cell r="Z134">
            <v>3357.3681747937244</v>
          </cell>
          <cell r="AI134">
            <v>-83.425682517438872</v>
          </cell>
        </row>
        <row r="135">
          <cell r="Z135">
            <v>3570.3523909342362</v>
          </cell>
          <cell r="AI135">
            <v>-83.508820105895026</v>
          </cell>
        </row>
        <row r="136">
          <cell r="Z136">
            <v>3796.8478676703417</v>
          </cell>
          <cell r="AI136">
            <v>-83.567655024558576</v>
          </cell>
        </row>
        <row r="137">
          <cell r="Z137">
            <v>4037.7117303148448</v>
          </cell>
          <cell r="AI137">
            <v>-83.602399246344902</v>
          </cell>
        </row>
        <row r="138">
          <cell r="Z138">
            <v>4293.8554783669315</v>
          </cell>
          <cell r="AI138">
            <v>-83.613182053292022</v>
          </cell>
        </row>
        <row r="139">
          <cell r="Z139">
            <v>4566.248434893605</v>
          </cell>
          <cell r="AI139">
            <v>-83.600050453082403</v>
          </cell>
        </row>
        <row r="140">
          <cell r="Z140">
            <v>4855.9214147324665</v>
          </cell>
          <cell r="AI140">
            <v>-83.5629695618249</v>
          </cell>
        </row>
        <row r="141">
          <cell r="Z141">
            <v>5163.9706253973836</v>
          </cell>
          <cell r="AI141">
            <v>-83.5018229609027</v>
          </cell>
        </row>
        <row r="142">
          <cell r="Z142">
            <v>5491.5618154492358</v>
          </cell>
          <cell r="AI142">
            <v>-83.416413044366493</v>
          </cell>
        </row>
        <row r="143">
          <cell r="Z143">
            <v>5839.9346860303567</v>
          </cell>
          <cell r="AI143">
            <v>-83.306461382467688</v>
          </cell>
        </row>
        <row r="144">
          <cell r="Z144">
            <v>6210.4075822572904</v>
          </cell>
          <cell r="AI144">
            <v>-83.171609136728549</v>
          </cell>
        </row>
        <row r="145">
          <cell r="Z145">
            <v>6604.3824822253073</v>
          </cell>
          <cell r="AI145">
            <v>-83.011417572692821</v>
          </cell>
        </row>
        <row r="146">
          <cell r="Z146">
            <v>7023.3503025047467</v>
          </cell>
          <cell r="AI146">
            <v>-82.825368728446676</v>
          </cell>
        </row>
        <row r="147">
          <cell r="Z147">
            <v>7468.8965402065769</v>
          </cell>
          <cell r="AI147">
            <v>-82.612866310399383</v>
          </cell>
        </row>
        <row r="148">
          <cell r="Z148">
            <v>7942.7072729684578</v>
          </cell>
          <cell r="AI148">
            <v>-82.373236902914059</v>
          </cell>
        </row>
        <row r="149">
          <cell r="Z149">
            <v>8446.5755395671058</v>
          </cell>
          <cell r="AI149">
            <v>-82.10573159540364</v>
          </cell>
        </row>
        <row r="150">
          <cell r="Z150">
            <v>8982.4081253027471</v>
          </cell>
          <cell r="AI150">
            <v>-81.809528149658718</v>
          </cell>
        </row>
        <row r="151">
          <cell r="Z151">
            <v>9552.2327778341514</v>
          </cell>
          <cell r="AI151">
            <v>-81.483733851571529</v>
          </cell>
        </row>
        <row r="152">
          <cell r="Z152">
            <v>10158.205880770249</v>
          </cell>
          <cell r="AI152">
            <v>-81.127389215123486</v>
          </cell>
        </row>
        <row r="153">
          <cell r="Z153">
            <v>10802.620614058389</v>
          </cell>
          <cell r="AI153">
            <v>-80.739472732408217</v>
          </cell>
        </row>
        <row r="154">
          <cell r="Z154">
            <v>11487.915632049675</v>
          </cell>
          <cell r="AI154">
            <v>-80.318906891292016</v>
          </cell>
        </row>
        <row r="155">
          <cell r="Z155">
            <v>12216.684292082227</v>
          </cell>
          <cell r="AI155">
            <v>-79.864565711511219</v>
          </cell>
        </row>
        <row r="156">
          <cell r="Z156">
            <v>12991.684468506162</v>
          </cell>
          <cell r="AI156">
            <v>-79.375284079672412</v>
          </cell>
        </row>
        <row r="157">
          <cell r="Z157">
            <v>13815.848989288772</v>
          </cell>
          <cell r="AI157">
            <v>-78.849869192377128</v>
          </cell>
        </row>
        <row r="158">
          <cell r="Z158">
            <v>14692.296734695852</v>
          </cell>
          <cell r="AI158">
            <v>-78.287114442571095</v>
          </cell>
        </row>
        <row r="159">
          <cell r="Z159">
            <v>15624.344440049217</v>
          </cell>
          <cell r="AI159">
            <v>-77.685816104547811</v>
          </cell>
        </row>
        <row r="160">
          <cell r="Z160">
            <v>16615.519247226184</v>
          </cell>
          <cell r="AI160">
            <v>-77.0447931842522</v>
          </cell>
        </row>
        <row r="161">
          <cell r="Z161">
            <v>17669.572052398642</v>
          </cell>
          <cell r="AI161">
            <v>-76.362910799144842</v>
          </cell>
        </row>
        <row r="162">
          <cell r="Z162">
            <v>18790.49170052441</v>
          </cell>
          <cell r="AI162">
            <v>-75.639107430344211</v>
          </cell>
        </row>
        <row r="163">
          <cell r="Z163">
            <v>19982.5200803064</v>
          </cell>
          <cell r="AI163">
            <v>-74.872426342542155</v>
          </cell>
        </row>
        <row r="164">
          <cell r="Z164">
            <v>21250.168176743602</v>
          </cell>
          <cell r="AI164">
            <v>-74.062051386930293</v>
          </cell>
        </row>
        <row r="165">
          <cell r="Z165">
            <v>22598.233142021272</v>
          </cell>
          <cell r="AI165">
            <v>-73.207347281315336</v>
          </cell>
        </row>
        <row r="166">
          <cell r="Z166">
            <v>24031.816449341983</v>
          </cell>
          <cell r="AI166">
            <v>-72.307904292235307</v>
          </cell>
        </row>
        <row r="167">
          <cell r="Z167">
            <v>25556.343198396022</v>
          </cell>
          <cell r="AI167">
            <v>-71.363587020038352</v>
          </cell>
        </row>
        <row r="168">
          <cell r="Z168">
            <v>27177.582645530147</v>
          </cell>
          <cell r="AI168">
            <v>-70.374586706121903</v>
          </cell>
        </row>
        <row r="169">
          <cell r="Z169">
            <v>28901.670036305419</v>
          </cell>
          <cell r="AI169">
            <v>-69.341476143040538</v>
          </cell>
        </row>
        <row r="170">
          <cell r="Z170">
            <v>30735.129823066054</v>
          </cell>
          <cell r="AI170">
            <v>-68.265265880886076</v>
          </cell>
        </row>
        <row r="171">
          <cell r="Z171">
            <v>32684.900355380338</v>
          </cell>
          <cell r="AI171">
            <v>-67.147460003989934</v>
          </cell>
        </row>
        <row r="172">
          <cell r="Z172">
            <v>34758.360136790499</v>
          </cell>
          <cell r="AI172">
            <v>-65.99010932804147</v>
          </cell>
        </row>
        <row r="173">
          <cell r="Z173">
            <v>36963.355747234389</v>
          </cell>
          <cell r="AI173">
            <v>-64.795859478000963</v>
          </cell>
        </row>
        <row r="174">
          <cell r="Z174">
            <v>39308.231536804677</v>
          </cell>
          <cell r="AI174">
            <v>-63.567991001218999</v>
          </cell>
        </row>
        <row r="175">
          <cell r="Z175">
            <v>41801.861203217486</v>
          </cell>
          <cell r="AI175">
            <v>-62.31044850477452</v>
          </cell>
        </row>
        <row r="176">
          <cell r="Z176">
            <v>44453.681372487059</v>
          </cell>
          <cell r="AI176">
            <v>-61.027855839467477</v>
          </cell>
        </row>
        <row r="177">
          <cell r="Z177">
            <v>47273.727309885995</v>
          </cell>
          <cell r="AI177">
            <v>-59.725514635927944</v>
          </cell>
        </row>
        <row r="178">
          <cell r="Z178">
            <v>50272.670896332245</v>
          </cell>
          <cell r="AI178">
            <v>-58.409384063545794</v>
          </cell>
        </row>
        <row r="179">
          <cell r="Z179">
            <v>53461.861013916772</v>
          </cell>
          <cell r="AI179">
            <v>-57.086040533777485</v>
          </cell>
        </row>
        <row r="180">
          <cell r="Z180">
            <v>56853.366493401947</v>
          </cell>
          <cell r="AI180">
            <v>-55.762617171165033</v>
          </cell>
        </row>
        <row r="181">
          <cell r="Z181">
            <v>60460.02178621637</v>
          </cell>
          <cell r="AI181">
            <v>-54.446724151684151</v>
          </cell>
        </row>
        <row r="182">
          <cell r="Z182">
            <v>64295.47553378361</v>
          </cell>
          <cell r="AI182">
            <v>-53.146352344260698</v>
          </cell>
        </row>
        <row r="183">
          <cell r="Z183">
            <v>68374.242217984312</v>
          </cell>
          <cell r="AI183">
            <v>-51.869763947058459</v>
          </cell>
        </row>
        <row r="184">
          <cell r="Z184">
            <v>72711.757088212587</v>
          </cell>
          <cell r="AI184">
            <v>-50.62537483873875</v>
          </cell>
        </row>
        <row r="185">
          <cell r="Z185">
            <v>77324.434572886516</v>
          </cell>
          <cell r="AI185">
            <v>-49.421634037211462</v>
          </cell>
        </row>
        <row r="186">
          <cell r="Z186">
            <v>82229.730396460247</v>
          </cell>
          <cell r="AI186">
            <v>-48.266905885579291</v>
          </cell>
        </row>
        <row r="187">
          <cell r="Z187">
            <v>87446.207637003507</v>
          </cell>
          <cell r="AI187">
            <v>-47.169360335137043</v>
          </cell>
        </row>
        <row r="188">
          <cell r="Z188">
            <v>92993.606974334747</v>
          </cell>
          <cell r="AI188">
            <v>-46.136875999393219</v>
          </cell>
        </row>
        <row r="189">
          <cell r="Z189">
            <v>98892.921394542427</v>
          </cell>
          <cell r="AI189">
            <v>-45.176959599117851</v>
          </cell>
        </row>
        <row r="190">
          <cell r="Z190">
            <v>105166.47563360249</v>
          </cell>
          <cell r="AI190">
            <v>-44.296684134785608</v>
          </cell>
        </row>
        <row r="191">
          <cell r="Z191">
            <v>111838.01066072512</v>
          </cell>
          <cell r="AI191">
            <v>-43.50264675564101</v>
          </cell>
        </row>
        <row r="192">
          <cell r="Z192">
            <v>118932.77352114675</v>
          </cell>
          <cell r="AI192">
            <v>-42.800945983951806</v>
          </cell>
        </row>
        <row r="193">
          <cell r="Z193">
            <v>126477.61287835392</v>
          </cell>
          <cell r="AI193">
            <v>-42.197176813222654</v>
          </cell>
        </row>
        <row r="194">
          <cell r="Z194">
            <v>134501.0806172993</v>
          </cell>
          <cell r="AI194">
            <v>-41.696441306611348</v>
          </cell>
        </row>
        <row r="195">
          <cell r="Z195">
            <v>143033.53989310883</v>
          </cell>
          <cell r="AI195">
            <v>-41.303371711348923</v>
          </cell>
        </row>
        <row r="196">
          <cell r="Z196">
            <v>152107.28003416685</v>
          </cell>
          <cell r="AI196">
            <v>-41.022162773651218</v>
          </cell>
        </row>
        <row r="197">
          <cell r="Z197">
            <v>161756.63873440344</v>
          </cell>
          <cell r="AI197">
            <v>-40.856609854514879</v>
          </cell>
        </row>
        <row r="198">
          <cell r="Z198">
            <v>172018.13199719929</v>
          </cell>
          <cell r="AI198">
            <v>-40.810149560286554</v>
          </cell>
        </row>
        <row r="199">
          <cell r="Z199">
            <v>182930.59232265301</v>
          </cell>
          <cell r="AI199">
            <v>-40.885899856543205</v>
          </cell>
        </row>
        <row r="200">
          <cell r="Z200">
            <v>194535.31566115122</v>
          </cell>
          <cell r="AI200">
            <v>-41.086696975273121</v>
          </cell>
        </row>
        <row r="201">
          <cell r="Z201">
            <v>206876.21768935499</v>
          </cell>
          <cell r="AI201">
            <v>-41.415126807756721</v>
          </cell>
        </row>
        <row r="202">
          <cell r="AI202">
            <v>-41.873548864724313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too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D7" t="str">
            <v>Vin min @ 2MHz</v>
          </cell>
          <cell r="E7" t="str">
            <v>Vin min (loss of reg)</v>
          </cell>
        </row>
        <row r="8">
          <cell r="C8">
            <v>0.1</v>
          </cell>
          <cell r="D8">
            <v>3.7216666666666667</v>
          </cell>
          <cell r="E8">
            <v>3.4746891191709848</v>
          </cell>
        </row>
        <row r="9">
          <cell r="C9">
            <v>0.2</v>
          </cell>
          <cell r="D9">
            <v>3.7766666666666664</v>
          </cell>
          <cell r="E9">
            <v>3.5296891191709845</v>
          </cell>
        </row>
        <row r="10">
          <cell r="C10">
            <v>0.5</v>
          </cell>
          <cell r="D10">
            <v>3.9416666666666664</v>
          </cell>
          <cell r="E10">
            <v>3.6946891191709845</v>
          </cell>
        </row>
        <row r="11">
          <cell r="C11">
            <v>0.8</v>
          </cell>
          <cell r="D11">
            <v>4.1066666666666665</v>
          </cell>
          <cell r="E11">
            <v>3.8596891191709846</v>
          </cell>
        </row>
        <row r="12">
          <cell r="C12">
            <v>1</v>
          </cell>
          <cell r="D12">
            <v>4.2166666666666668</v>
          </cell>
          <cell r="E12">
            <v>3.9696891191709849</v>
          </cell>
        </row>
        <row r="13">
          <cell r="C13">
            <v>1.2</v>
          </cell>
          <cell r="D13">
            <v>4.3266666666666662</v>
          </cell>
          <cell r="E13">
            <v>4.0796891191709843</v>
          </cell>
        </row>
        <row r="14">
          <cell r="C14">
            <v>1.5</v>
          </cell>
          <cell r="D14">
            <v>4.4916666666666663</v>
          </cell>
          <cell r="E14">
            <v>4.2446891191709843</v>
          </cell>
        </row>
        <row r="15">
          <cell r="C15">
            <v>1.8</v>
          </cell>
          <cell r="D15">
            <v>4.6566666666666663</v>
          </cell>
          <cell r="E15">
            <v>4.4096891191709844</v>
          </cell>
        </row>
        <row r="16">
          <cell r="C16">
            <v>2</v>
          </cell>
          <cell r="D16">
            <v>4.7666666666666666</v>
          </cell>
          <cell r="E16">
            <v>4.5196891191709847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 Max load Thermal resul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4"/>
  <sheetViews>
    <sheetView tabSelected="1" topLeftCell="A27" zoomScaleNormal="100" workbookViewId="0">
      <selection activeCell="D215" sqref="D215"/>
    </sheetView>
  </sheetViews>
  <sheetFormatPr defaultRowHeight="15"/>
  <cols>
    <col min="1" max="1" width="46.28515625" style="12" customWidth="1"/>
    <col min="2" max="2" width="22.42578125" customWidth="1"/>
    <col min="3" max="3" width="9.140625" style="12"/>
    <col min="4" max="4" width="18.42578125" style="5" customWidth="1"/>
    <col min="5" max="5" width="6.28515625" style="12" customWidth="1"/>
    <col min="6" max="6" width="9.140625" style="12" hidden="1" customWidth="1"/>
    <col min="7" max="7" width="13.85546875" style="12" hidden="1" customWidth="1"/>
    <col min="8" max="8" width="9.140625" style="12"/>
    <col min="9" max="9" width="9.140625" style="12" customWidth="1"/>
    <col min="10" max="11" width="12.28515625" style="12" bestFit="1" customWidth="1"/>
    <col min="12" max="12" width="12.28515625" style="12" customWidth="1"/>
    <col min="13" max="16" width="9.140625" style="12"/>
    <col min="17" max="17" width="8.7109375" style="12" customWidth="1"/>
    <col min="18" max="18" width="30.7109375" style="24" customWidth="1"/>
    <col min="19" max="23" width="30.7109375" style="24" hidden="1" customWidth="1"/>
    <col min="24" max="24" width="25.7109375" style="24" customWidth="1"/>
    <col min="25" max="46" width="0.140625" style="24" customWidth="1"/>
    <col min="47" max="47" width="25.7109375" style="12" customWidth="1"/>
    <col min="48" max="48" width="8.7109375" style="12" customWidth="1"/>
    <col min="49" max="71" width="9.140625" style="12"/>
  </cols>
  <sheetData>
    <row r="1" spans="1:71" s="1" customFormat="1">
      <c r="A1" s="11" t="s">
        <v>0</v>
      </c>
      <c r="B1" s="3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4"/>
      <c r="S1" s="24" t="s">
        <v>30</v>
      </c>
      <c r="T1" s="24">
        <f>B17</f>
        <v>0.30451612903225805</v>
      </c>
      <c r="U1" s="24"/>
      <c r="V1" s="24"/>
      <c r="W1" s="24"/>
      <c r="X1" s="24"/>
      <c r="Y1" s="24"/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  <c r="AE1" s="24" t="s">
        <v>36</v>
      </c>
      <c r="AF1" s="24" t="s">
        <v>37</v>
      </c>
      <c r="AG1" s="24" t="s">
        <v>38</v>
      </c>
      <c r="AH1" s="24" t="s">
        <v>39</v>
      </c>
      <c r="AI1" s="25" t="s">
        <v>40</v>
      </c>
      <c r="AJ1" s="25" t="s">
        <v>41</v>
      </c>
      <c r="AK1" s="25" t="s">
        <v>42</v>
      </c>
      <c r="AL1" s="25" t="s">
        <v>43</v>
      </c>
      <c r="AM1" s="25" t="s">
        <v>44</v>
      </c>
      <c r="AN1" s="25" t="s">
        <v>45</v>
      </c>
      <c r="AO1" s="25" t="s">
        <v>46</v>
      </c>
      <c r="AP1" s="24" t="s">
        <v>39</v>
      </c>
      <c r="AQ1" s="25" t="s">
        <v>40</v>
      </c>
      <c r="AR1" s="25" t="s">
        <v>41</v>
      </c>
      <c r="AS1" s="25" t="s">
        <v>41</v>
      </c>
      <c r="AT1" s="25" t="s">
        <v>40</v>
      </c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</row>
    <row r="2" spans="1:71" s="1" customFormat="1">
      <c r="A2" s="8" t="s">
        <v>2</v>
      </c>
      <c r="B2" s="4">
        <v>24</v>
      </c>
      <c r="C2" s="18" t="s">
        <v>100</v>
      </c>
      <c r="D2" s="1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4"/>
      <c r="S2" s="24" t="s">
        <v>49</v>
      </c>
      <c r="T2" s="24">
        <f>1-D_</f>
        <v>0.695483870967742</v>
      </c>
      <c r="U2" s="24"/>
      <c r="V2" s="24" t="s">
        <v>50</v>
      </c>
      <c r="W2" s="24">
        <f>G10</f>
        <v>6283185.307179587</v>
      </c>
      <c r="X2" s="24"/>
      <c r="Y2" s="24">
        <v>0</v>
      </c>
      <c r="Z2" s="24">
        <f>10^(LOG($G$6/$G$5,10)*Y2/200)</f>
        <v>1</v>
      </c>
      <c r="AA2" s="24" t="str">
        <f>IMPRODUCT(COMPLEX(0,1),2*PI()*Z2)</f>
        <v>6.28318530717959i</v>
      </c>
      <c r="AB2" s="24">
        <f>$B$23/$G$3</f>
        <v>9.0114691425450566</v>
      </c>
      <c r="AC2" s="32">
        <f>1/(1+D7*B23/(D24/1000000)*(G8*(1-B17)-0.5))</f>
        <v>0.92477481264561956</v>
      </c>
      <c r="AD2" s="24" t="str">
        <f>IMDIV(IMSUM(1,IMDIV(AA2,$G$12)),IMSUM(1,IMDIV(AA2,$G$14)))</f>
        <v>0.999999963401552-0.000190867887043069i</v>
      </c>
      <c r="AE2" s="24" t="str">
        <f>IMDIV(1,IMSUM(1,IMDIV(AA2,IMPRODUCT($G$10*$G$11)),IMDIV(IMPRODUCT(AA2,AA2),$G$10*$G$10)))</f>
        <v>0.99999999999888-1.45586487265653E-06i</v>
      </c>
      <c r="AF2" s="24" t="str">
        <f>IF(D_&lt;Dmax,IMPRODUCT(AB2,AC$2,AD2,AE2),0)</f>
        <v>8.33357938063775-0.00160274531203112i</v>
      </c>
      <c r="AG2" s="24">
        <f>IMABS(AF2)</f>
        <v>8.3335795347607498</v>
      </c>
      <c r="AH2" s="24">
        <f>IMARGUMENT(AF2)</f>
        <v>-1.9232375658338735E-4</v>
      </c>
      <c r="AI2" s="24">
        <f t="shared" ref="AI2:AI65" si="0">AH2/(PI())*180</f>
        <v>-1.1019339552329477E-2</v>
      </c>
      <c r="AJ2" s="24">
        <f>20*LOG(AG2,10)</f>
        <v>18.416631692668076</v>
      </c>
      <c r="AK2" s="26">
        <f>-0.8/B38*B13*B42</f>
        <v>-336.1702127659575</v>
      </c>
      <c r="AL2" s="24" t="str">
        <f>IMDIV(1,IMSUM(1,IMDIV(AA2,wp2e)))</f>
        <v>0.999991573639637-0.00290280715161174i</v>
      </c>
      <c r="AM2" s="24" t="str">
        <f>IMDIV(IMSUM(1,IMDIV(AA2,wz2e)),IMSUM(1,IMDIV(AA2,wp1e)))</f>
        <v>1.00000000001025+0.0000133304059477043i</v>
      </c>
      <c r="AN2" s="24" t="str">
        <f>IMPRODUCT($AK$2,AL2,AM2)</f>
        <v>-336.167393086354+0.971356050143093i</v>
      </c>
      <c r="AO2" s="24">
        <f>IMABS(AN2)</f>
        <v>336.16879645060965</v>
      </c>
      <c r="AP2" s="24">
        <f>IMARGUMENT(AN2)</f>
        <v>3.1387031605372853</v>
      </c>
      <c r="AQ2" s="24">
        <f>AP2/(PI())*180</f>
        <v>179.83444424315894</v>
      </c>
      <c r="AR2" s="24">
        <f>20*LOG(AO2,10)</f>
        <v>50.531147985862589</v>
      </c>
      <c r="AS2" s="24">
        <f>AR2+AJ2</f>
        <v>68.947779678530665</v>
      </c>
      <c r="AT2" s="24">
        <f>AQ2+AI2</f>
        <v>179.82342490360662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s="1" customFormat="1">
      <c r="A3" s="8" t="s">
        <v>3</v>
      </c>
      <c r="B3" s="4">
        <v>7</v>
      </c>
      <c r="C3" s="18" t="s">
        <v>100</v>
      </c>
      <c r="D3" s="18"/>
      <c r="E3" s="12"/>
      <c r="F3" s="27" t="s">
        <v>93</v>
      </c>
      <c r="G3" s="28">
        <v>0.18310000000000001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  <c r="S3" s="24" t="s">
        <v>52</v>
      </c>
      <c r="T3" s="24">
        <f>D7</f>
        <v>4.9999999999999998E-7</v>
      </c>
      <c r="U3" s="24" t="s">
        <v>32</v>
      </c>
      <c r="V3" s="24" t="s">
        <v>53</v>
      </c>
      <c r="W3" s="24">
        <f>G11</f>
        <v>0.68687693396652838</v>
      </c>
      <c r="X3" s="24"/>
      <c r="Y3" s="24">
        <v>1</v>
      </c>
      <c r="Z3" s="24">
        <f t="shared" ref="Z3:Z66" si="1">10^(LOG($G$6/$G$5,10)*Y3/200)</f>
        <v>1.0634378492473788</v>
      </c>
      <c r="AA3" s="24" t="str">
        <f>IMPRODUCT(COMPLEX(0,1),2*PI()*Z3)</f>
        <v>6.68177706948979i</v>
      </c>
      <c r="AB3" s="24">
        <f t="shared" ref="AB3:AB66" si="2">$B$23/$G$3</f>
        <v>9.0114691425450566</v>
      </c>
      <c r="AC3" s="24"/>
      <c r="AD3" s="24" t="str">
        <f t="shared" ref="AD3:AD66" si="3">IMDIV(IMSUM(1,IMDIV(AA3,$G$12)),IMSUM(1,IMDIV(AA3,$G$14)))</f>
        <v>0.999999958610813-0.000202976134310584i</v>
      </c>
      <c r="AE3" s="24" t="str">
        <f t="shared" ref="AE3:AE66" si="4">IMDIV(1,IMSUM(1,IMDIV(AA3,IMPRODUCT($G$10*$G$11)),IMDIV(IMPRODUCT(AA3,AA3),$G$10*$G$10)))</f>
        <v>0.999999999998734-1.54822180897263E-06i</v>
      </c>
      <c r="AF3" s="24" t="str">
        <f>IF(D_&lt;Dmax,IMPRODUCT(AB3,AC$2,AD3,AE3),0)</f>
        <v>8.3335793404094-0.00170442001931465i</v>
      </c>
      <c r="AG3" s="24">
        <f t="shared" ref="AG3:AG66" si="5">IMABS(AF3)</f>
        <v>8.3335795147071092</v>
      </c>
      <c r="AH3" s="24">
        <f>IMARGUMENT(AF3)</f>
        <v>-2.0452436173308206E-4</v>
      </c>
      <c r="AI3" s="24">
        <f t="shared" si="0"/>
        <v>-1.1718382734912561E-2</v>
      </c>
      <c r="AJ3" s="24">
        <f>20*LOG(AG3,10)</f>
        <v>18.416631671766648</v>
      </c>
      <c r="AK3" s="24"/>
      <c r="AL3" s="24" t="str">
        <f>IMDIV(1,IMSUM(1,IMDIV(AA3,wp2e)))</f>
        <v>0.999990470639078-0.00308695158914811i</v>
      </c>
      <c r="AM3" s="24" t="str">
        <f>IMDIV(IMSUM(1,IMDIV(AA3,wz2e)),IMSUM(1,IMDIV(AA3,wp1e)))</f>
        <v>1.00000000001159+0.0000141760582306201i</v>
      </c>
      <c r="AN3" s="24" t="str">
        <f>IMPRODUCT($AK$2,AL3,AM3)</f>
        <v>-336.167023993644+1.03297564943541i</v>
      </c>
      <c r="AO3" s="24">
        <f t="shared" ref="AO3:AO66" si="6">IMABS(AN3)</f>
        <v>336.16861105617159</v>
      </c>
      <c r="AP3" s="24">
        <f t="shared" ref="AP3:AP66" si="7">IMARGUMENT(AN3)</f>
        <v>3.1385198584476077</v>
      </c>
      <c r="AQ3" s="24">
        <f t="shared" ref="AQ3:AQ66" si="8">AP3/(PI())*180</f>
        <v>179.82394180704446</v>
      </c>
      <c r="AR3" s="24">
        <f t="shared" ref="AR3:AR66" si="9">20*LOG(AO3,10)</f>
        <v>50.531143195661691</v>
      </c>
      <c r="AS3" s="24">
        <f>AR3+AJ3</f>
        <v>68.947774867428336</v>
      </c>
      <c r="AT3" s="24">
        <f>AQ3+AI3</f>
        <v>179.81222342430954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1:71" s="1" customFormat="1">
      <c r="A4" s="8" t="s">
        <v>83</v>
      </c>
      <c r="B4" s="4">
        <f>(B2+B3)/2</f>
        <v>15.5</v>
      </c>
      <c r="C4" s="18" t="s">
        <v>100</v>
      </c>
      <c r="D4" s="43"/>
      <c r="E4" s="24"/>
      <c r="F4" s="26" t="s">
        <v>58</v>
      </c>
      <c r="G4" s="29">
        <f>(B4-B5)/D24*G3*1000000</f>
        <v>475280.85106382985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24"/>
      <c r="S4" s="24"/>
      <c r="T4" s="24"/>
      <c r="U4" s="24"/>
      <c r="V4" s="24"/>
      <c r="W4" s="24"/>
      <c r="X4" s="24"/>
      <c r="Y4" s="24">
        <v>2</v>
      </c>
      <c r="Z4" s="24">
        <f t="shared" si="1"/>
        <v>1.1309000592118907</v>
      </c>
      <c r="AA4" s="24" t="str">
        <f t="shared" ref="AA4:AA67" si="10">IMPRODUCT(COMPLEX(0,1),2*PI()*Z4)</f>
        <v>7.10565463592868i</v>
      </c>
      <c r="AB4" s="24">
        <f t="shared" si="2"/>
        <v>9.0114691425450566</v>
      </c>
      <c r="AC4" s="24"/>
      <c r="AD4" s="24" t="str">
        <f t="shared" si="3"/>
        <v>0.999999953192967-0.00021585250254495i</v>
      </c>
      <c r="AE4" s="24" t="str">
        <f t="shared" si="4"/>
        <v>0.999999999998568-1.64643767069172E-06i</v>
      </c>
      <c r="AF4" s="24" t="str">
        <f t="shared" ref="AF4:AF10" si="11">IF(D_&lt;Dmax,IMPRODUCT(AB4,AC$2,AD4,AE4),0)</f>
        <v>8.33357929491516-0.00181254474968885i</v>
      </c>
      <c r="AG4" s="24">
        <f t="shared" si="5"/>
        <v>8.3335794920284485</v>
      </c>
      <c r="AH4" s="24">
        <f t="shared" ref="AH4:AH35" si="12">IMARGUMENT(AF4)</f>
        <v>-2.1749894696670242E-4</v>
      </c>
      <c r="AI4" s="24">
        <f t="shared" si="0"/>
        <v>-1.2461771709731766E-2</v>
      </c>
      <c r="AJ4" s="24">
        <f t="shared" ref="AJ4:AJ35" si="13">20*LOG(AG4,10)</f>
        <v>18.416631648129222</v>
      </c>
      <c r="AK4" s="24"/>
      <c r="AL4" s="24" t="str">
        <f t="shared" ref="AL4:AL35" si="14">IMDIV(1,IMSUM(1,IMDIV(AA4,wp2e)))</f>
        <v>0.999989223258612-0.00328277706377834i</v>
      </c>
      <c r="AM4" s="24" t="str">
        <f t="shared" ref="AM4:AM35" si="15">IMDIV(IMSUM(1,IMDIV(AA4,wz2e)),IMSUM(1,IMDIV(AA4,wp1e)))</f>
        <v>1.00000000001311+0.0000150753568755749i</v>
      </c>
      <c r="AN4" s="24" t="str">
        <f t="shared" ref="AN4:AN35" si="16">IMPRODUCT($AK$2,AL4,AM4)</f>
        <v>-336.166606587659+1.09850403269495i</v>
      </c>
      <c r="AO4" s="24">
        <f t="shared" si="6"/>
        <v>336.16840139396169</v>
      </c>
      <c r="AP4" s="24">
        <f t="shared" si="7"/>
        <v>3.1383249282975929</v>
      </c>
      <c r="AQ4" s="24">
        <f t="shared" si="8"/>
        <v>179.81277313214878</v>
      </c>
      <c r="AR4" s="24">
        <f t="shared" si="9"/>
        <v>50.531137778429603</v>
      </c>
      <c r="AS4" s="24">
        <f t="shared" ref="AS4:AS35" si="17">AR4+AJ4</f>
        <v>68.947769426558821</v>
      </c>
      <c r="AT4" s="24">
        <f t="shared" ref="AT4:AT35" si="18">AQ4+AI4</f>
        <v>179.80031136043905</v>
      </c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" customFormat="1">
      <c r="A5" s="8" t="s">
        <v>4</v>
      </c>
      <c r="B5" s="4">
        <v>3.3</v>
      </c>
      <c r="C5" s="18" t="s">
        <v>100</v>
      </c>
      <c r="D5" s="47"/>
      <c r="E5" s="24"/>
      <c r="F5" s="13" t="s">
        <v>48</v>
      </c>
      <c r="G5" s="7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  <c r="S5" s="24" t="s">
        <v>54</v>
      </c>
      <c r="T5" s="24"/>
      <c r="U5" s="24"/>
      <c r="V5" s="24" t="s">
        <v>55</v>
      </c>
      <c r="W5" s="24">
        <f>G12</f>
        <v>7142857.1428571427</v>
      </c>
      <c r="X5" s="24"/>
      <c r="Y5" s="24">
        <v>3</v>
      </c>
      <c r="Z5" s="24">
        <f t="shared" si="1"/>
        <v>1.2026419266820265</v>
      </c>
      <c r="AA5" s="24" t="str">
        <f t="shared" si="10"/>
        <v>7.55642208352666i</v>
      </c>
      <c r="AB5" s="24">
        <f t="shared" si="2"/>
        <v>9.0114691425450566</v>
      </c>
      <c r="AC5" s="24"/>
      <c r="AD5" s="24" t="str">
        <f t="shared" si="3"/>
        <v>0.999999947065923-0.000229545719648147i</v>
      </c>
      <c r="AE5" s="24" t="str">
        <f t="shared" si="4"/>
        <v>0.99999999999838-1.75088413544023E-06i</v>
      </c>
      <c r="AF5" s="24" t="str">
        <f t="shared" si="11"/>
        <v>8.33357924346571-0.00192752867840931i</v>
      </c>
      <c r="AG5" s="24">
        <f t="shared" si="5"/>
        <v>8.3335794663811367</v>
      </c>
      <c r="AH5" s="24">
        <f t="shared" si="12"/>
        <v>-2.312966119026964E-4</v>
      </c>
      <c r="AI5" s="24">
        <f t="shared" si="0"/>
        <v>-1.3252319677699867E-2</v>
      </c>
      <c r="AJ5" s="24">
        <f t="shared" si="13"/>
        <v>18.416631621397649</v>
      </c>
      <c r="AK5" s="24"/>
      <c r="AL5" s="24" t="str">
        <f t="shared" si="14"/>
        <v>0.999987812599718-0.00349102445555835i</v>
      </c>
      <c r="AM5" s="24" t="str">
        <f t="shared" si="15"/>
        <v>1.00000000001483+0.0000160317050923964i</v>
      </c>
      <c r="AN5" s="24" t="str">
        <f t="shared" si="16"/>
        <v>-336.16613454446+1.16818911798426i</v>
      </c>
      <c r="AO5" s="24">
        <f t="shared" si="6"/>
        <v>336.16816428742828</v>
      </c>
      <c r="AP5" s="24">
        <f t="shared" si="7"/>
        <v>3.1381176324747075</v>
      </c>
      <c r="AQ5" s="24">
        <f t="shared" si="8"/>
        <v>179.80089595638674</v>
      </c>
      <c r="AR5" s="24">
        <f t="shared" si="9"/>
        <v>50.531131652089663</v>
      </c>
      <c r="AS5" s="24">
        <f t="shared" si="17"/>
        <v>68.947763273487311</v>
      </c>
      <c r="AT5" s="24">
        <f t="shared" si="18"/>
        <v>179.78764363670905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" customFormat="1">
      <c r="A6" s="8" t="s">
        <v>5</v>
      </c>
      <c r="B6" s="4">
        <v>2</v>
      </c>
      <c r="C6" s="18" t="s">
        <v>101</v>
      </c>
      <c r="D6" s="48" t="s">
        <v>7</v>
      </c>
      <c r="E6" s="24"/>
      <c r="F6" s="13" t="s">
        <v>51</v>
      </c>
      <c r="G6" s="7">
        <v>220000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24"/>
      <c r="S6" s="24" t="s">
        <v>57</v>
      </c>
      <c r="T6" s="24">
        <f>D_</f>
        <v>0.30451612903225805</v>
      </c>
      <c r="U6" s="24"/>
      <c r="V6" s="24"/>
      <c r="W6" s="24"/>
      <c r="X6" s="24"/>
      <c r="Y6" s="24">
        <v>4</v>
      </c>
      <c r="Z6" s="24">
        <f t="shared" si="1"/>
        <v>1.278934943925458</v>
      </c>
      <c r="AA6" s="24" t="str">
        <f t="shared" si="10"/>
        <v>8.03578524851099i</v>
      </c>
      <c r="AB6" s="24">
        <f t="shared" si="2"/>
        <v>9.0114691425450566</v>
      </c>
      <c r="AC6" s="24"/>
      <c r="AD6" s="24" t="str">
        <f t="shared" si="3"/>
        <v>0.99999994013685-0.000244107604707333i</v>
      </c>
      <c r="AE6" s="24" t="str">
        <f t="shared" si="4"/>
        <v>0.999999999998169-1.86195645927388E-06i</v>
      </c>
      <c r="AF6" s="24" t="str">
        <f t="shared" si="11"/>
        <v>8.33357918528154-0.00204980693786159i</v>
      </c>
      <c r="AG6" s="24">
        <f t="shared" si="5"/>
        <v>8.3335794373766081</v>
      </c>
      <c r="AH6" s="24">
        <f t="shared" si="12"/>
        <v>-2.45969570930988E-4</v>
      </c>
      <c r="AI6" s="24">
        <f t="shared" si="0"/>
        <v>-1.4093018302989351E-2</v>
      </c>
      <c r="AJ6" s="24">
        <f t="shared" si="13"/>
        <v>18.416631591166922</v>
      </c>
      <c r="AK6" s="24"/>
      <c r="AL6" s="24" t="str">
        <f t="shared" si="14"/>
        <v>0.999986217290287-0.00371248161605041i</v>
      </c>
      <c r="AM6" s="24" t="str">
        <f t="shared" si="15"/>
        <v>1.00000000001677+0.0000170487219832245i</v>
      </c>
      <c r="AN6" s="24" t="str">
        <f t="shared" si="16"/>
        <v>-336.165600712382+1.24229454127428i</v>
      </c>
      <c r="AO6" s="24">
        <f t="shared" si="6"/>
        <v>336.16789614423908</v>
      </c>
      <c r="AP6" s="24">
        <f t="shared" si="7"/>
        <v>3.1378971865833103</v>
      </c>
      <c r="AQ6" s="24">
        <f t="shared" si="8"/>
        <v>179.78826533719868</v>
      </c>
      <c r="AR6" s="24">
        <f t="shared" si="9"/>
        <v>50.531124723821826</v>
      </c>
      <c r="AS6" s="24">
        <f t="shared" si="17"/>
        <v>68.947756314988752</v>
      </c>
      <c r="AT6" s="24">
        <f t="shared" si="18"/>
        <v>179.77417231889569</v>
      </c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" customFormat="1">
      <c r="A7" s="8" t="s">
        <v>6</v>
      </c>
      <c r="B7" s="40">
        <f>2000000/1000000</f>
        <v>2</v>
      </c>
      <c r="C7" s="13" t="s">
        <v>107</v>
      </c>
      <c r="D7" s="49">
        <f>1/B7/1000000</f>
        <v>4.9999999999999998E-7</v>
      </c>
      <c r="E7" s="48" t="s">
        <v>104</v>
      </c>
      <c r="F7" s="27" t="s">
        <v>63</v>
      </c>
      <c r="G7" s="10">
        <v>183100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24"/>
      <c r="S7" s="24" t="s">
        <v>58</v>
      </c>
      <c r="T7" s="30">
        <f>G4</f>
        <v>475280.85106382985</v>
      </c>
      <c r="U7" s="24" t="s">
        <v>59</v>
      </c>
      <c r="V7" s="24" t="s">
        <v>60</v>
      </c>
      <c r="W7" s="24">
        <f>G14</f>
        <v>32768.009994063985</v>
      </c>
      <c r="X7" s="24"/>
      <c r="Y7" s="24">
        <v>5</v>
      </c>
      <c r="Z7" s="24">
        <f t="shared" si="1"/>
        <v>1.3600678260954062</v>
      </c>
      <c r="AA7" s="24" t="str">
        <f t="shared" si="10"/>
        <v>8.54555818169034i</v>
      </c>
      <c r="AB7" s="24">
        <f t="shared" si="2"/>
        <v>9.0114691425450566</v>
      </c>
      <c r="AC7" s="24"/>
      <c r="AD7" s="24" t="str">
        <f t="shared" si="3"/>
        <v>0.999999932300761-0.000259593264091325i</v>
      </c>
      <c r="AE7" s="24" t="str">
        <f t="shared" si="4"/>
        <v>0.999999999997929-1.98007497244242E-06i</v>
      </c>
      <c r="AF7" s="24" t="str">
        <f t="shared" si="11"/>
        <v>8.33357911948105-0.0021798422642118i</v>
      </c>
      <c r="AG7" s="24">
        <f t="shared" si="5"/>
        <v>8.3335794045753744</v>
      </c>
      <c r="AH7" s="24">
        <f t="shared" si="12"/>
        <v>-2.6157335080682101E-4</v>
      </c>
      <c r="AI7" s="24">
        <f t="shared" si="0"/>
        <v>-1.4987049034325751E-2</v>
      </c>
      <c r="AJ7" s="24">
        <f t="shared" si="13"/>
        <v>18.416631556978984</v>
      </c>
      <c r="AK7" s="24"/>
      <c r="AL7" s="24" t="str">
        <f t="shared" si="14"/>
        <v>0.999984413160891-0.00394798634235384i</v>
      </c>
      <c r="AM7" s="24" t="str">
        <f t="shared" si="15"/>
        <v>1.00000000001896+0.0000181302562382544i</v>
      </c>
      <c r="AN7" s="24" t="str">
        <f t="shared" si="16"/>
        <v>-336.164997003704+1.32110065163371i</v>
      </c>
      <c r="AO7" s="24">
        <f t="shared" si="6"/>
        <v>336.16759290186206</v>
      </c>
      <c r="AP7" s="24">
        <f t="shared" si="7"/>
        <v>3.1376627564787452</v>
      </c>
      <c r="AQ7" s="24">
        <f t="shared" si="8"/>
        <v>179.7748334816163</v>
      </c>
      <c r="AR7" s="24">
        <f t="shared" si="9"/>
        <v>50.531116888656612</v>
      </c>
      <c r="AS7" s="24">
        <f t="shared" si="17"/>
        <v>68.947748445635597</v>
      </c>
      <c r="AT7" s="24">
        <f t="shared" si="18"/>
        <v>179.75984643258198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" customFormat="1">
      <c r="A8" s="8" t="s">
        <v>105</v>
      </c>
      <c r="B8" s="4">
        <v>0.1</v>
      </c>
      <c r="C8" s="18" t="s">
        <v>99</v>
      </c>
      <c r="D8" s="47"/>
      <c r="E8" s="24"/>
      <c r="F8" s="44" t="s">
        <v>61</v>
      </c>
      <c r="G8" s="43">
        <f>1+G7/G4</f>
        <v>1.3852459016393441</v>
      </c>
      <c r="H8" s="24"/>
      <c r="I8" s="24"/>
      <c r="J8" s="24"/>
      <c r="K8" s="12"/>
      <c r="L8" s="12"/>
      <c r="M8" s="12"/>
      <c r="N8" s="12"/>
      <c r="O8" s="12"/>
      <c r="P8" s="12"/>
      <c r="Q8" s="12"/>
      <c r="R8" s="24"/>
      <c r="S8" s="24" t="s">
        <v>61</v>
      </c>
      <c r="T8" s="24">
        <f>1+(T$10/T$7)</f>
        <v>1.1073049753337332</v>
      </c>
      <c r="U8" s="24"/>
      <c r="V8" s="24"/>
      <c r="W8" s="24"/>
      <c r="X8" s="24"/>
      <c r="Y8" s="24">
        <v>6</v>
      </c>
      <c r="Z8" s="24">
        <f t="shared" si="1"/>
        <v>1.4463476038134566</v>
      </c>
      <c r="AA8" s="24" t="str">
        <f t="shared" si="10"/>
        <v>9.08767001335511i</v>
      </c>
      <c r="AB8" s="24">
        <f t="shared" si="2"/>
        <v>9.0114691425450566</v>
      </c>
      <c r="AC8" s="24"/>
      <c r="AD8" s="24" t="str">
        <f t="shared" si="3"/>
        <v>0.999999923438927-0.000276061299986701i</v>
      </c>
      <c r="AE8" s="24" t="str">
        <f t="shared" si="4"/>
        <v>0.999999999997658-2.10568667004266E-06i</v>
      </c>
      <c r="AF8" s="24" t="str">
        <f t="shared" si="11"/>
        <v>8.33357904506727-0.00231812674851449i</v>
      </c>
      <c r="AG8" s="24">
        <f t="shared" si="5"/>
        <v>8.3335793674804535</v>
      </c>
      <c r="AH8" s="24">
        <f t="shared" si="12"/>
        <v>-2.7816700077943192E-4</v>
      </c>
      <c r="AI8" s="24">
        <f t="shared" si="0"/>
        <v>-1.5937795144473729E-2</v>
      </c>
      <c r="AJ8" s="24">
        <f t="shared" si="13"/>
        <v>18.416631518315839</v>
      </c>
      <c r="AK8" s="24"/>
      <c r="AL8" s="24" t="str">
        <f t="shared" si="14"/>
        <v>0.999982372878694-0.00419842953863875i</v>
      </c>
      <c r="AM8" s="24" t="str">
        <f t="shared" si="15"/>
        <v>1.00000000002145+0.0000192804007003104i</v>
      </c>
      <c r="AN8" s="24" t="str">
        <f t="shared" si="16"/>
        <v>-336.164314272154+1.40490556916183i</v>
      </c>
      <c r="AO8" s="24">
        <f t="shared" si="6"/>
        <v>336.16724996603369</v>
      </c>
      <c r="AP8" s="24">
        <f t="shared" si="7"/>
        <v>3.1374134551136716</v>
      </c>
      <c r="AQ8" s="24">
        <f t="shared" si="8"/>
        <v>179.76054956557073</v>
      </c>
      <c r="AR8" s="24">
        <f t="shared" si="9"/>
        <v>50.531108027884954</v>
      </c>
      <c r="AS8" s="24">
        <f t="shared" si="17"/>
        <v>68.947739546200793</v>
      </c>
      <c r="AT8" s="24">
        <f t="shared" si="18"/>
        <v>179.74461177042625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" customFormat="1">
      <c r="A9" s="8" t="s">
        <v>85</v>
      </c>
      <c r="B9" s="4">
        <v>30</v>
      </c>
      <c r="C9" s="19" t="s">
        <v>99</v>
      </c>
      <c r="D9" s="43"/>
      <c r="E9" s="24"/>
      <c r="F9" s="8"/>
      <c r="G9" s="44"/>
      <c r="H9" s="24"/>
      <c r="I9" s="24"/>
      <c r="J9" s="24"/>
      <c r="K9" s="12"/>
      <c r="L9" s="12"/>
      <c r="M9" s="12"/>
      <c r="N9" s="12"/>
      <c r="O9" s="12"/>
      <c r="P9" s="12"/>
      <c r="Q9" s="12"/>
      <c r="R9" s="24"/>
      <c r="S9" s="24" t="s">
        <v>62</v>
      </c>
      <c r="T9" s="24">
        <f>B23</f>
        <v>1.65</v>
      </c>
      <c r="U9" s="25" t="s">
        <v>56</v>
      </c>
      <c r="V9" s="24"/>
      <c r="W9" s="24"/>
      <c r="X9" s="24"/>
      <c r="Y9" s="24">
        <v>7</v>
      </c>
      <c r="Z9" s="24">
        <f t="shared" si="1"/>
        <v>1.5381007850634825</v>
      </c>
      <c r="AA9" s="24" t="str">
        <f t="shared" si="10"/>
        <v>9.66417225367226i</v>
      </c>
      <c r="AB9" s="24">
        <f t="shared" si="2"/>
        <v>9.0114691425450566</v>
      </c>
      <c r="AC9" s="24"/>
      <c r="AD9" s="24" t="str">
        <f t="shared" si="3"/>
        <v>0.999999913417079-0.000293574032162578i</v>
      </c>
      <c r="AE9" s="24" t="str">
        <f t="shared" si="4"/>
        <v>0.999999999997352-2.23926690357898E-06i</v>
      </c>
      <c r="AF9" s="24" t="str">
        <f t="shared" si="11"/>
        <v>8.33357896091273-0.00246518369890362i</v>
      </c>
      <c r="AG9" s="24">
        <f t="shared" si="5"/>
        <v>8.333579325529815</v>
      </c>
      <c r="AH9" s="24">
        <f t="shared" si="12"/>
        <v>-2.9581331605069432E-4</v>
      </c>
      <c r="AI9" s="24">
        <f t="shared" si="0"/>
        <v>-1.6948854533474316E-2</v>
      </c>
      <c r="AJ9" s="24">
        <f t="shared" si="13"/>
        <v>18.416631474591696</v>
      </c>
      <c r="AK9" s="24"/>
      <c r="AL9" s="24" t="str">
        <f t="shared" si="14"/>
        <v>0.999980065533468-0.0044647585768419i</v>
      </c>
      <c r="AM9" s="24" t="str">
        <f t="shared" si="15"/>
        <v>1.00000000002425+0.0000205035078533624i</v>
      </c>
      <c r="AN9" s="24" t="str">
        <f t="shared" si="16"/>
        <v>-336.163542174355+1.49402630956613i</v>
      </c>
      <c r="AO9" s="24">
        <f t="shared" si="6"/>
        <v>336.16686214114412</v>
      </c>
      <c r="AP9" s="24">
        <f t="shared" si="7"/>
        <v>3.1371483391848014</v>
      </c>
      <c r="AQ9" s="24">
        <f t="shared" si="8"/>
        <v>179.7453595417648</v>
      </c>
      <c r="AR9" s="24">
        <f t="shared" si="9"/>
        <v>50.531098007259416</v>
      </c>
      <c r="AS9" s="24">
        <f t="shared" si="17"/>
        <v>68.947729481851113</v>
      </c>
      <c r="AT9" s="24">
        <f t="shared" si="18"/>
        <v>179.72841068723133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s="1" customFormat="1">
      <c r="A10" s="8" t="s">
        <v>9</v>
      </c>
      <c r="B10" s="40">
        <v>0.65</v>
      </c>
      <c r="C10" s="37" t="s">
        <v>56</v>
      </c>
      <c r="D10" s="45"/>
      <c r="E10" s="24"/>
      <c r="F10" s="26" t="s">
        <v>50</v>
      </c>
      <c r="G10" s="24">
        <f>PI()/D7</f>
        <v>6283185.307179587</v>
      </c>
      <c r="H10" s="24"/>
      <c r="I10" s="24"/>
      <c r="J10" s="24"/>
      <c r="K10" s="12"/>
      <c r="L10" s="12"/>
      <c r="M10" s="12"/>
      <c r="N10" s="12"/>
      <c r="O10" s="12"/>
      <c r="P10" s="12"/>
      <c r="Q10" s="12"/>
      <c r="R10" s="24"/>
      <c r="S10" s="24" t="s">
        <v>63</v>
      </c>
      <c r="T10" s="24">
        <v>51000</v>
      </c>
      <c r="U10" s="24" t="s">
        <v>59</v>
      </c>
      <c r="V10" s="24"/>
      <c r="W10" s="24"/>
      <c r="X10" s="24"/>
      <c r="Y10" s="24">
        <v>8</v>
      </c>
      <c r="Z10" s="24">
        <f t="shared" si="1"/>
        <v>1.6356745907936145</v>
      </c>
      <c r="AA10" s="24" t="str">
        <f t="shared" si="10"/>
        <v>10.2772465562014i</v>
      </c>
      <c r="AB10" s="24">
        <f t="shared" si="2"/>
        <v>9.0114691425450566</v>
      </c>
      <c r="AC10" s="24"/>
      <c r="AD10" s="24" t="str">
        <f t="shared" si="3"/>
        <v>0.999999902083371-0.000312197733803187i</v>
      </c>
      <c r="AE10" s="24" t="str">
        <f t="shared" si="4"/>
        <v>0.999999999997004-2.38132117983277E-06i</v>
      </c>
      <c r="AF10" s="24" t="str">
        <f t="shared" si="11"/>
        <v>8.33357886574234-0.00262156962091285i</v>
      </c>
      <c r="AG10" s="24">
        <f t="shared" si="5"/>
        <v>8.3335792780878162</v>
      </c>
      <c r="AH10" s="24">
        <f t="shared" si="12"/>
        <v>-3.1457907540933638E-4</v>
      </c>
      <c r="AI10" s="24">
        <f t="shared" si="0"/>
        <v>-1.8024053344082636E-2</v>
      </c>
      <c r="AJ10" s="24">
        <f t="shared" si="13"/>
        <v>18.41663142514404</v>
      </c>
      <c r="AK10" s="24"/>
      <c r="AL10" s="24" t="str">
        <f t="shared" si="14"/>
        <v>0.999977456169444-0.00474798086887577i</v>
      </c>
      <c r="AM10" s="24" t="str">
        <f t="shared" si="15"/>
        <v>1.00000000002743+0.0000218042062936023i</v>
      </c>
      <c r="AN10" s="24" t="str">
        <f t="shared" si="16"/>
        <v>-336.162669013206+1.58879997951811i</v>
      </c>
      <c r="AO10" s="24">
        <f t="shared" si="6"/>
        <v>336.16642355157546</v>
      </c>
      <c r="AP10" s="24">
        <f t="shared" si="7"/>
        <v>3.1368664055674693</v>
      </c>
      <c r="AQ10" s="24">
        <f t="shared" si="8"/>
        <v>179.72920593538879</v>
      </c>
      <c r="AR10" s="24">
        <f t="shared" si="9"/>
        <v>50.531086674961365</v>
      </c>
      <c r="AS10" s="24">
        <f t="shared" si="17"/>
        <v>68.947718100105405</v>
      </c>
      <c r="AT10" s="24">
        <f t="shared" si="18"/>
        <v>179.71118188204471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s="1" customFormat="1">
      <c r="A11" s="8" t="s">
        <v>10</v>
      </c>
      <c r="B11" s="40" t="s">
        <v>82</v>
      </c>
      <c r="C11" s="37" t="s">
        <v>56</v>
      </c>
      <c r="D11" s="45"/>
      <c r="E11" s="24"/>
      <c r="F11" s="26" t="s">
        <v>53</v>
      </c>
      <c r="G11" s="24">
        <f>1/(PI()*(G8*(1-B17)-0.5))</f>
        <v>0.68687693396652838</v>
      </c>
      <c r="H11" s="24"/>
      <c r="I11" s="24"/>
      <c r="J11" s="24"/>
      <c r="K11" s="12"/>
      <c r="L11" s="12"/>
      <c r="M11" s="12"/>
      <c r="N11" s="12"/>
      <c r="O11" s="12"/>
      <c r="P11" s="12"/>
      <c r="Q11" s="12"/>
      <c r="R11" s="24"/>
      <c r="S11" s="24" t="s">
        <v>64</v>
      </c>
      <c r="T11" s="24">
        <v>1</v>
      </c>
      <c r="U11" s="24"/>
      <c r="V11" s="24"/>
      <c r="W11" s="24"/>
      <c r="X11" s="24"/>
      <c r="Y11" s="24">
        <v>9</v>
      </c>
      <c r="Z11" s="24">
        <f t="shared" si="1"/>
        <v>1.7394382689021479</v>
      </c>
      <c r="AA11" s="24" t="str">
        <f t="shared" si="10"/>
        <v>10.9292129739119i</v>
      </c>
      <c r="AB11" s="24">
        <f t="shared" si="2"/>
        <v>9.0114691425450566</v>
      </c>
      <c r="AC11" s="24"/>
      <c r="AD11" s="24" t="str">
        <f t="shared" si="3"/>
        <v>0.99999988926608-0.000332002882300579i</v>
      </c>
      <c r="AE11" s="24" t="str">
        <f t="shared" si="4"/>
        <v>0.999999999996613-0.0000025323870738485i</v>
      </c>
      <c r="AF11" s="24" t="str">
        <f>IMPRODUCT(AB11,AC$2,AD11,AE11)</f>
        <v>8.33357875811417-0.0027878763234183i</v>
      </c>
      <c r="AG11" s="24">
        <f t="shared" si="5"/>
        <v>8.3335792244356863</v>
      </c>
      <c r="AH11" s="24">
        <f t="shared" si="12"/>
        <v>-3.3453529393997187E-4</v>
      </c>
      <c r="AI11" s="24">
        <f t="shared" si="0"/>
        <v>-1.9167460440928812E-2</v>
      </c>
      <c r="AJ11" s="24">
        <f t="shared" si="13"/>
        <v>18.416631369223712</v>
      </c>
      <c r="AK11" s="24"/>
      <c r="AL11" s="24" t="str">
        <f t="shared" si="14"/>
        <v>0.999974505255925-0.00504916766342798i</v>
      </c>
      <c r="AM11" s="24" t="str">
        <f t="shared" si="15"/>
        <v>1.00000000003102+0.00002318741824541i</v>
      </c>
      <c r="AN11" s="24" t="str">
        <f t="shared" si="16"/>
        <v>-336.1616815607+1.68958504716265i</v>
      </c>
      <c r="AO11" s="24">
        <f t="shared" si="6"/>
        <v>336.16592755267311</v>
      </c>
      <c r="AP11" s="24">
        <f t="shared" si="7"/>
        <v>3.1365665875246971</v>
      </c>
      <c r="AQ11" s="24">
        <f t="shared" si="8"/>
        <v>179.71202762691607</v>
      </c>
      <c r="AR11" s="24">
        <f t="shared" si="9"/>
        <v>50.53107385930042</v>
      </c>
      <c r="AS11" s="24">
        <f t="shared" si="17"/>
        <v>68.947705228524129</v>
      </c>
      <c r="AT11" s="24">
        <f t="shared" si="18"/>
        <v>179.69286016647513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1" customFormat="1">
      <c r="A12" s="8" t="s">
        <v>88</v>
      </c>
      <c r="B12" s="4">
        <v>1</v>
      </c>
      <c r="C12" s="37" t="s">
        <v>103</v>
      </c>
      <c r="D12" s="45"/>
      <c r="E12" s="24"/>
      <c r="F12" s="26" t="s">
        <v>55</v>
      </c>
      <c r="G12" s="32">
        <f>1/(D30*B31)*1000000</f>
        <v>7142857.1428571427</v>
      </c>
      <c r="H12" s="24"/>
      <c r="I12" s="24"/>
      <c r="J12" s="24"/>
      <c r="K12" s="12"/>
      <c r="L12" s="12"/>
      <c r="M12" s="12"/>
      <c r="N12" s="12"/>
      <c r="O12" s="12"/>
      <c r="P12" s="12"/>
      <c r="Q12" s="12"/>
      <c r="R12" s="24"/>
      <c r="S12" s="24" t="s">
        <v>65</v>
      </c>
      <c r="T12" s="24">
        <v>0.68</v>
      </c>
      <c r="U12" s="25" t="s">
        <v>56</v>
      </c>
      <c r="V12" s="24"/>
      <c r="W12" s="24"/>
      <c r="X12" s="24"/>
      <c r="Y12" s="24">
        <v>10</v>
      </c>
      <c r="Z12" s="24">
        <f t="shared" si="1"/>
        <v>1.849784491579884</v>
      </c>
      <c r="AA12" s="24" t="str">
        <f t="shared" si="10"/>
        <v>11.6225387389434i</v>
      </c>
      <c r="AB12" s="24">
        <f t="shared" si="2"/>
        <v>9.0114691425450566</v>
      </c>
      <c r="AC12" s="24"/>
      <c r="AD12" s="24" t="str">
        <f t="shared" si="3"/>
        <v>0.999999874771005-0.000353064425956376i</v>
      </c>
      <c r="AE12" s="24" t="str">
        <f t="shared" si="4"/>
        <v>0.99999999999617-2.69303626327518E-06i</v>
      </c>
      <c r="AF12" s="24" t="str">
        <f t="shared" ref="AF12:AF75" si="19">IMPRODUCT(AB12,AC$2,AD12,AE12)</f>
        <v>8.33357863639747-0.00296473315817175i</v>
      </c>
      <c r="AG12" s="24">
        <f t="shared" si="5"/>
        <v>8.3335791637604917</v>
      </c>
      <c r="AH12" s="24">
        <f t="shared" si="12"/>
        <v>-3.5575749176320405E-4</v>
      </c>
      <c r="AI12" s="24">
        <f t="shared" si="0"/>
        <v>-2.0383402808191741E-2</v>
      </c>
      <c r="AJ12" s="24">
        <f t="shared" si="13"/>
        <v>18.416631305983415</v>
      </c>
      <c r="AK12" s="24"/>
      <c r="AL12" s="24" t="str">
        <f t="shared" si="14"/>
        <v>0.999971168088635-0.00536945808118873i</v>
      </c>
      <c r="AM12" s="24" t="str">
        <f t="shared" si="15"/>
        <v>1.00000000003508+0.0000246583781884924i</v>
      </c>
      <c r="AN12" s="24" t="str">
        <f t="shared" si="16"/>
        <v>-336.160564857624+1.79676269241194i</v>
      </c>
      <c r="AO12" s="24">
        <f t="shared" si="6"/>
        <v>336.16536663012994</v>
      </c>
      <c r="AP12" s="24">
        <f t="shared" si="7"/>
        <v>3.13624775067658</v>
      </c>
      <c r="AQ12" s="24">
        <f t="shared" si="8"/>
        <v>179.69375962116573</v>
      </c>
      <c r="AR12" s="24">
        <f t="shared" si="9"/>
        <v>50.531059366114249</v>
      </c>
      <c r="AS12" s="24">
        <f t="shared" si="17"/>
        <v>68.947690672097664</v>
      </c>
      <c r="AT12" s="24">
        <f t="shared" si="18"/>
        <v>179.67337621835753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" customFormat="1">
      <c r="A13" s="8" t="s">
        <v>11</v>
      </c>
      <c r="B13" s="40">
        <v>1E-3</v>
      </c>
      <c r="C13" s="37" t="s">
        <v>104</v>
      </c>
      <c r="D13" s="45"/>
      <c r="E13" s="24"/>
      <c r="F13" s="26"/>
      <c r="G13" s="30"/>
      <c r="H13" s="24"/>
      <c r="I13" s="24"/>
      <c r="J13" s="24"/>
      <c r="K13" s="12"/>
      <c r="L13" s="12"/>
      <c r="M13" s="12"/>
      <c r="N13" s="12"/>
      <c r="O13" s="12"/>
      <c r="P13" s="12"/>
      <c r="Q13" s="12"/>
      <c r="R13" s="24"/>
      <c r="S13" s="24" t="s">
        <v>66</v>
      </c>
      <c r="T13" s="33">
        <f>D30</f>
        <v>20</v>
      </c>
      <c r="U13" s="24"/>
      <c r="V13" s="24"/>
      <c r="W13" s="24"/>
      <c r="X13" s="24"/>
      <c r="Y13" s="24">
        <v>11</v>
      </c>
      <c r="Z13" s="24">
        <f t="shared" si="1"/>
        <v>1.967130841296868</v>
      </c>
      <c r="AA13" s="24" t="str">
        <f t="shared" si="10"/>
        <v>12.3598475993363i</v>
      </c>
      <c r="AB13" s="24">
        <f t="shared" si="2"/>
        <v>9.0114691425450566</v>
      </c>
      <c r="AC13" s="24"/>
      <c r="AD13" s="24" t="str">
        <f t="shared" si="3"/>
        <v>0.999999858378524-0.000375462067601687i</v>
      </c>
      <c r="AE13" s="24" t="str">
        <f t="shared" si="4"/>
        <v>0.999999999995668-0.0000028638766917624i</v>
      </c>
      <c r="AF13" s="24" t="str">
        <f t="shared" si="19"/>
        <v>8.33357849874802-0.00315280940139821i</v>
      </c>
      <c r="AG13" s="24">
        <f t="shared" si="5"/>
        <v>8.3335790951428788</v>
      </c>
      <c r="AH13" s="24">
        <f t="shared" si="12"/>
        <v>-3.7832597982376406E-4</v>
      </c>
      <c r="AI13" s="24">
        <f t="shared" si="0"/>
        <v>-2.1676481924053217E-2</v>
      </c>
      <c r="AJ13" s="24">
        <f t="shared" si="13"/>
        <v>18.416631234464923</v>
      </c>
      <c r="AK13" s="24"/>
      <c r="AL13" s="24" t="str">
        <f t="shared" si="14"/>
        <v>0.999967394112788-0.00571006340313926i</v>
      </c>
      <c r="AM13" s="24" t="str">
        <f t="shared" si="15"/>
        <v>1.00000000003967+0.0000262226526666919i</v>
      </c>
      <c r="AN13" s="24" t="str">
        <f t="shared" si="16"/>
        <v>-336.159301987029+1.91073824192019i</v>
      </c>
      <c r="AO13" s="24">
        <f t="shared" si="6"/>
        <v>336.16473228617497</v>
      </c>
      <c r="AP13" s="24">
        <f t="shared" si="7"/>
        <v>3.1359086887149537</v>
      </c>
      <c r="AQ13" s="24">
        <f t="shared" si="8"/>
        <v>179.67433280177107</v>
      </c>
      <c r="AR13" s="24">
        <f t="shared" si="9"/>
        <v>50.531042975827418</v>
      </c>
      <c r="AS13" s="24">
        <f t="shared" si="17"/>
        <v>68.947674210292348</v>
      </c>
      <c r="AT13" s="24">
        <f t="shared" si="18"/>
        <v>179.65265631984701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" customFormat="1">
      <c r="A14" s="8"/>
      <c r="B14" s="12"/>
      <c r="C14" s="20"/>
      <c r="D14" s="45"/>
      <c r="E14" s="24"/>
      <c r="F14" s="26" t="s">
        <v>60</v>
      </c>
      <c r="G14" s="32">
        <f>(1/(B23*D30*1000000)+(G8*(1-B17)-0.5)/(D24/1000000*D30*1000000*B7)/1000000)*10^12</f>
        <v>32768.009994063985</v>
      </c>
      <c r="H14" s="24"/>
      <c r="I14" s="24"/>
      <c r="J14" s="24"/>
      <c r="K14" s="12"/>
      <c r="L14" s="12"/>
      <c r="M14" s="12"/>
      <c r="N14" s="12"/>
      <c r="O14" s="12"/>
      <c r="P14" s="12"/>
      <c r="Q14" s="12"/>
      <c r="R14" s="24"/>
      <c r="S14" s="24" t="s">
        <v>67</v>
      </c>
      <c r="T14" s="24">
        <f>B31</f>
        <v>7.0000000000000001E-3</v>
      </c>
      <c r="U14" s="24"/>
      <c r="V14" s="24"/>
      <c r="W14" s="24"/>
      <c r="X14" s="24"/>
      <c r="Y14" s="24">
        <v>12</v>
      </c>
      <c r="Z14" s="24">
        <f t="shared" si="1"/>
        <v>2.0919213910569279</v>
      </c>
      <c r="AA14" s="24" t="str">
        <f t="shared" si="10"/>
        <v>13.1439297480636i</v>
      </c>
      <c r="AB14" s="24">
        <f t="shared" si="2"/>
        <v>9.0114691425450566</v>
      </c>
      <c r="AC14" s="24"/>
      <c r="AD14" s="24" t="str">
        <f t="shared" si="3"/>
        <v>0.999999839840268-0.000399280566208233i</v>
      </c>
      <c r="AE14" s="24" t="str">
        <f t="shared" si="4"/>
        <v>0.999999999995101-3.04555486959733E-06i</v>
      </c>
      <c r="AF14" s="24" t="str">
        <f t="shared" si="19"/>
        <v>8.33357834308028-0.00335281678646828i</v>
      </c>
      <c r="AG14" s="24">
        <f t="shared" si="5"/>
        <v>8.3335790175432471</v>
      </c>
      <c r="AH14" s="24">
        <f t="shared" si="12"/>
        <v>-4.0232616380807566E-4</v>
      </c>
      <c r="AI14" s="24">
        <f t="shared" si="0"/>
        <v>-2.3051591173891745E-2</v>
      </c>
      <c r="AJ14" s="24">
        <f t="shared" si="13"/>
        <v>18.416631153584685</v>
      </c>
      <c r="AK14" s="24"/>
      <c r="AL14" s="24" t="str">
        <f t="shared" si="14"/>
        <v>0.999963126157603-0.00607227162736175i</v>
      </c>
      <c r="AM14" s="24" t="str">
        <f t="shared" si="15"/>
        <v>1.00000000004486+0.0000278861613534195i</v>
      </c>
      <c r="AN14" s="24" t="str">
        <f t="shared" si="16"/>
        <v>-336.157873818084+2.03194269391277i</v>
      </c>
      <c r="AO14" s="24">
        <f t="shared" si="6"/>
        <v>336.16401491088578</v>
      </c>
      <c r="AP14" s="24">
        <f t="shared" si="7"/>
        <v>3.1355481188473813</v>
      </c>
      <c r="AQ14" s="24">
        <f t="shared" si="8"/>
        <v>179.6536736701396</v>
      </c>
      <c r="AR14" s="24">
        <f t="shared" si="9"/>
        <v>50.531024440125599</v>
      </c>
      <c r="AS14" s="24">
        <f t="shared" si="17"/>
        <v>68.94765559371028</v>
      </c>
      <c r="AT14" s="24">
        <f t="shared" si="18"/>
        <v>179.6306220789657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" customFormat="1">
      <c r="A15" s="8"/>
      <c r="B15" s="38" t="s">
        <v>106</v>
      </c>
      <c r="C15" s="20"/>
      <c r="D15" s="46" t="s">
        <v>92</v>
      </c>
      <c r="E15" s="24"/>
      <c r="F15" s="44" t="s">
        <v>71</v>
      </c>
      <c r="G15" s="44">
        <v>1000000</v>
      </c>
      <c r="H15" s="24"/>
      <c r="I15" s="24"/>
      <c r="J15" s="24"/>
      <c r="K15" s="12"/>
      <c r="L15" s="12"/>
      <c r="M15" s="12"/>
      <c r="N15" s="12"/>
      <c r="O15" s="12"/>
      <c r="P15" s="12"/>
      <c r="Q15" s="12"/>
      <c r="R15" s="24"/>
      <c r="S15" s="34" t="s">
        <v>68</v>
      </c>
      <c r="T15" s="24"/>
      <c r="U15" s="24"/>
      <c r="V15" s="24"/>
      <c r="W15" s="24"/>
      <c r="X15" s="24"/>
      <c r="Y15" s="24">
        <v>13</v>
      </c>
      <c r="Z15" s="24">
        <f t="shared" si="1"/>
        <v>2.2246283849001642</v>
      </c>
      <c r="AA15" s="24" t="str">
        <f t="shared" si="10"/>
        <v>13.9777523819394i</v>
      </c>
      <c r="AB15" s="24">
        <f t="shared" si="2"/>
        <v>9.0114691425450566</v>
      </c>
      <c r="AC15" s="24"/>
      <c r="AD15" s="24" t="str">
        <f t="shared" si="3"/>
        <v>0.999999818875353-0.000424610057631818i</v>
      </c>
      <c r="AE15" s="24" t="str">
        <f t="shared" si="4"/>
        <v>0.99999999999446-3.23875832028923E-06i</v>
      </c>
      <c r="AF15" s="24" t="str">
        <f t="shared" si="19"/>
        <v>8.33357816703562-0.0035655121972275i</v>
      </c>
      <c r="AG15" s="24">
        <f t="shared" si="5"/>
        <v>8.3335789297858103</v>
      </c>
      <c r="AH15" s="24">
        <f t="shared" si="12"/>
        <v>-4.2784886734129041E-4</v>
      </c>
      <c r="AI15" s="24">
        <f t="shared" si="0"/>
        <v>-2.4513934368108583E-2</v>
      </c>
      <c r="AJ15" s="24">
        <f t="shared" si="13"/>
        <v>18.416631062117215</v>
      </c>
      <c r="AK15" s="24"/>
      <c r="AL15" s="24" t="str">
        <f t="shared" si="14"/>
        <v>0.999958299570729-0.00645745231069315i</v>
      </c>
      <c r="AM15" s="24" t="str">
        <f t="shared" si="15"/>
        <v>1.00000000005074+0.0000296551994534358i</v>
      </c>
      <c r="AN15" s="24" t="str">
        <f t="shared" si="16"/>
        <v>-336.156258716433+2.16083433833171i</v>
      </c>
      <c r="AO15" s="24">
        <f t="shared" si="6"/>
        <v>336.16320363666682</v>
      </c>
      <c r="AP15" s="24">
        <f t="shared" si="7"/>
        <v>3.135164676953532</v>
      </c>
      <c r="AQ15" s="24">
        <f t="shared" si="8"/>
        <v>179.63170406793353</v>
      </c>
      <c r="AR15" s="24">
        <f t="shared" si="9"/>
        <v>50.531003478194748</v>
      </c>
      <c r="AS15" s="24">
        <f t="shared" si="17"/>
        <v>68.947634540311967</v>
      </c>
      <c r="AT15" s="24">
        <f t="shared" si="18"/>
        <v>179.60719013356541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" customFormat="1">
      <c r="A16" s="9" t="s">
        <v>84</v>
      </c>
      <c r="B16" s="12"/>
      <c r="C16" s="12"/>
      <c r="D16" s="13"/>
      <c r="E16" s="12"/>
      <c r="F16" s="31" t="s">
        <v>75</v>
      </c>
      <c r="G16" s="19">
        <f>1/D46/G18</f>
        <v>445632.79857397499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4"/>
      <c r="S16" s="24" t="s">
        <v>69</v>
      </c>
      <c r="T16" s="24">
        <f>1*10^-13</f>
        <v>1E-13</v>
      </c>
      <c r="U16" s="24" t="s">
        <v>70</v>
      </c>
      <c r="V16" s="24"/>
      <c r="W16" s="24"/>
      <c r="X16" s="24"/>
      <c r="Y16" s="24">
        <v>14</v>
      </c>
      <c r="Z16" s="24">
        <f t="shared" si="1"/>
        <v>2.365754025012901</v>
      </c>
      <c r="AA16" s="24" t="str">
        <f t="shared" si="10"/>
        <v>14.864470930362i</v>
      </c>
      <c r="AB16" s="24">
        <f t="shared" si="2"/>
        <v>9.0114691425450566</v>
      </c>
      <c r="AC16" s="24"/>
      <c r="AD16" s="24" t="str">
        <f t="shared" si="3"/>
        <v>0.999999795166131-0.000451546395701629i</v>
      </c>
      <c r="AE16" s="24" t="str">
        <f t="shared" si="4"/>
        <v>0.999999999993734-3.44421818236016E-06i</v>
      </c>
      <c r="AF16" s="24" t="str">
        <f t="shared" si="19"/>
        <v>8.33357796794671-0.0037917005321727i</v>
      </c>
      <c r="AG16" s="24">
        <f t="shared" si="5"/>
        <v>8.3335788305409171</v>
      </c>
      <c r="AH16" s="24">
        <f t="shared" si="12"/>
        <v>-4.5499067568677395E-4</v>
      </c>
      <c r="AI16" s="24">
        <f t="shared" si="0"/>
        <v>-2.606904543465775E-2</v>
      </c>
      <c r="AJ16" s="24">
        <f t="shared" si="13"/>
        <v>18.416630958676638</v>
      </c>
      <c r="AK16" s="24"/>
      <c r="AL16" s="24" t="str">
        <f t="shared" si="14"/>
        <v>0.999952841239489-0.00686706171243582i</v>
      </c>
      <c r="AM16" s="24" t="str">
        <f t="shared" si="15"/>
        <v>1.00000000005738+0.0000315364615257516i</v>
      </c>
      <c r="AN16" s="24" t="str">
        <f t="shared" si="16"/>
        <v>-336.154432216663+2.29790047805719i</v>
      </c>
      <c r="AO16" s="24">
        <f t="shared" si="6"/>
        <v>336.16228617367852</v>
      </c>
      <c r="AP16" s="24">
        <f t="shared" si="7"/>
        <v>3.1347569124359795</v>
      </c>
      <c r="AQ16" s="24">
        <f t="shared" si="8"/>
        <v>179.6083408820426</v>
      </c>
      <c r="AR16" s="24">
        <f t="shared" si="9"/>
        <v>50.530979772467731</v>
      </c>
      <c r="AS16" s="24">
        <f t="shared" si="17"/>
        <v>68.947610731144366</v>
      </c>
      <c r="AT16" s="24">
        <f t="shared" si="18"/>
        <v>179.58227183660793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" customFormat="1">
      <c r="A17" s="8" t="s">
        <v>12</v>
      </c>
      <c r="B17" s="14">
        <f>(B5+B6*B25+B10*B6)/(B4)</f>
        <v>0.30451612903225805</v>
      </c>
      <c r="C17" s="21"/>
      <c r="D17" s="13"/>
      <c r="E17" s="12"/>
      <c r="F17" s="8" t="s">
        <v>77</v>
      </c>
      <c r="G17" s="19">
        <f>1/B42/G18</f>
        <v>2164.5021645021648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4"/>
      <c r="S17" s="24" t="s">
        <v>71</v>
      </c>
      <c r="T17" s="24">
        <f>B42</f>
        <v>1400000</v>
      </c>
      <c r="U17" s="25" t="s">
        <v>56</v>
      </c>
      <c r="V17" s="24"/>
      <c r="W17" s="24"/>
      <c r="X17" s="24"/>
      <c r="Y17" s="24">
        <v>15</v>
      </c>
      <c r="Z17" s="24">
        <f t="shared" si="1"/>
        <v>2.5158323722080485</v>
      </c>
      <c r="AA17" s="24" t="str">
        <f t="shared" si="10"/>
        <v>15.8074409963844i</v>
      </c>
      <c r="AB17" s="24">
        <f t="shared" si="2"/>
        <v>9.0114691425450566</v>
      </c>
      <c r="AC17" s="24"/>
      <c r="AD17" s="24" t="str">
        <f t="shared" si="3"/>
        <v>0.999999768353371-0.000480191514945747i</v>
      </c>
      <c r="AE17" s="24" t="str">
        <f t="shared" si="4"/>
        <v>0.999999999992914-0.0000036627119761875i</v>
      </c>
      <c r="AF17" s="24" t="str">
        <f t="shared" si="19"/>
        <v>8.33357774279707-0.00403223775031066i</v>
      </c>
      <c r="AG17" s="24">
        <f t="shared" si="5"/>
        <v>8.3335787183048797</v>
      </c>
      <c r="AH17" s="24">
        <f t="shared" si="12"/>
        <v>-4.8385430124855202E-4</v>
      </c>
      <c r="AI17" s="24">
        <f t="shared" si="0"/>
        <v>-2.7722809360793549E-2</v>
      </c>
      <c r="AJ17" s="24">
        <f t="shared" si="13"/>
        <v>18.416630841695707</v>
      </c>
      <c r="AK17" s="24"/>
      <c r="AL17" s="24" t="str">
        <f t="shared" si="14"/>
        <v>0.999946668484166-0.0073026482582567i</v>
      </c>
      <c r="AM17" s="24" t="str">
        <f t="shared" si="15"/>
        <v>1.00000000006489+0.0000335370668178036i</v>
      </c>
      <c r="AN17" s="24" t="str">
        <f t="shared" si="16"/>
        <v>-336.152366651991+2.44365925727291i</v>
      </c>
      <c r="AO17" s="24">
        <f t="shared" si="6"/>
        <v>336.16124862378206</v>
      </c>
      <c r="AP17" s="24">
        <f t="shared" si="7"/>
        <v>3.134323282746394</v>
      </c>
      <c r="AQ17" s="24">
        <f t="shared" si="8"/>
        <v>179.58349573095776</v>
      </c>
      <c r="AR17" s="24">
        <f t="shared" si="9"/>
        <v>50.530952963815565</v>
      </c>
      <c r="AS17" s="24">
        <f t="shared" si="17"/>
        <v>68.947583805511272</v>
      </c>
      <c r="AT17" s="24">
        <f t="shared" si="18"/>
        <v>179.55577292159697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" customFormat="1">
      <c r="A18" s="8" t="s">
        <v>13</v>
      </c>
      <c r="B18" s="14">
        <f>B8/100*B4</f>
        <v>1.55E-2</v>
      </c>
      <c r="C18" s="19" t="s">
        <v>100</v>
      </c>
      <c r="D18" s="13"/>
      <c r="E18" s="12"/>
      <c r="F18" s="31" t="s">
        <v>94</v>
      </c>
      <c r="G18" s="29">
        <f>D47/1000000000000</f>
        <v>3.3E-10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 t="s">
        <v>72</v>
      </c>
      <c r="T18" s="24">
        <v>0</v>
      </c>
      <c r="U18" s="25" t="s">
        <v>56</v>
      </c>
      <c r="V18" s="24"/>
      <c r="W18" s="24"/>
      <c r="X18" s="24"/>
      <c r="Y18" s="24">
        <v>16</v>
      </c>
      <c r="Z18" s="24">
        <f t="shared" si="1"/>
        <v>2.6754313669678584</v>
      </c>
      <c r="AA18" s="24" t="str">
        <f t="shared" si="10"/>
        <v>16.8102310552998i</v>
      </c>
      <c r="AB18" s="24">
        <f t="shared" si="2"/>
        <v>9.0114691425450566</v>
      </c>
      <c r="AC18" s="24"/>
      <c r="AD18" s="24" t="str">
        <f t="shared" si="3"/>
        <v>0.999999738030822-0.000510653816325053i</v>
      </c>
      <c r="AE18" s="24" t="str">
        <f t="shared" si="4"/>
        <v>0.999999999991986-3.89506654636905E-06i</v>
      </c>
      <c r="AF18" s="24" t="str">
        <f t="shared" si="19"/>
        <v>8.33357748817533-0.00428803411022164i</v>
      </c>
      <c r="AG18" s="24">
        <f t="shared" si="5"/>
        <v>8.3335785913771261</v>
      </c>
      <c r="AH18" s="24">
        <f t="shared" si="12"/>
        <v>-5.1454897225972638E-4</v>
      </c>
      <c r="AI18" s="24">
        <f t="shared" si="0"/>
        <v>-2.9481484463276392E-2</v>
      </c>
      <c r="AJ18" s="24">
        <f t="shared" si="13"/>
        <v>18.416630709401943</v>
      </c>
      <c r="AK18" s="24"/>
      <c r="AL18" s="24" t="str">
        <f t="shared" si="14"/>
        <v>0.99993968780663-0.00776585834334794i</v>
      </c>
      <c r="AM18" s="24" t="str">
        <f t="shared" si="15"/>
        <v>1.00000000007338+0.0000356645862067731i</v>
      </c>
      <c r="AN18" s="24" t="str">
        <f t="shared" si="16"/>
        <v>-336.150030735508+2.59866160335709i</v>
      </c>
      <c r="AO18" s="24">
        <f t="shared" si="6"/>
        <v>336.16007527011851</v>
      </c>
      <c r="AP18" s="24">
        <f t="shared" si="7"/>
        <v>3.1338621475669339</v>
      </c>
      <c r="AQ18" s="24">
        <f t="shared" si="8"/>
        <v>179.5570746313897</v>
      </c>
      <c r="AR18" s="24">
        <f t="shared" si="9"/>
        <v>50.530922646108642</v>
      </c>
      <c r="AS18" s="24">
        <f t="shared" si="17"/>
        <v>68.947553355510593</v>
      </c>
      <c r="AT18" s="24">
        <f t="shared" si="18"/>
        <v>179.52759314692642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" customFormat="1">
      <c r="A19" s="8" t="s">
        <v>14</v>
      </c>
      <c r="B19" s="14">
        <f>(B6*(1-B17)*B17)/(B7*B18)/1000000*1000000</f>
        <v>13.663616528481757</v>
      </c>
      <c r="C19" s="19" t="s">
        <v>108</v>
      </c>
      <c r="D19" s="6">
        <v>330</v>
      </c>
      <c r="E19" s="13" t="s">
        <v>108</v>
      </c>
      <c r="F19" s="35" t="s">
        <v>95</v>
      </c>
      <c r="G19" s="19">
        <f>D48/1000000000000</f>
        <v>1.7999999999999999E-11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4" t="s">
        <v>73</v>
      </c>
      <c r="T19" s="24">
        <f>B13</f>
        <v>1E-3</v>
      </c>
      <c r="U19" s="24"/>
      <c r="V19" s="24"/>
      <c r="W19" s="24"/>
      <c r="X19" s="24"/>
      <c r="Y19" s="24">
        <v>17</v>
      </c>
      <c r="Z19" s="24">
        <f t="shared" si="1"/>
        <v>2.8451549786972743</v>
      </c>
      <c r="AA19" s="24" t="str">
        <f t="shared" si="10"/>
        <v>17.8766359587996i</v>
      </c>
      <c r="AB19" s="24">
        <f t="shared" si="2"/>
        <v>9.0114691425450566</v>
      </c>
      <c r="AC19" s="24"/>
      <c r="AD19" s="24" t="str">
        <f t="shared" si="3"/>
        <v>0.999999703739051-0.000543048577434757i</v>
      </c>
      <c r="AE19" s="24" t="str">
        <f t="shared" si="4"/>
        <v>0.999999999990937-4.14216119074567E-06i</v>
      </c>
      <c r="AF19" s="24" t="str">
        <f t="shared" si="19"/>
        <v>8.33357720022362-0.00456005761458105i</v>
      </c>
      <c r="AG19" s="24">
        <f t="shared" si="5"/>
        <v>8.3335784478345438</v>
      </c>
      <c r="AH19" s="24">
        <f t="shared" si="12"/>
        <v>-5.4719084612761949E-4</v>
      </c>
      <c r="AI19" s="24">
        <f t="shared" si="0"/>
        <v>-3.1351726071305042E-2</v>
      </c>
      <c r="AJ19" s="24">
        <f t="shared" si="13"/>
        <v>18.416630559790942</v>
      </c>
      <c r="AK19" s="24"/>
      <c r="AL19" s="24" t="str">
        <f t="shared" si="14"/>
        <v>0.999931793475429-0.00825844249488249i</v>
      </c>
      <c r="AM19" s="24" t="str">
        <f t="shared" si="15"/>
        <v>1.00000000008299+0.0000379270708500076i</v>
      </c>
      <c r="AN19" s="24" t="str">
        <f t="shared" si="16"/>
        <v>-336.147389086718+2.76349328900311i</v>
      </c>
      <c r="AO19" s="24">
        <f t="shared" si="6"/>
        <v>336.15874833919725</v>
      </c>
      <c r="AP19" s="24">
        <f t="shared" si="7"/>
        <v>3.1333717626254738</v>
      </c>
      <c r="AQ19" s="24">
        <f t="shared" si="8"/>
        <v>179.52897764390727</v>
      </c>
      <c r="AR19" s="24">
        <f t="shared" si="9"/>
        <v>50.530888360067152</v>
      </c>
      <c r="AS19" s="24">
        <f t="shared" si="17"/>
        <v>68.947518919858098</v>
      </c>
      <c r="AT19" s="24">
        <f t="shared" si="18"/>
        <v>179.49762591783596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1" customFormat="1">
      <c r="A20" s="8" t="s">
        <v>15</v>
      </c>
      <c r="B20" s="14">
        <f>B6*SQRT(B17*(1-B17))</f>
        <v>0.92040438110966694</v>
      </c>
      <c r="C20" s="19" t="s">
        <v>101</v>
      </c>
      <c r="D20" s="13"/>
      <c r="E20" s="12"/>
      <c r="F20" s="35" t="s">
        <v>76</v>
      </c>
      <c r="G20" s="19">
        <f>1/D46/D48*1000000000000</f>
        <v>8169934.6405228749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4" t="s">
        <v>74</v>
      </c>
      <c r="T20" s="24">
        <v>0</v>
      </c>
      <c r="U20" s="24"/>
      <c r="V20" s="24"/>
      <c r="W20" s="24"/>
      <c r="X20" s="24"/>
      <c r="Y20" s="24">
        <v>18</v>
      </c>
      <c r="Z20" s="24">
        <f t="shared" si="1"/>
        <v>3.0256454913213009</v>
      </c>
      <c r="AA20" s="24" t="str">
        <f t="shared" si="10"/>
        <v>19.0106912958042i</v>
      </c>
      <c r="AB20" s="24">
        <f t="shared" si="2"/>
        <v>9.0114691425450566</v>
      </c>
      <c r="AC20" s="24"/>
      <c r="AD20" s="24" t="str">
        <f t="shared" si="3"/>
        <v>0.999999664958489-0.000577498388725131i</v>
      </c>
      <c r="AE20" s="24" t="str">
        <f t="shared" si="4"/>
        <v>0.999999999989752-4.40493098792198E-06i</v>
      </c>
      <c r="AF20" s="24" t="str">
        <f t="shared" si="19"/>
        <v>8.33357687457906-0.00484933767316824i</v>
      </c>
      <c r="AG20" s="24">
        <f t="shared" si="5"/>
        <v>8.3335782855022593</v>
      </c>
      <c r="AH20" s="24">
        <f t="shared" si="12"/>
        <v>-5.819034489995997E-4</v>
      </c>
      <c r="AI20" s="24">
        <f t="shared" si="0"/>
        <v>-3.3340611711783208E-2</v>
      </c>
      <c r="AJ20" s="24">
        <f t="shared" si="13"/>
        <v>18.416630390595881</v>
      </c>
      <c r="AK20" s="24"/>
      <c r="AL20" s="24" t="str">
        <f t="shared" si="14"/>
        <v>0.999922865925995-0.00878226191476553i</v>
      </c>
      <c r="AM20" s="24" t="str">
        <f t="shared" si="15"/>
        <v>1.00000000009385+0.0000403330826529598i</v>
      </c>
      <c r="AN20" s="24" t="str">
        <f t="shared" si="16"/>
        <v>-336.144401696201+2.93877712159723i</v>
      </c>
      <c r="AO20" s="24">
        <f t="shared" si="6"/>
        <v>336.1572477318723</v>
      </c>
      <c r="AP20" s="24">
        <f t="shared" si="7"/>
        <v>3.1328502731220254</v>
      </c>
      <c r="AQ20" s="24">
        <f t="shared" si="8"/>
        <v>179.4990984962993</v>
      </c>
      <c r="AR20" s="24">
        <f t="shared" si="9"/>
        <v>50.530849586306928</v>
      </c>
      <c r="AS20" s="24">
        <f t="shared" si="17"/>
        <v>68.947479976902812</v>
      </c>
      <c r="AT20" s="24">
        <f t="shared" si="18"/>
        <v>179.4657578845875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" customFormat="1">
      <c r="A21" s="8"/>
      <c r="B21" s="12"/>
      <c r="C21" s="19"/>
      <c r="D21" s="13"/>
      <c r="E21" s="12"/>
      <c r="F21" s="29"/>
      <c r="G21" s="3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4" t="s">
        <v>75</v>
      </c>
      <c r="T21" s="24">
        <f>G16</f>
        <v>445632.79857397499</v>
      </c>
      <c r="U21" s="24"/>
      <c r="V21" s="24"/>
      <c r="W21" s="24"/>
      <c r="X21" s="24"/>
      <c r="Y21" s="24">
        <v>19</v>
      </c>
      <c r="Z21" s="24">
        <f t="shared" si="1"/>
        <v>3.2175859338757533</v>
      </c>
      <c r="AA21" s="24" t="str">
        <f t="shared" si="10"/>
        <v>20.2166886643158i</v>
      </c>
      <c r="AB21" s="24">
        <f t="shared" si="2"/>
        <v>9.0114691425450566</v>
      </c>
      <c r="AC21" s="24"/>
      <c r="AD21" s="24" t="str">
        <f t="shared" si="3"/>
        <v>0.999999621101552-0.000614133617391518i</v>
      </c>
      <c r="AE21" s="24" t="str">
        <f t="shared" si="4"/>
        <v>0.99999999998841-4.68437033587819E-06i</v>
      </c>
      <c r="AF21" s="24" t="str">
        <f t="shared" si="19"/>
        <v>8.3335765063076-0.00515696899821803i</v>
      </c>
      <c r="AG21" s="24">
        <f t="shared" si="5"/>
        <v>8.3335781019206401</v>
      </c>
      <c r="AH21" s="24">
        <f t="shared" si="12"/>
        <v>-6.1881814321281046E-4</v>
      </c>
      <c r="AI21" s="24">
        <f t="shared" si="0"/>
        <v>-3.5455667892216193E-2</v>
      </c>
      <c r="AJ21" s="24">
        <f t="shared" si="13"/>
        <v>18.416630199253142</v>
      </c>
      <c r="AK21" s="24"/>
      <c r="AL21" s="24" t="str">
        <f t="shared" si="14"/>
        <v>0.99991276995189-0.00933929542465503i</v>
      </c>
      <c r="AM21" s="24" t="str">
        <f t="shared" si="15"/>
        <v>1.00000000010614+0.0000428917266699498i</v>
      </c>
      <c r="AN21" s="24" t="str">
        <f t="shared" si="16"/>
        <v>-336.141023320365+3.12517526720628i</v>
      </c>
      <c r="AO21" s="24">
        <f t="shared" si="6"/>
        <v>336.15555071917663</v>
      </c>
      <c r="AP21" s="24">
        <f t="shared" si="7"/>
        <v>3.1322957067424144</v>
      </c>
      <c r="AQ21" s="24">
        <f t="shared" si="8"/>
        <v>179.46732418328773</v>
      </c>
      <c r="AR21" s="24">
        <f t="shared" si="9"/>
        <v>50.530805737476371</v>
      </c>
      <c r="AS21" s="24">
        <f t="shared" si="17"/>
        <v>68.947435936729505</v>
      </c>
      <c r="AT21" s="24">
        <f t="shared" si="18"/>
        <v>179.43186851539551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" customFormat="1">
      <c r="A22" s="9" t="s">
        <v>86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4" t="s">
        <v>76</v>
      </c>
      <c r="T22" s="24">
        <f>G20</f>
        <v>8169934.6405228749</v>
      </c>
      <c r="U22" s="24"/>
      <c r="V22" s="24"/>
      <c r="W22" s="24"/>
      <c r="X22" s="24"/>
      <c r="Y22" s="24">
        <v>20</v>
      </c>
      <c r="Z22" s="24">
        <f t="shared" si="1"/>
        <v>3.42170266528945</v>
      </c>
      <c r="AA22" s="24" t="str">
        <f t="shared" si="10"/>
        <v>21.4991919120839i</v>
      </c>
      <c r="AB22" s="24">
        <f t="shared" si="2"/>
        <v>9.0114691425450566</v>
      </c>
      <c r="AC22" s="24"/>
      <c r="AD22" s="24" t="str">
        <f t="shared" si="3"/>
        <v>0.999999571503744-0.000653092900688077i</v>
      </c>
      <c r="AE22" s="24" t="str">
        <f t="shared" si="4"/>
        <v>0.999999999986892-4.98153671506373E-06i</v>
      </c>
      <c r="AF22" s="24" t="str">
        <f t="shared" si="19"/>
        <v>8.33357608982944-0.00548411574684784i</v>
      </c>
      <c r="AG22" s="24">
        <f t="shared" si="5"/>
        <v>8.3335778943082097</v>
      </c>
      <c r="AH22" s="24">
        <f t="shared" si="12"/>
        <v>-6.5807462439640689E-4</v>
      </c>
      <c r="AI22" s="24">
        <f t="shared" si="0"/>
        <v>-3.7704898582570992E-2</v>
      </c>
      <c r="AJ22" s="24">
        <f t="shared" si="13"/>
        <v>18.416629982863654</v>
      </c>
      <c r="AK22" s="24"/>
      <c r="AL22" s="24" t="str">
        <f t="shared" si="14"/>
        <v>0.999901352659824-0.00993164683618145i</v>
      </c>
      <c r="AM22" s="24" t="str">
        <f t="shared" si="15"/>
        <v>1.00000000012003+0.0000456126855603614i</v>
      </c>
      <c r="AN22" s="24" t="str">
        <f t="shared" si="16"/>
        <v>-336.137202797129+3.323391716848i</v>
      </c>
      <c r="AO22" s="24">
        <f t="shared" si="6"/>
        <v>336.1536315983837</v>
      </c>
      <c r="AP22" s="24">
        <f t="shared" si="7"/>
        <v>3.1317059662338891</v>
      </c>
      <c r="AQ22" s="24">
        <f t="shared" si="8"/>
        <v>179.43353454114134</v>
      </c>
      <c r="AR22" s="24">
        <f t="shared" si="9"/>
        <v>50.530756149364684</v>
      </c>
      <c r="AS22" s="24">
        <f t="shared" si="17"/>
        <v>68.947386132228331</v>
      </c>
      <c r="AT22" s="24">
        <f t="shared" si="18"/>
        <v>179.39582964255877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" customFormat="1">
      <c r="A23" s="8" t="s">
        <v>97</v>
      </c>
      <c r="B23" s="14">
        <f>B5/B6</f>
        <v>1.65</v>
      </c>
      <c r="C23" s="37" t="s">
        <v>56</v>
      </c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 t="s">
        <v>77</v>
      </c>
      <c r="T23" s="24">
        <f>G17</f>
        <v>2164.5021645021648</v>
      </c>
      <c r="U23" s="24"/>
      <c r="V23" s="24"/>
      <c r="W23" s="24"/>
      <c r="X23" s="24"/>
      <c r="Y23" s="24">
        <v>21</v>
      </c>
      <c r="Z23" s="24">
        <f t="shared" si="1"/>
        <v>3.6387681231394358</v>
      </c>
      <c r="AA23" s="24" t="str">
        <f t="shared" si="10"/>
        <v>22.8630544075431i</v>
      </c>
      <c r="AB23" s="24">
        <f t="shared" si="2"/>
        <v>9.0114691425450566</v>
      </c>
      <c r="AC23" s="24"/>
      <c r="AD23" s="24" t="str">
        <f t="shared" si="3"/>
        <v>0.999999515413586-0.000694523670530963i</v>
      </c>
      <c r="AE23" s="24" t="str">
        <f t="shared" si="4"/>
        <v>0.999999999985177-5.29755469021325E-06i</v>
      </c>
      <c r="AF23" s="24" t="str">
        <f t="shared" si="19"/>
        <v>8.33357561883431-0.00583201592622658i</v>
      </c>
      <c r="AG23" s="24">
        <f t="shared" si="5"/>
        <v>8.3335776595193138</v>
      </c>
      <c r="AH23" s="24">
        <f t="shared" si="12"/>
        <v>-6.9982145010710338E-4</v>
      </c>
      <c r="AI23" s="24">
        <f t="shared" si="0"/>
        <v>-4.009681550386214E-2</v>
      </c>
      <c r="AJ23" s="24">
        <f t="shared" si="13"/>
        <v>18.416629738148778</v>
      </c>
      <c r="AK23" s="24"/>
      <c r="AL23" s="24" t="str">
        <f t="shared" si="14"/>
        <v>0.999888441157706-0.0105615527702279i</v>
      </c>
      <c r="AM23" s="24" t="str">
        <f t="shared" si="15"/>
        <v>1.00000000013574+0.0000485062562306636i</v>
      </c>
      <c r="AN23" s="24" t="str">
        <f t="shared" si="16"/>
        <v>-336.1328822723+3.53417490302928i</v>
      </c>
      <c r="AO23" s="24">
        <f t="shared" si="6"/>
        <v>336.15146130417031</v>
      </c>
      <c r="AP23" s="24">
        <f t="shared" si="7"/>
        <v>3.1310788215159087</v>
      </c>
      <c r="AQ23" s="24">
        <f t="shared" si="8"/>
        <v>179.39760179565712</v>
      </c>
      <c r="AR23" s="24">
        <f t="shared" si="9"/>
        <v>50.530700070848496</v>
      </c>
      <c r="AS23" s="24">
        <f t="shared" si="17"/>
        <v>68.947329808997267</v>
      </c>
      <c r="AT23" s="24">
        <f t="shared" si="18"/>
        <v>179.35750498015327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" customFormat="1">
      <c r="A24" s="8" t="s">
        <v>98</v>
      </c>
      <c r="B24" s="14">
        <f>(B5*(1-B17))/(B7*B9*B6)*100/1000000*1000000</f>
        <v>1.9125806451612899</v>
      </c>
      <c r="C24" s="19" t="s">
        <v>109</v>
      </c>
      <c r="D24" s="6">
        <v>4.7</v>
      </c>
      <c r="E24" s="13" t="s">
        <v>109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 t="s">
        <v>78</v>
      </c>
      <c r="T24" s="24">
        <f>D47</f>
        <v>330</v>
      </c>
      <c r="U24" s="24" t="s">
        <v>70</v>
      </c>
      <c r="V24" s="24"/>
      <c r="W24" s="24"/>
      <c r="X24" s="24"/>
      <c r="Y24" s="24">
        <v>22</v>
      </c>
      <c r="Z24" s="24">
        <f t="shared" si="1"/>
        <v>3.8696037467813236</v>
      </c>
      <c r="AA24" s="24" t="str">
        <f t="shared" si="10"/>
        <v>24.3134374063835i</v>
      </c>
      <c r="AB24" s="24">
        <f t="shared" si="2"/>
        <v>9.0114691425450566</v>
      </c>
      <c r="AC24" s="24"/>
      <c r="AD24" s="24" t="str">
        <f t="shared" si="3"/>
        <v>0.999999451981231-0.000738582711374861i</v>
      </c>
      <c r="AE24" s="24" t="str">
        <f t="shared" si="4"/>
        <v>0.999999999983236-5.63362016602958E-06i</v>
      </c>
      <c r="AF24" s="24" t="str">
        <f t="shared" si="19"/>
        <v>8.33357508618595-0.00620198607814475i</v>
      </c>
      <c r="AG24" s="24">
        <f t="shared" si="5"/>
        <v>8.3335773939965598</v>
      </c>
      <c r="AH24" s="24">
        <f t="shared" si="12"/>
        <v>-7.4421660199811392E-4</v>
      </c>
      <c r="AI24" s="24">
        <f t="shared" si="0"/>
        <v>-4.2640470338059275E-2</v>
      </c>
      <c r="AJ24" s="24">
        <f t="shared" si="13"/>
        <v>18.416629461400728</v>
      </c>
      <c r="AK24" s="24"/>
      <c r="AL24" s="24" t="str">
        <f t="shared" si="14"/>
        <v>0.999873839940967-0.0112313909500185i</v>
      </c>
      <c r="AM24" s="24" t="str">
        <f t="shared" si="15"/>
        <v>1.00000000015351+0.0000515833888009264i</v>
      </c>
      <c r="AN24" s="24" t="str">
        <f t="shared" si="16"/>
        <v>-336.127996324959+3.75832047483277i</v>
      </c>
      <c r="AO24" s="24">
        <f t="shared" si="6"/>
        <v>336.14900696896785</v>
      </c>
      <c r="AP24" s="24">
        <f t="shared" si="7"/>
        <v>3.1304119012978746</v>
      </c>
      <c r="AQ24" s="24">
        <f t="shared" si="8"/>
        <v>179.35939008189183</v>
      </c>
      <c r="AR24" s="24">
        <f t="shared" si="9"/>
        <v>50.530636652523775</v>
      </c>
      <c r="AS24" s="24">
        <f t="shared" si="17"/>
        <v>68.947266113924499</v>
      </c>
      <c r="AT24" s="24">
        <f t="shared" si="18"/>
        <v>179.31674961155377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" customFormat="1">
      <c r="A25" s="8" t="s">
        <v>17</v>
      </c>
      <c r="B25" s="4">
        <v>0.06</v>
      </c>
      <c r="C25" s="37" t="s">
        <v>56</v>
      </c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4" t="s">
        <v>79</v>
      </c>
      <c r="T25" s="24">
        <f>D48</f>
        <v>18</v>
      </c>
      <c r="U25" s="24" t="s">
        <v>70</v>
      </c>
      <c r="V25" s="24"/>
      <c r="W25" s="24"/>
      <c r="X25" s="24"/>
      <c r="Y25" s="24">
        <v>23</v>
      </c>
      <c r="Z25" s="24">
        <f t="shared" si="1"/>
        <v>4.1150830859167291</v>
      </c>
      <c r="AA25" s="24" t="str">
        <f t="shared" si="10"/>
        <v>25.8558295832552i</v>
      </c>
      <c r="AB25" s="24">
        <f t="shared" si="2"/>
        <v>9.0114691425450566</v>
      </c>
      <c r="AC25" s="24"/>
      <c r="AD25" s="24" t="str">
        <f t="shared" si="3"/>
        <v>0.999999380245586-0.000785436753472261i</v>
      </c>
      <c r="AE25" s="24" t="str">
        <f t="shared" si="4"/>
        <v>0.999999999981042-5.99100491283774E-06i</v>
      </c>
      <c r="AF25" s="24" t="str">
        <f t="shared" si="19"/>
        <v>8.33357448381398-0.00659542626069862i</v>
      </c>
      <c r="AG25" s="24">
        <f t="shared" si="5"/>
        <v>8.3335770937168991</v>
      </c>
      <c r="AH25" s="24">
        <f t="shared" si="12"/>
        <v>-7.9142808364826664E-4</v>
      </c>
      <c r="AI25" s="24">
        <f t="shared" si="0"/>
        <v>-4.5345488981172362E-2</v>
      </c>
      <c r="AJ25" s="24">
        <f t="shared" si="13"/>
        <v>18.41662914842637</v>
      </c>
      <c r="AK25" s="24"/>
      <c r="AL25" s="24" t="str">
        <f t="shared" si="14"/>
        <v>0.999857327937908-0.0119436889935739i</v>
      </c>
      <c r="AM25" s="24" t="str">
        <f t="shared" si="15"/>
        <v>1.0000000001736+0.0000548557280432848i</v>
      </c>
      <c r="AN25" s="24" t="str">
        <f t="shared" si="16"/>
        <v>-336.122470978757+3.99667424010522i</v>
      </c>
      <c r="AO25" s="24">
        <f t="shared" si="6"/>
        <v>336.14623142591802</v>
      </c>
      <c r="AP25" s="24">
        <f t="shared" si="7"/>
        <v>3.1297026841740276</v>
      </c>
      <c r="AQ25" s="24">
        <f t="shared" si="8"/>
        <v>179.31875493393702</v>
      </c>
      <c r="AR25" s="24">
        <f t="shared" si="9"/>
        <v>50.530564933852453</v>
      </c>
      <c r="AS25" s="24">
        <f t="shared" si="17"/>
        <v>68.947194082278827</v>
      </c>
      <c r="AT25" s="24">
        <f t="shared" si="18"/>
        <v>179.27340944495583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" customFormat="1" ht="39" customHeight="1">
      <c r="A26" s="53" t="s">
        <v>112</v>
      </c>
      <c r="B26" s="53"/>
      <c r="C26" s="53"/>
      <c r="D26" s="53"/>
      <c r="E26" s="5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4"/>
      <c r="T26" s="24"/>
      <c r="U26" s="24"/>
      <c r="V26" s="24"/>
      <c r="W26" s="24"/>
      <c r="X26" s="24"/>
      <c r="Y26" s="24">
        <v>24</v>
      </c>
      <c r="Z26" s="24">
        <f t="shared" si="1"/>
        <v>4.376135106361553</v>
      </c>
      <c r="AA26" s="24" t="str">
        <f t="shared" si="10"/>
        <v>27.4960678025237i</v>
      </c>
      <c r="AB26" s="24">
        <f t="shared" si="2"/>
        <v>9.0114691425450566</v>
      </c>
      <c r="AC26" s="24"/>
      <c r="AD26" s="24" t="str">
        <f t="shared" si="3"/>
        <v>0.999999299119753-0.000835263103758634i</v>
      </c>
      <c r="AE26" s="24" t="str">
        <f t="shared" si="4"/>
        <v>0.99999999997856-6.37106137933698E-06i</v>
      </c>
      <c r="AF26" s="24" t="str">
        <f t="shared" si="19"/>
        <v>8.33357380259158-0.00701382534592443i</v>
      </c>
      <c r="AG26" s="24">
        <f t="shared" si="5"/>
        <v>8.3335767541306467</v>
      </c>
      <c r="AH26" s="24">
        <f t="shared" si="12"/>
        <v>-8.4163455631305569E-4</v>
      </c>
      <c r="AI26" s="24">
        <f t="shared" si="0"/>
        <v>-4.8222107969103707E-2</v>
      </c>
      <c r="AJ26" s="24">
        <f t="shared" si="13"/>
        <v>18.416628794483675</v>
      </c>
      <c r="AK26" s="24"/>
      <c r="AL26" s="24" t="str">
        <f t="shared" si="14"/>
        <v>0.999838655169772-0.012701133731809i</v>
      </c>
      <c r="AM26" s="24" t="str">
        <f t="shared" si="15"/>
        <v>1.00000000019633+0.0000583356574491735i</v>
      </c>
      <c r="AN26" s="24" t="str">
        <f t="shared" si="16"/>
        <v>-336.116222584296+4.2501352835396i</v>
      </c>
      <c r="AO26" s="24">
        <f t="shared" si="6"/>
        <v>336.14309264696249</v>
      </c>
      <c r="AP26" s="24">
        <f t="shared" si="7"/>
        <v>3.1289484891641473</v>
      </c>
      <c r="AQ26" s="24">
        <f t="shared" si="8"/>
        <v>179.27554274294104</v>
      </c>
      <c r="AR26" s="24">
        <f t="shared" si="9"/>
        <v>50.530483828629954</v>
      </c>
      <c r="AS26" s="24">
        <f t="shared" si="17"/>
        <v>68.947112623113625</v>
      </c>
      <c r="AT26" s="24">
        <f t="shared" si="18"/>
        <v>179.22732063497193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1" customFormat="1">
      <c r="A27" s="9" t="s">
        <v>18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4"/>
      <c r="T27" s="24"/>
      <c r="U27" s="24"/>
      <c r="V27" s="24"/>
      <c r="W27" s="24"/>
      <c r="X27" s="24"/>
      <c r="Y27" s="24">
        <v>25</v>
      </c>
      <c r="Z27" s="24">
        <f t="shared" si="1"/>
        <v>4.6537477055250784</v>
      </c>
      <c r="AA27" s="24" t="str">
        <f t="shared" si="10"/>
        <v>29.2403592066759i</v>
      </c>
      <c r="AB27" s="24">
        <f t="shared" si="2"/>
        <v>9.0114691425450566</v>
      </c>
      <c r="AC27" s="24"/>
      <c r="AD27" s="24" t="str">
        <f t="shared" si="3"/>
        <v>0.99999920737456-0.000888250316748438i</v>
      </c>
      <c r="AE27" s="24" t="str">
        <f t="shared" si="4"/>
        <v>0.999999999975753-6.77522781066312E-06i</v>
      </c>
      <c r="AF27" s="24" t="str">
        <f t="shared" si="19"/>
        <v>8.33357303219725-0.00745876665340944i</v>
      </c>
      <c r="AG27" s="24">
        <f t="shared" si="5"/>
        <v>8.3335763700925707</v>
      </c>
      <c r="AH27" s="24">
        <f t="shared" si="12"/>
        <v>-8.950260150026076E-4</v>
      </c>
      <c r="AI27" s="24">
        <f t="shared" si="0"/>
        <v>-5.1281213214062114E-2</v>
      </c>
      <c r="AJ27" s="24">
        <f t="shared" si="13"/>
        <v>18.416628394209869</v>
      </c>
      <c r="AK27" s="24"/>
      <c r="AL27" s="24" t="str">
        <f t="shared" si="14"/>
        <v>0.999817538975528-0.01350658107912i</v>
      </c>
      <c r="AM27" s="24" t="str">
        <f t="shared" si="15"/>
        <v>1.00000000022203+0.0000620363460920889i</v>
      </c>
      <c r="AN27" s="24" t="str">
        <f t="shared" si="16"/>
        <v>-336.10915655583+4.51965926963456i</v>
      </c>
      <c r="AO27" s="24">
        <f t="shared" si="6"/>
        <v>336.1395431075984</v>
      </c>
      <c r="AP27" s="24">
        <f t="shared" si="7"/>
        <v>3.1281464656670677</v>
      </c>
      <c r="AQ27" s="24">
        <f t="shared" si="8"/>
        <v>179.22959018148805</v>
      </c>
      <c r="AR27" s="24">
        <f t="shared" si="9"/>
        <v>50.530392108554068</v>
      </c>
      <c r="AS27" s="24">
        <f t="shared" si="17"/>
        <v>68.947020502763934</v>
      </c>
      <c r="AT27" s="24">
        <f t="shared" si="18"/>
        <v>179.178308968274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1" customFormat="1">
      <c r="A28" s="10" t="s">
        <v>87</v>
      </c>
      <c r="B28" s="4">
        <v>0.3</v>
      </c>
      <c r="C28" s="21" t="s">
        <v>101</v>
      </c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6"/>
      <c r="T28" s="24"/>
      <c r="U28" s="24"/>
      <c r="V28" s="24"/>
      <c r="W28" s="24"/>
      <c r="X28" s="24"/>
      <c r="Y28" s="24">
        <v>26</v>
      </c>
      <c r="Z28" s="24">
        <f t="shared" si="1"/>
        <v>4.9489714509035139</v>
      </c>
      <c r="AA28" s="24" t="str">
        <f t="shared" si="10"/>
        <v>31.0953047059682i</v>
      </c>
      <c r="AB28" s="24">
        <f t="shared" si="2"/>
        <v>9.0114691425450566</v>
      </c>
      <c r="AC28" s="24"/>
      <c r="AD28" s="24" t="str">
        <f t="shared" si="3"/>
        <v>0.999999103619937-0.00094459890797799i</v>
      </c>
      <c r="AE28" s="24" t="str">
        <f t="shared" si="4"/>
        <v>0.999999999972579-7.20503369113016E-06i</v>
      </c>
      <c r="AF28" s="24" t="str">
        <f t="shared" si="19"/>
        <v>8.33357216095845-0.00793193394117513i</v>
      </c>
      <c r="AG28" s="24">
        <f t="shared" si="5"/>
        <v>8.3335759357839727</v>
      </c>
      <c r="AH28" s="24">
        <f t="shared" si="12"/>
        <v>-9.5180450744413337E-4</v>
      </c>
      <c r="AI28" s="24">
        <f t="shared" si="0"/>
        <v>-5.4534381198076985E-2</v>
      </c>
      <c r="AJ28" s="24">
        <f t="shared" si="13"/>
        <v>18.416627941540277</v>
      </c>
      <c r="AK28" s="24"/>
      <c r="AL28" s="24" t="str">
        <f t="shared" si="14"/>
        <v>0.999793659744884-0.0143630664837024i</v>
      </c>
      <c r="AM28" s="24" t="str">
        <f t="shared" si="15"/>
        <v>1.00000000025109+0.0000659717984632264i</v>
      </c>
      <c r="AN28" s="24" t="str">
        <f t="shared" si="16"/>
        <v>-336.101165943433+4.80626193964759i</v>
      </c>
      <c r="AO28" s="24">
        <f t="shared" si="6"/>
        <v>336.13552906880818</v>
      </c>
      <c r="AP28" s="24">
        <f t="shared" si="7"/>
        <v>3.1272935827923685</v>
      </c>
      <c r="AQ28" s="24">
        <f t="shared" si="8"/>
        <v>179.18072359234881</v>
      </c>
      <c r="AR28" s="24">
        <f t="shared" si="9"/>
        <v>50.530288384648841</v>
      </c>
      <c r="AS28" s="24">
        <f t="shared" si="17"/>
        <v>68.946916326189125</v>
      </c>
      <c r="AT28" s="24">
        <f t="shared" si="18"/>
        <v>179.12618921115074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" customFormat="1">
      <c r="A29" s="8" t="s">
        <v>89</v>
      </c>
      <c r="B29" s="14">
        <f>B12/100*B5</f>
        <v>3.3000000000000002E-2</v>
      </c>
      <c r="C29" s="19" t="s">
        <v>100</v>
      </c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 t="s">
        <v>80</v>
      </c>
      <c r="T29" s="36">
        <f>D24</f>
        <v>4.7</v>
      </c>
      <c r="U29" s="24"/>
      <c r="V29" s="24"/>
      <c r="W29" s="24"/>
      <c r="X29" s="24"/>
      <c r="Y29" s="24">
        <v>27</v>
      </c>
      <c r="Z29" s="24">
        <f t="shared" si="1"/>
        <v>5.2629235557355134</v>
      </c>
      <c r="AA29" s="24" t="str">
        <f t="shared" si="10"/>
        <v>33.0679239582067i</v>
      </c>
      <c r="AB29" s="24">
        <f t="shared" si="2"/>
        <v>9.0114691425450566</v>
      </c>
      <c r="AC29" s="24"/>
      <c r="AD29" s="24" t="str">
        <f t="shared" si="3"/>
        <v>0.999998986283853-0.00100452211269152i</v>
      </c>
      <c r="AE29" s="24" t="str">
        <f t="shared" si="4"/>
        <v>0.99999999996899-7.66210553224742E-06i</v>
      </c>
      <c r="AF29" s="24" t="str">
        <f t="shared" si="19"/>
        <v>8.33357117567465-0.00843511777647396i</v>
      </c>
      <c r="AG29" s="24">
        <f t="shared" si="5"/>
        <v>8.3335754446244295</v>
      </c>
      <c r="AH29" s="24">
        <f t="shared" si="12"/>
        <v>-1.0121848986484245E-3</v>
      </c>
      <c r="AI29" s="24">
        <f t="shared" si="0"/>
        <v>-5.799392277943171E-2</v>
      </c>
      <c r="AJ29" s="24">
        <f t="shared" si="13"/>
        <v>18.416627429616256</v>
      </c>
      <c r="AK29" s="24"/>
      <c r="AL29" s="24" t="str">
        <f t="shared" si="14"/>
        <v>0.999766656095879-0.0152738159849949i</v>
      </c>
      <c r="AM29" s="24" t="str">
        <f t="shared" si="15"/>
        <v>1.00000000028396+0.000070156907468582i</v>
      </c>
      <c r="AN29" s="24" t="str">
        <f t="shared" si="16"/>
        <v>-336.092129819293+5.11102281170835i</v>
      </c>
      <c r="AO29" s="24">
        <f t="shared" si="6"/>
        <v>336.13098976537452</v>
      </c>
      <c r="AP29" s="24">
        <f t="shared" si="7"/>
        <v>3.1263866180339281</v>
      </c>
      <c r="AQ29" s="24">
        <f t="shared" si="8"/>
        <v>179.12875833952307</v>
      </c>
      <c r="AR29" s="24">
        <f t="shared" si="9"/>
        <v>50.530171086263309</v>
      </c>
      <c r="AS29" s="24">
        <f t="shared" si="17"/>
        <v>68.946798515879564</v>
      </c>
      <c r="AT29" s="24">
        <f t="shared" si="18"/>
        <v>179.07076441674363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" customFormat="1">
      <c r="A30" s="8" t="s">
        <v>96</v>
      </c>
      <c r="B30" s="17">
        <f>(D24*B28^2)/(B5*B29*2)/1000000*1000000</f>
        <v>1.9421487603305787</v>
      </c>
      <c r="C30" s="19" t="s">
        <v>108</v>
      </c>
      <c r="D30" s="6">
        <v>20</v>
      </c>
      <c r="E30" s="13" t="s">
        <v>108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" t="s">
        <v>81</v>
      </c>
      <c r="T30" s="24">
        <f>B5</f>
        <v>3.3</v>
      </c>
      <c r="U30" s="24"/>
      <c r="V30" s="24"/>
      <c r="W30" s="24"/>
      <c r="X30" s="24"/>
      <c r="Y30" s="24">
        <v>28</v>
      </c>
      <c r="Z30" s="24">
        <f t="shared" si="1"/>
        <v>5.5967921068647417</v>
      </c>
      <c r="AA30" s="24" t="str">
        <f t="shared" si="10"/>
        <v>35.1656819331912i</v>
      </c>
      <c r="AB30" s="24">
        <f t="shared" si="2"/>
        <v>9.0114691425450566</v>
      </c>
      <c r="AC30" s="24"/>
      <c r="AD30" s="24" t="str">
        <f t="shared" si="3"/>
        <v>0.999998853588502-0.00106824669263728i</v>
      </c>
      <c r="AE30" s="24" t="str">
        <f t="shared" si="4"/>
        <v>0.999999999964931-8.14817302791612E-06i</v>
      </c>
      <c r="AF30" s="24" t="str">
        <f t="shared" si="19"/>
        <v>8.33357006141743-0.00897022231057322i</v>
      </c>
      <c r="AG30" s="24">
        <f t="shared" si="5"/>
        <v>8.3335748891721835</v>
      </c>
      <c r="AH30" s="24">
        <f t="shared" si="12"/>
        <v>-1.0763956839722844E-3</v>
      </c>
      <c r="AI30" s="24">
        <f t="shared" si="0"/>
        <v>-6.1672929777709447E-2</v>
      </c>
      <c r="AJ30" s="24">
        <f t="shared" si="13"/>
        <v>18.416626850681428</v>
      </c>
      <c r="AK30" s="24"/>
      <c r="AL30" s="24" t="str">
        <f t="shared" si="14"/>
        <v>0.999736119425174-0.0162422579054867i</v>
      </c>
      <c r="AM30" s="24" t="str">
        <f t="shared" si="15"/>
        <v>1.00000000032113+0.0000746075107880763i</v>
      </c>
      <c r="AN30" s="24" t="str">
        <f t="shared" si="16"/>
        <v>-336.081911454091+5.43508909320681i</v>
      </c>
      <c r="AO30" s="24">
        <f t="shared" si="6"/>
        <v>336.12585648843884</v>
      </c>
      <c r="AP30" s="24">
        <f t="shared" si="7"/>
        <v>3.1254221452473625</v>
      </c>
      <c r="AQ30" s="24">
        <f t="shared" si="8"/>
        <v>179.07349811939764</v>
      </c>
      <c r="AR30" s="24">
        <f t="shared" si="9"/>
        <v>50.530038437329509</v>
      </c>
      <c r="AS30" s="24">
        <f t="shared" si="17"/>
        <v>68.946665288010934</v>
      </c>
      <c r="AT30" s="24">
        <f t="shared" si="18"/>
        <v>179.01182518961994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1" customFormat="1">
      <c r="A31" s="8" t="s">
        <v>19</v>
      </c>
      <c r="B31" s="4">
        <v>7.0000000000000001E-3</v>
      </c>
      <c r="C31" s="37" t="s">
        <v>56</v>
      </c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4"/>
      <c r="T31" s="24"/>
      <c r="U31" s="24"/>
      <c r="V31" s="24"/>
      <c r="W31" s="24"/>
      <c r="X31" s="24"/>
      <c r="Y31" s="24">
        <v>29</v>
      </c>
      <c r="Z31" s="24">
        <f t="shared" si="1"/>
        <v>5.9518405608089449</v>
      </c>
      <c r="AA31" s="24" t="str">
        <f t="shared" si="10"/>
        <v>37.3965171623503i</v>
      </c>
      <c r="AB31" s="24">
        <f t="shared" si="2"/>
        <v>9.0114691425450566</v>
      </c>
      <c r="AC31" s="24"/>
      <c r="AD31" s="24" t="str">
        <f t="shared" si="3"/>
        <v>0.999998703523365-0.00113601379402186i</v>
      </c>
      <c r="AE31" s="24" t="str">
        <f t="shared" si="4"/>
        <v>0.99999999996034-8.66507560009837E-06i</v>
      </c>
      <c r="AF31" s="24" t="str">
        <f t="shared" si="19"/>
        <v>8.33356880130422-0.00953927248312183i</v>
      </c>
      <c r="AG31" s="24">
        <f t="shared" si="5"/>
        <v>8.3335742610113321</v>
      </c>
      <c r="AH31" s="24">
        <f t="shared" si="12"/>
        <v>-1.144679853752194E-3</v>
      </c>
      <c r="AI31" s="24">
        <f t="shared" si="0"/>
        <v>-6.5585324513653023E-2</v>
      </c>
      <c r="AJ31" s="24">
        <f t="shared" si="13"/>
        <v>18.416626195964081</v>
      </c>
      <c r="AK31" s="24"/>
      <c r="AL31" s="24" t="str">
        <f t="shared" si="14"/>
        <v>0.999701587750055-0.0172720352035879i</v>
      </c>
      <c r="AM31" s="24" t="str">
        <f t="shared" si="15"/>
        <v>1.00000000036317+0.0000793404508099801i</v>
      </c>
      <c r="AN31" s="24" t="str">
        <f t="shared" si="16"/>
        <v>-336.070356256383+5.77967981439077i</v>
      </c>
      <c r="AO31" s="24">
        <f t="shared" si="6"/>
        <v>336.12005154862305</v>
      </c>
      <c r="AP31" s="24">
        <f t="shared" si="7"/>
        <v>3.1243965218917138</v>
      </c>
      <c r="AQ31" s="24">
        <f t="shared" si="8"/>
        <v>179.01473422974891</v>
      </c>
      <c r="AR31" s="24">
        <f t="shared" si="9"/>
        <v>50.529888429524341</v>
      </c>
      <c r="AS31" s="24">
        <f t="shared" si="17"/>
        <v>68.946514625488419</v>
      </c>
      <c r="AT31" s="24">
        <f t="shared" si="18"/>
        <v>178.94914890523526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1" customFormat="1">
      <c r="A32" s="8" t="s">
        <v>20</v>
      </c>
      <c r="B32" s="14">
        <f>(B5*(1-B17))/(B7*D24)/8/D30/B7</f>
        <v>7.6299759780370624E-4</v>
      </c>
      <c r="C32" s="19" t="s">
        <v>100</v>
      </c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4"/>
      <c r="T32" s="24"/>
      <c r="U32" s="24"/>
      <c r="V32" s="24"/>
      <c r="W32" s="24"/>
      <c r="X32" s="24"/>
      <c r="Y32" s="24">
        <v>30</v>
      </c>
      <c r="Z32" s="24">
        <f t="shared" si="1"/>
        <v>6.3294125250499764</v>
      </c>
      <c r="AA32" s="24" t="str">
        <f t="shared" si="10"/>
        <v>39.7688717804725i</v>
      </c>
      <c r="AB32" s="24">
        <f t="shared" si="2"/>
        <v>9.0114691425450566</v>
      </c>
      <c r="AC32" s="24"/>
      <c r="AD32" s="24" t="str">
        <f t="shared" si="3"/>
        <v>0.999998533814746-0.00120807985986322i</v>
      </c>
      <c r="AE32" s="24" t="str">
        <f t="shared" si="4"/>
        <v>0.99999999995515-9.21476935972946E-06i</v>
      </c>
      <c r="AF32" s="24" t="str">
        <f t="shared" si="19"/>
        <v>8.33356737624259-0.010144421683311i</v>
      </c>
      <c r="AG32" s="24">
        <f t="shared" si="5"/>
        <v>8.3335735506243704</v>
      </c>
      <c r="AH32" s="24">
        <f t="shared" si="12"/>
        <v>-1.217295812778994E-3</v>
      </c>
      <c r="AI32" s="24">
        <f t="shared" si="0"/>
        <v>-6.9745912491183573E-2</v>
      </c>
      <c r="AJ32" s="24">
        <f t="shared" si="13"/>
        <v>18.416625455544324</v>
      </c>
      <c r="AK32" s="24"/>
      <c r="AL32" s="24" t="str">
        <f t="shared" si="14"/>
        <v>0.99966253875084-0.0183670185132236i</v>
      </c>
      <c r="AM32" s="24" t="str">
        <f t="shared" si="15"/>
        <v>1.00000000041071+0.0000843736383674513i</v>
      </c>
      <c r="AN32" s="24" t="str">
        <f t="shared" si="16"/>
        <v>-336.057289444398+6.1460901917592i</v>
      </c>
      <c r="AO32" s="24">
        <f t="shared" si="6"/>
        <v>336.11348710422368</v>
      </c>
      <c r="AP32" s="24">
        <f t="shared" si="7"/>
        <v>3.1233058754941654</v>
      </c>
      <c r="AQ32" s="24">
        <f t="shared" si="8"/>
        <v>178.95224479422825</v>
      </c>
      <c r="AR32" s="24">
        <f t="shared" si="9"/>
        <v>50.529718791931721</v>
      </c>
      <c r="AS32" s="24">
        <f t="shared" si="17"/>
        <v>68.946344247476048</v>
      </c>
      <c r="AT32" s="24">
        <f t="shared" si="18"/>
        <v>178.88249888173706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1" customFormat="1">
      <c r="A33" s="8" t="s">
        <v>21</v>
      </c>
      <c r="B33" s="14">
        <f>(B5*(1-B17))/(B7*D24)*B31</f>
        <v>1.7091146190803021E-3</v>
      </c>
      <c r="C33" s="19" t="s">
        <v>100</v>
      </c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24"/>
      <c r="U33" s="24"/>
      <c r="V33" s="24"/>
      <c r="W33" s="24"/>
      <c r="X33" s="24"/>
      <c r="Y33" s="24">
        <v>31</v>
      </c>
      <c r="Z33" s="24">
        <f t="shared" si="1"/>
        <v>6.7309368426385694</v>
      </c>
      <c r="AA33" s="24" t="str">
        <f t="shared" si="10"/>
        <v>42.2917234732204i</v>
      </c>
      <c r="AB33" s="24">
        <f t="shared" si="2"/>
        <v>9.0114691425450566</v>
      </c>
      <c r="AC33" s="24"/>
      <c r="AD33" s="24" t="str">
        <f t="shared" si="3"/>
        <v>0.999998341891329-0.00128471760018787i</v>
      </c>
      <c r="AE33" s="24" t="str">
        <f t="shared" si="4"/>
        <v>0.999999999949279-9.79933450921519E-06i</v>
      </c>
      <c r="AF33" s="24" t="str">
        <f t="shared" si="19"/>
        <v>8.33356576464088-0.0107879598967604i</v>
      </c>
      <c r="AG33" s="24">
        <f t="shared" si="5"/>
        <v>8.3335727472479206</v>
      </c>
      <c r="AH33" s="24">
        <f t="shared" si="12"/>
        <v>-1.2945183580908742E-3</v>
      </c>
      <c r="AI33" s="24">
        <f t="shared" si="0"/>
        <v>-7.4170438420812071E-2</v>
      </c>
      <c r="AJ33" s="24">
        <f t="shared" si="13"/>
        <v>18.41662461820372</v>
      </c>
      <c r="AK33" s="24"/>
      <c r="AL33" s="24" t="str">
        <f t="shared" si="14"/>
        <v>0.999618381910825-0.0195313198941725i</v>
      </c>
      <c r="AM33" s="24" t="str">
        <f t="shared" si="15"/>
        <v>1.00000000046447+0.0000897261205183801i</v>
      </c>
      <c r="AN33" s="24" t="str">
        <f t="shared" si="16"/>
        <v>-336.042513415871+6.53569622928972i</v>
      </c>
      <c r="AO33" s="24">
        <f t="shared" si="6"/>
        <v>336.10606383708313</v>
      </c>
      <c r="AP33" s="24">
        <f t="shared" si="7"/>
        <v>3.122146089295033</v>
      </c>
      <c r="AQ33" s="24">
        <f t="shared" si="8"/>
        <v>178.88579393988044</v>
      </c>
      <c r="AR33" s="24">
        <f t="shared" si="9"/>
        <v>50.529526956752129</v>
      </c>
      <c r="AS33" s="24">
        <f t="shared" si="17"/>
        <v>68.946151574955849</v>
      </c>
      <c r="AT33" s="24">
        <f t="shared" si="18"/>
        <v>178.81162350145962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1" customFormat="1">
      <c r="A34" s="8"/>
      <c r="B34" s="12"/>
      <c r="C34" s="19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4"/>
      <c r="S34" s="24"/>
      <c r="T34" s="24"/>
      <c r="U34" s="24"/>
      <c r="V34" s="24"/>
      <c r="W34" s="24"/>
      <c r="X34" s="24"/>
      <c r="Y34" s="24">
        <v>32</v>
      </c>
      <c r="Z34" s="24">
        <f t="shared" si="1"/>
        <v>7.1579329993555039</v>
      </c>
      <c r="AA34" s="24" t="str">
        <f t="shared" si="10"/>
        <v>44.9746194513264i</v>
      </c>
      <c r="AB34" s="24">
        <f t="shared" si="2"/>
        <v>9.0114691425450566</v>
      </c>
      <c r="AC34" s="24"/>
      <c r="AD34" s="24" t="str">
        <f t="shared" si="3"/>
        <v>0.999998124845215-0.00136621702373477i</v>
      </c>
      <c r="AE34" s="24" t="str">
        <f t="shared" si="4"/>
        <v>0.999999999942639-0.0000104209832145281i</v>
      </c>
      <c r="AF34" s="24" t="str">
        <f t="shared" si="19"/>
        <v>8.33356394208116-0.0114723223688857i</v>
      </c>
      <c r="AG34" s="24">
        <f t="shared" si="5"/>
        <v>8.3335718387097266</v>
      </c>
      <c r="AH34" s="24">
        <f t="shared" si="12"/>
        <v>-1.3766397187818984E-3</v>
      </c>
      <c r="AI34" s="24">
        <f t="shared" si="0"/>
        <v>-7.8875645796279301E-2</v>
      </c>
      <c r="AJ34" s="24">
        <f t="shared" si="13"/>
        <v>18.41662367125538</v>
      </c>
      <c r="AK34" s="24"/>
      <c r="AL34" s="24" t="str">
        <f t="shared" si="14"/>
        <v>0.99956844963795-0.0207693073147648i</v>
      </c>
      <c r="AM34" s="24" t="str">
        <f t="shared" si="15"/>
        <v>1.00000000052527+0.0000954181526250421i</v>
      </c>
      <c r="AN34" s="24" t="str">
        <f t="shared" si="16"/>
        <v>-336.025804777116+6.94995956473284i</v>
      </c>
      <c r="AO34" s="24">
        <f t="shared" si="6"/>
        <v>336.09766945645407</v>
      </c>
      <c r="AP34" s="24">
        <f t="shared" si="7"/>
        <v>3.1209127870288964</v>
      </c>
      <c r="AQ34" s="24">
        <f t="shared" si="8"/>
        <v>178.8151309251669</v>
      </c>
      <c r="AR34" s="24">
        <f t="shared" si="9"/>
        <v>50.529310020546284</v>
      </c>
      <c r="AS34" s="24">
        <f t="shared" si="17"/>
        <v>68.945933691801656</v>
      </c>
      <c r="AT34" s="24">
        <f t="shared" si="18"/>
        <v>178.73625527937062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1" customFormat="1">
      <c r="A35" s="11" t="s">
        <v>22</v>
      </c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4"/>
      <c r="S35" s="24"/>
      <c r="T35" s="24"/>
      <c r="U35" s="24"/>
      <c r="V35" s="24"/>
      <c r="W35" s="24"/>
      <c r="X35" s="24"/>
      <c r="Y35" s="24">
        <v>33</v>
      </c>
      <c r="Z35" s="24">
        <f t="shared" si="1"/>
        <v>7.6120168738914558</v>
      </c>
      <c r="AA35" s="24" t="str">
        <f t="shared" si="10"/>
        <v>47.8277125800379i</v>
      </c>
      <c r="AB35" s="24">
        <f t="shared" si="2"/>
        <v>9.0114691425450566</v>
      </c>
      <c r="AC35" s="24"/>
      <c r="AD35" s="24" t="str">
        <f t="shared" si="3"/>
        <v>0.999997879387866-0.00145288653505966i</v>
      </c>
      <c r="AE35" s="24" t="str">
        <f t="shared" si="4"/>
        <v>0.999999999935131-0.0000110820679766918i</v>
      </c>
      <c r="AF35" s="24" t="str">
        <f t="shared" si="19"/>
        <v>8.33356188094923-0.0122000988174423i</v>
      </c>
      <c r="AG35" s="24">
        <f t="shared" si="5"/>
        <v>8.3335708112441935</v>
      </c>
      <c r="AH35" s="24">
        <f t="shared" si="12"/>
        <v>-1.4639706617573889E-3</v>
      </c>
      <c r="AI35" s="24">
        <f t="shared" si="0"/>
        <v>-8.3879340249672571E-2</v>
      </c>
      <c r="AJ35" s="24">
        <f t="shared" si="13"/>
        <v>18.416622600351694</v>
      </c>
      <c r="AK35" s="24"/>
      <c r="AL35" s="24" t="str">
        <f t="shared" si="14"/>
        <v>0.99951198723783-0.022085619885212i</v>
      </c>
      <c r="AM35" s="24" t="str">
        <f t="shared" si="15"/>
        <v>1.00000000059402+0.000101471275006331i</v>
      </c>
      <c r="AN35" s="24" t="str">
        <f t="shared" si="16"/>
        <v>-336.006910987736+7.39043256708754i</v>
      </c>
      <c r="AO35" s="24">
        <f t="shared" si="6"/>
        <v>336.0881770087264</v>
      </c>
      <c r="AP35" s="24">
        <f t="shared" si="7"/>
        <v>3.1196013167965178</v>
      </c>
      <c r="AQ35" s="24">
        <f t="shared" si="8"/>
        <v>178.73998921589455</v>
      </c>
      <c r="AR35" s="24">
        <f t="shared" si="9"/>
        <v>50.529064700434894</v>
      </c>
      <c r="AS35" s="24">
        <f t="shared" si="17"/>
        <v>68.945687300786588</v>
      </c>
      <c r="AT35" s="24">
        <f t="shared" si="18"/>
        <v>178.65610987564489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1" customFormat="1">
      <c r="A36" s="8" t="s">
        <v>90</v>
      </c>
      <c r="B36" s="13" t="s">
        <v>82</v>
      </c>
      <c r="C36" s="37" t="s">
        <v>56</v>
      </c>
      <c r="D36" s="6">
        <v>31.6</v>
      </c>
      <c r="E36" s="37" t="s">
        <v>56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4"/>
      <c r="S36" s="24"/>
      <c r="T36" s="24"/>
      <c r="U36" s="24"/>
      <c r="V36" s="24"/>
      <c r="W36" s="24"/>
      <c r="X36" s="24"/>
      <c r="Y36" s="24">
        <v>34</v>
      </c>
      <c r="Z36" s="24">
        <f t="shared" si="1"/>
        <v>8.0949068528058863</v>
      </c>
      <c r="AA36" s="24" t="str">
        <f t="shared" si="10"/>
        <v>50.8617998005373i</v>
      </c>
      <c r="AB36" s="24">
        <f t="shared" si="2"/>
        <v>9.0114691425450566</v>
      </c>
      <c r="AC36" s="24"/>
      <c r="AD36" s="24" t="str">
        <f t="shared" si="3"/>
        <v>0.999997601800281-0.00154505410117885i</v>
      </c>
      <c r="AE36" s="24" t="str">
        <f t="shared" si="4"/>
        <v>0.999999999926639-0.0000117850905343357i</v>
      </c>
      <c r="AF36" s="24" t="str">
        <f t="shared" si="19"/>
        <v>8.33355955001622-0.0129740432290028i</v>
      </c>
      <c r="AG36" s="24">
        <f t="shared" si="5"/>
        <v>8.3335696492838078</v>
      </c>
      <c r="AH36" s="24">
        <f t="shared" ref="AH36:AH67" si="20">IMARGUMENT(AF36)</f>
        <v>-1.5568416676166E-3</v>
      </c>
      <c r="AI36" s="24">
        <f t="shared" si="0"/>
        <v>-8.9200456924540109E-2</v>
      </c>
      <c r="AJ36" s="24">
        <f t="shared" ref="AJ36:AJ67" si="21">20*LOG(AG36,10)</f>
        <v>18.416621389266961</v>
      </c>
      <c r="AK36" s="24"/>
      <c r="AL36" s="24" t="str">
        <f t="shared" ref="AL36:AL67" si="22">IMDIV(1,IMSUM(1,IMDIV(AA36,wp2e)))</f>
        <v>0.999448141591577-0.0234851838553562i</v>
      </c>
      <c r="AM36" s="24" t="str">
        <f t="shared" ref="AM36:AM67" si="23">IMDIV(IMSUM(1,IMDIV(AA36,wz2e)),IMSUM(1,IMDIV(AA36,wp1e)))</f>
        <v>1.00000000067178+0.000107908394452638i</v>
      </c>
      <c r="AN36" s="24" t="str">
        <f t="shared" ref="AN36:AN67" si="24">IMPRODUCT($AK$2,AL36,AM36)</f>
        <v>-335.985546571941+7.85876368987228i</v>
      </c>
      <c r="AO36" s="24">
        <f t="shared" si="6"/>
        <v>336.07744296810398</v>
      </c>
      <c r="AP36" s="24">
        <f t="shared" si="7"/>
        <v>3.1182067339812125</v>
      </c>
      <c r="AQ36" s="24">
        <f t="shared" si="8"/>
        <v>178.66008550639609</v>
      </c>
      <c r="AR36" s="24">
        <f t="shared" si="9"/>
        <v>50.528787284603283</v>
      </c>
      <c r="AS36" s="24">
        <f t="shared" ref="AS36:AS67" si="25">AR36+AJ36</f>
        <v>68.945408673870247</v>
      </c>
      <c r="AT36" s="24">
        <f t="shared" ref="AT36:AT67" si="26">AQ36+AI36</f>
        <v>178.57088504947154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1" customFormat="1">
      <c r="A37" s="8" t="s">
        <v>91</v>
      </c>
      <c r="B37" s="42">
        <f>D36*(B5/0.8-1)</f>
        <v>98.749999999999972</v>
      </c>
      <c r="C37" s="37" t="s">
        <v>56</v>
      </c>
      <c r="D37" s="6">
        <v>100</v>
      </c>
      <c r="E37" s="37" t="s">
        <v>56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4"/>
      <c r="S37" s="24"/>
      <c r="T37" s="24"/>
      <c r="U37" s="24"/>
      <c r="V37" s="24"/>
      <c r="W37" s="24"/>
      <c r="X37" s="24"/>
      <c r="Y37" s="24">
        <v>35</v>
      </c>
      <c r="Z37" s="24">
        <f t="shared" si="1"/>
        <v>8.6084303334057619</v>
      </c>
      <c r="AA37" s="24" t="str">
        <f t="shared" si="10"/>
        <v>54.0883629887341i</v>
      </c>
      <c r="AB37" s="24">
        <f t="shared" si="2"/>
        <v>9.0114691425450566</v>
      </c>
      <c r="AC37" s="24"/>
      <c r="AD37" s="24" t="str">
        <f t="shared" si="3"/>
        <v>0.999997287876651-0.0016430684921519i</v>
      </c>
      <c r="AE37" s="24" t="str">
        <f t="shared" si="4"/>
        <v>0.999999999917036-0.0000125327113310068i</v>
      </c>
      <c r="AF37" s="24" t="str">
        <f t="shared" si="19"/>
        <v>8.33355691396552-0.0137970842763089i</v>
      </c>
      <c r="AG37" s="24">
        <f t="shared" si="5"/>
        <v>8.3335683352233367</v>
      </c>
      <c r="AH37" s="24">
        <f t="shared" si="20"/>
        <v>-1.6556041811070261E-3</v>
      </c>
      <c r="AI37" s="24">
        <f t="shared" si="0"/>
        <v>-9.4859132121645373E-2</v>
      </c>
      <c r="AJ37" s="24">
        <f t="shared" si="21"/>
        <v>18.416620019651585</v>
      </c>
      <c r="AK37" s="24"/>
      <c r="AL37" s="24" t="str">
        <f t="shared" si="22"/>
        <v>0.999375948373666-0.0249732293847245i</v>
      </c>
      <c r="AM37" s="24" t="str">
        <f t="shared" si="23"/>
        <v>1.00000000075972+0.000114753870911868i</v>
      </c>
      <c r="AN37" s="24" t="str">
        <f t="shared" si="24"/>
        <v>-335.961388841296+8.35670308282928i</v>
      </c>
      <c r="AO37" s="24">
        <f t="shared" si="6"/>
        <v>336.06530508010951</v>
      </c>
      <c r="AP37" s="24">
        <f t="shared" si="7"/>
        <v>3.1167237831626933</v>
      </c>
      <c r="AQ37" s="24">
        <f t="shared" si="8"/>
        <v>178.57511868326947</v>
      </c>
      <c r="AR37" s="24">
        <f t="shared" si="9"/>
        <v>50.52847357637426</v>
      </c>
      <c r="AS37" s="24">
        <f t="shared" si="25"/>
        <v>68.945093596025842</v>
      </c>
      <c r="AT37" s="24">
        <f t="shared" si="26"/>
        <v>178.48025955114781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" customFormat="1">
      <c r="A38" s="8" t="s">
        <v>23</v>
      </c>
      <c r="B38" s="15">
        <f>D37*0.8/D36+0.8</f>
        <v>3.3316455696202532</v>
      </c>
      <c r="C38" s="19" t="s">
        <v>100</v>
      </c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4"/>
      <c r="S38" s="24"/>
      <c r="T38" s="24"/>
      <c r="U38" s="24"/>
      <c r="V38" s="24"/>
      <c r="W38" s="24"/>
      <c r="X38" s="24"/>
      <c r="Y38" s="24">
        <v>36</v>
      </c>
      <c r="Z38" s="24">
        <f t="shared" si="1"/>
        <v>9.1545306391529166</v>
      </c>
      <c r="AA38" s="24" t="str">
        <f t="shared" si="10"/>
        <v>57.519612406051i</v>
      </c>
      <c r="AB38" s="24">
        <f t="shared" si="2"/>
        <v>9.0114691425450566</v>
      </c>
      <c r="AC38" s="24"/>
      <c r="AD38" s="24" t="str">
        <f t="shared" si="3"/>
        <v>0.999996932860637-0.0017473006002797i</v>
      </c>
      <c r="AE38" s="24" t="str">
        <f t="shared" si="4"/>
        <v>0.999999999906176-0.0000133277595830687i</v>
      </c>
      <c r="AF38" s="24" t="str">
        <f t="shared" si="19"/>
        <v>8.33355393285761-0.0146723363957697i</v>
      </c>
      <c r="AG38" s="24">
        <f t="shared" si="5"/>
        <v>8.3335668491529997</v>
      </c>
      <c r="AH38" s="24">
        <f t="shared" si="20"/>
        <v>-1.7606319408768503E-3</v>
      </c>
      <c r="AI38" s="24">
        <f t="shared" si="0"/>
        <v>-0.10087677948817021</v>
      </c>
      <c r="AJ38" s="24">
        <f t="shared" si="21"/>
        <v>18.416618470753974</v>
      </c>
      <c r="AK38" s="24"/>
      <c r="AL38" s="24" t="str">
        <f t="shared" si="22"/>
        <v>0.999294317624888-0.026555308085161i</v>
      </c>
      <c r="AM38" s="24" t="str">
        <f t="shared" si="23"/>
        <v>1.00000000085917+0.000122033609674629i</v>
      </c>
      <c r="AN38" s="24" t="str">
        <f t="shared" si="24"/>
        <v>-335.934073067067+8.8861084621544i</v>
      </c>
      <c r="AO38" s="24">
        <f t="shared" si="6"/>
        <v>336.05157992640164</v>
      </c>
      <c r="AP38" s="24">
        <f t="shared" si="7"/>
        <v>3.1151468789811587</v>
      </c>
      <c r="AQ38" s="24">
        <f t="shared" si="8"/>
        <v>178.48476872897101</v>
      </c>
      <c r="AR38" s="24">
        <f t="shared" si="9"/>
        <v>50.528118831022525</v>
      </c>
      <c r="AS38" s="24">
        <f t="shared" si="25"/>
        <v>68.944737301776499</v>
      </c>
      <c r="AT38" s="24">
        <f t="shared" si="26"/>
        <v>178.38389194948283</v>
      </c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" customFormat="1">
      <c r="A39" s="8"/>
      <c r="B39" s="12"/>
      <c r="C39" s="19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4"/>
      <c r="S39" s="24"/>
      <c r="T39" s="24"/>
      <c r="U39" s="24"/>
      <c r="V39" s="24"/>
      <c r="W39" s="24"/>
      <c r="X39" s="24"/>
      <c r="Y39" s="24">
        <v>37</v>
      </c>
      <c r="Z39" s="24">
        <f t="shared" si="1"/>
        <v>9.7352743737700074</v>
      </c>
      <c r="AA39" s="24" t="str">
        <f t="shared" si="10"/>
        <v>61.1685329066337i</v>
      </c>
      <c r="AB39" s="24">
        <f t="shared" si="2"/>
        <v>9.0114691425450566</v>
      </c>
      <c r="AC39" s="24"/>
      <c r="AD39" s="24" t="str">
        <f t="shared" si="3"/>
        <v>0.999996531373312-0.00185814484288772i</v>
      </c>
      <c r="AE39" s="24" t="str">
        <f t="shared" si="4"/>
        <v>0.999999999893895-0.0000141732439862861i</v>
      </c>
      <c r="AF39" s="24" t="str">
        <f t="shared" si="19"/>
        <v>8.33355056152509-0.0156031115668353i</v>
      </c>
      <c r="AG39" s="24">
        <f t="shared" si="5"/>
        <v>8.3335651685569552</v>
      </c>
      <c r="AH39" s="24">
        <f t="shared" si="20"/>
        <v>-1.8723223935495823E-3</v>
      </c>
      <c r="AI39" s="24">
        <f t="shared" si="0"/>
        <v>-0.10727617103822343</v>
      </c>
      <c r="AJ39" s="24">
        <f t="shared" si="21"/>
        <v>18.416616719106269</v>
      </c>
      <c r="AK39" s="24"/>
      <c r="AL39" s="24" t="str">
        <f t="shared" si="22"/>
        <v>0.999202017472931-0.0282373113266095i</v>
      </c>
      <c r="AM39" s="24" t="str">
        <f t="shared" si="23"/>
        <v>1.00000000097163+0.000129775159407439i</v>
      </c>
      <c r="AN39" s="24" t="str">
        <f t="shared" si="24"/>
        <v>-335.903187032697+9.44895123609739i</v>
      </c>
      <c r="AO39" s="24">
        <f t="shared" si="6"/>
        <v>336.03606017537044</v>
      </c>
      <c r="AP39" s="24">
        <f t="shared" si="7"/>
        <v>3.1134700859046882</v>
      </c>
      <c r="AQ39" s="24">
        <f t="shared" si="8"/>
        <v>178.38869556257248</v>
      </c>
      <c r="AR39" s="24">
        <f t="shared" si="9"/>
        <v>50.527717684396258</v>
      </c>
      <c r="AS39" s="24">
        <f t="shared" si="25"/>
        <v>68.944334403502523</v>
      </c>
      <c r="AT39" s="24">
        <f t="shared" si="26"/>
        <v>178.28141939153426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>
      <c r="A40" s="11" t="s">
        <v>24</v>
      </c>
      <c r="B40" s="12"/>
      <c r="D40" s="13"/>
      <c r="Y40" s="24">
        <v>38</v>
      </c>
      <c r="Z40" s="24">
        <f t="shared" si="1"/>
        <v>10.352859241875105</v>
      </c>
      <c r="AA40" s="24" t="str">
        <f t="shared" si="10"/>
        <v>65.0489330758481i</v>
      </c>
      <c r="AB40" s="24">
        <f t="shared" si="2"/>
        <v>9.0114691425450566</v>
      </c>
      <c r="AD40" s="24" t="str">
        <f t="shared" si="3"/>
        <v>0.999996077331663-0.00197602065397652i</v>
      </c>
      <c r="AE40" s="24" t="str">
        <f t="shared" si="4"/>
        <v>0.999999999880006-0.0000150723641016121i</v>
      </c>
      <c r="AF40" s="24" t="str">
        <f t="shared" si="19"/>
        <v>8.33354674888821-0.0165929318376031i</v>
      </c>
      <c r="AG40" s="24">
        <f t="shared" si="5"/>
        <v>8.3335632679720053</v>
      </c>
      <c r="AH40" s="24">
        <f t="shared" si="20"/>
        <v>-1.9910981974639134E-3</v>
      </c>
      <c r="AI40" s="24">
        <f t="shared" si="0"/>
        <v>-0.11408152331078804</v>
      </c>
      <c r="AJ40" s="24">
        <f t="shared" si="21"/>
        <v>18.416614738168619</v>
      </c>
      <c r="AL40" s="24" t="str">
        <f t="shared" si="22"/>
        <v>0.99909765576812-0.0300254892843893i</v>
      </c>
      <c r="AM40" s="24" t="str">
        <f t="shared" si="23"/>
        <v>1.00000000109882+0.00013800781640497i</v>
      </c>
      <c r="AN40" s="24" t="str">
        <f t="shared" si="24"/>
        <v>-335.868264888658+10.0473228786859i</v>
      </c>
      <c r="AO40" s="24">
        <f t="shared" si="6"/>
        <v>336.01851147867774</v>
      </c>
      <c r="AP40" s="24">
        <f t="shared" si="7"/>
        <v>3.111687096853974</v>
      </c>
      <c r="AQ40" s="24">
        <f t="shared" si="8"/>
        <v>178.28653781504855</v>
      </c>
      <c r="AR40" s="24">
        <f t="shared" si="9"/>
        <v>50.527264072296205</v>
      </c>
      <c r="AS40" s="24">
        <f t="shared" si="25"/>
        <v>68.943878810464824</v>
      </c>
      <c r="AT40" s="24">
        <f t="shared" si="26"/>
        <v>178.17245629173775</v>
      </c>
    </row>
    <row r="41" spans="1:71" s="1" customFormat="1">
      <c r="A41" s="8" t="s">
        <v>8</v>
      </c>
      <c r="B41" s="4">
        <v>70000</v>
      </c>
      <c r="C41" s="19" t="s">
        <v>102</v>
      </c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4"/>
      <c r="S41" s="24"/>
      <c r="T41" s="24"/>
      <c r="U41" s="24"/>
      <c r="V41" s="24"/>
      <c r="W41" s="24"/>
      <c r="X41" s="24"/>
      <c r="Y41" s="24">
        <v>39</v>
      </c>
      <c r="Z41" s="24">
        <f t="shared" si="1"/>
        <v>11.009622365740512</v>
      </c>
      <c r="AA41" s="24" t="str">
        <f t="shared" si="10"/>
        <v>69.1754974860165i</v>
      </c>
      <c r="AB41" s="24">
        <f t="shared" si="2"/>
        <v>9.0114691425450566</v>
      </c>
      <c r="AC41" s="24"/>
      <c r="AD41" s="24" t="str">
        <f t="shared" si="3"/>
        <v>0.999995563856434-0.00210137407035206i</v>
      </c>
      <c r="AE41" s="24" t="str">
        <f t="shared" si="4"/>
        <v>0.999999999864299-0.0000160285224632649i</v>
      </c>
      <c r="AF41" s="24" t="str">
        <f t="shared" si="19"/>
        <v>8.33354243718113-0.0176455426437831i</v>
      </c>
      <c r="AG41" s="24">
        <f t="shared" si="5"/>
        <v>8.3335611186019385</v>
      </c>
      <c r="AH41" s="24">
        <f t="shared" si="20"/>
        <v>-2.1174088217579519E-3</v>
      </c>
      <c r="AI41" s="24">
        <f t="shared" si="0"/>
        <v>-0.12131858899049905</v>
      </c>
      <c r="AJ41" s="24">
        <f t="shared" si="21"/>
        <v>18.416612497927197</v>
      </c>
      <c r="AK41" s="24"/>
      <c r="AL41" s="24" t="str">
        <f t="shared" si="22"/>
        <v>0.998979659374223-0.0319264706910179i</v>
      </c>
      <c r="AM41" s="24" t="str">
        <f t="shared" si="23"/>
        <v>1.00000000124265+0.000146762735455811i</v>
      </c>
      <c r="AN41" s="24" t="str">
        <f t="shared" si="24"/>
        <v>-335.828780222597+10.6834415392091i</v>
      </c>
      <c r="AO41" s="24">
        <f t="shared" si="6"/>
        <v>335.99866896896935</v>
      </c>
      <c r="AP41" s="24">
        <f t="shared" si="7"/>
        <v>3.109791210640227</v>
      </c>
      <c r="AQ41" s="24">
        <f t="shared" si="8"/>
        <v>178.17791153656378</v>
      </c>
      <c r="AR41" s="24">
        <f t="shared" si="9"/>
        <v>50.526751139429209</v>
      </c>
      <c r="AS41" s="24">
        <f t="shared" si="25"/>
        <v>68.943363637356413</v>
      </c>
      <c r="AT41" s="24">
        <f t="shared" si="26"/>
        <v>178.05659294757328</v>
      </c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>
      <c r="A42" s="8" t="s">
        <v>16</v>
      </c>
      <c r="B42" s="16">
        <v>1400000</v>
      </c>
      <c r="C42" s="37" t="s">
        <v>56</v>
      </c>
      <c r="D42" s="13"/>
      <c r="Y42" s="24">
        <v>40</v>
      </c>
      <c r="Z42" s="24">
        <f t="shared" si="1"/>
        <v>11.708049129648925</v>
      </c>
      <c r="AA42" s="24" t="str">
        <f t="shared" si="10"/>
        <v>73.5638422671469i</v>
      </c>
      <c r="AB42" s="24">
        <f t="shared" si="2"/>
        <v>9.0114691425450566</v>
      </c>
      <c r="AD42" s="24" t="str">
        <f t="shared" si="3"/>
        <v>0.999994983167905-0.00223467941819969i</v>
      </c>
      <c r="AE42" s="24" t="str">
        <f t="shared" si="4"/>
        <v>0.999999999846535-0.0000170453374549154i</v>
      </c>
      <c r="AF42" s="24" t="str">
        <f t="shared" si="19"/>
        <v>8.33353756107668-0.0187649269711051i</v>
      </c>
      <c r="AG42" s="24">
        <f t="shared" si="5"/>
        <v>8.333558687881192</v>
      </c>
      <c r="AH42" s="24">
        <f t="shared" si="20"/>
        <v>-2.2517322468369274E-3</v>
      </c>
      <c r="AI42" s="24">
        <f t="shared" si="0"/>
        <v>-0.12901475433726606</v>
      </c>
      <c r="AJ42" s="24">
        <f t="shared" si="21"/>
        <v>18.416609964439424</v>
      </c>
      <c r="AL42" s="24" t="str">
        <f t="shared" si="22"/>
        <v>0.998846250823688-0.0339472832366629i</v>
      </c>
      <c r="AM42" s="24" t="str">
        <f t="shared" si="23"/>
        <v>1.00000000140532+0.000156073047741325i</v>
      </c>
      <c r="AN42" s="24" t="str">
        <f t="shared" si="24"/>
        <v>-335.784138247592+11.3596588687511i</v>
      </c>
      <c r="AO42" s="24">
        <f t="shared" si="6"/>
        <v>335.97623330868566</v>
      </c>
      <c r="AP42" s="24">
        <f t="shared" si="7"/>
        <v>3.1077753081749506</v>
      </c>
      <c r="AQ42" s="24">
        <f t="shared" si="8"/>
        <v>178.06240883339342</v>
      </c>
      <c r="AR42" s="24">
        <f t="shared" si="9"/>
        <v>50.52617113660888</v>
      </c>
      <c r="AS42" s="24">
        <f t="shared" si="25"/>
        <v>68.942781101048297</v>
      </c>
      <c r="AT42" s="24">
        <f t="shared" si="26"/>
        <v>177.93339407905614</v>
      </c>
    </row>
    <row r="43" spans="1:71" s="1" customFormat="1">
      <c r="A43" s="8" t="s">
        <v>28</v>
      </c>
      <c r="B43" s="4">
        <v>7000</v>
      </c>
      <c r="C43" s="19" t="s">
        <v>102</v>
      </c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4"/>
      <c r="S43" s="24"/>
      <c r="T43" s="24"/>
      <c r="U43" s="24"/>
      <c r="V43" s="24"/>
      <c r="W43" s="24"/>
      <c r="X43" s="24"/>
      <c r="Y43" s="24">
        <v>41</v>
      </c>
      <c r="Z43" s="24">
        <f t="shared" si="1"/>
        <v>12.4507825853165</v>
      </c>
      <c r="AA43" s="24" t="str">
        <f t="shared" si="10"/>
        <v>78.2305742029481i</v>
      </c>
      <c r="AB43" s="24">
        <f t="shared" si="2"/>
        <v>9.0114691425450566</v>
      </c>
      <c r="AC43" s="24"/>
      <c r="AD43" s="24" t="str">
        <f t="shared" si="3"/>
        <v>0.999994326468029-0.00237644110643782i</v>
      </c>
      <c r="AE43" s="24" t="str">
        <f t="shared" si="4"/>
        <v>0.999999999826446-0.0000181266570027121i</v>
      </c>
      <c r="AF43" s="24" t="str">
        <f t="shared" si="19"/>
        <v>8.33353204669672-0.0199553204143686i</v>
      </c>
      <c r="AG43" s="24">
        <f t="shared" si="5"/>
        <v>8.3335559389815135</v>
      </c>
      <c r="AH43" s="24">
        <f t="shared" si="20"/>
        <v>-2.3945767726433272E-3</v>
      </c>
      <c r="AI43" s="24">
        <f t="shared" si="0"/>
        <v>-0.13719914279252032</v>
      </c>
      <c r="AJ43" s="24">
        <f t="shared" si="21"/>
        <v>18.416607099319723</v>
      </c>
      <c r="AK43" s="24"/>
      <c r="AL43" s="24" t="str">
        <f t="shared" si="22"/>
        <v>0.998695422013173-0.0360953745388911i</v>
      </c>
      <c r="AM43" s="24" t="str">
        <f t="shared" si="23"/>
        <v>1.00000000158927+0.000165973986213757i</v>
      </c>
      <c r="AN43" s="24" t="str">
        <f t="shared" si="24"/>
        <v>-335.733666999965+12.0784670372258i</v>
      </c>
      <c r="AO43" s="24">
        <f t="shared" si="6"/>
        <v>335.95086623375852</v>
      </c>
      <c r="AP43" s="24">
        <f t="shared" si="7"/>
        <v>3.105631827414443</v>
      </c>
      <c r="AQ43" s="24">
        <f t="shared" si="8"/>
        <v>177.93959643234885</v>
      </c>
      <c r="AR43" s="24">
        <f t="shared" si="9"/>
        <v>50.525515304708335</v>
      </c>
      <c r="AS43" s="24">
        <f t="shared" si="25"/>
        <v>68.942122404028055</v>
      </c>
      <c r="AT43" s="24">
        <f t="shared" si="26"/>
        <v>177.80239728955632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" customFormat="1">
      <c r="A44" s="8" t="s">
        <v>29</v>
      </c>
      <c r="B44" s="4">
        <v>500000</v>
      </c>
      <c r="C44" s="19" t="s">
        <v>102</v>
      </c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4"/>
      <c r="S44" s="24"/>
      <c r="T44" s="24"/>
      <c r="U44" s="24"/>
      <c r="V44" s="24"/>
      <c r="W44" s="24"/>
      <c r="X44" s="24"/>
      <c r="Y44" s="24">
        <v>42</v>
      </c>
      <c r="Z44" s="24">
        <f t="shared" si="1"/>
        <v>13.240633453975693</v>
      </c>
      <c r="AA44" s="24" t="str">
        <f t="shared" si="10"/>
        <v>83.1933535757706i</v>
      </c>
      <c r="AB44" s="24">
        <f t="shared" si="2"/>
        <v>9.0114691425450566</v>
      </c>
      <c r="AC44" s="24"/>
      <c r="AD44" s="24" t="str">
        <f t="shared" si="3"/>
        <v>0.999993583807146-0.00252719553358211i</v>
      </c>
      <c r="AE44" s="24" t="str">
        <f t="shared" si="4"/>
        <v>0.999999999803728-0.0000192765731369623i</v>
      </c>
      <c r="AF44" s="24" t="str">
        <f t="shared" si="19"/>
        <v>8.33352581049289-0.0212212271896588i</v>
      </c>
      <c r="AG44" s="24">
        <f t="shared" si="5"/>
        <v>8.3335528302540105</v>
      </c>
      <c r="AH44" s="24">
        <f t="shared" si="20"/>
        <v>-2.5464829415543749E-3</v>
      </c>
      <c r="AI44" s="24">
        <f t="shared" si="0"/>
        <v>-0.14590272515312477</v>
      </c>
      <c r="AJ44" s="24">
        <f t="shared" si="21"/>
        <v>18.416603859157991</v>
      </c>
      <c r="AK44" s="24"/>
      <c r="AL44" s="24" t="str">
        <f t="shared" si="22"/>
        <v>0.998524904578517-0.0383786335736556i</v>
      </c>
      <c r="AM44" s="24" t="str">
        <f t="shared" si="23"/>
        <v>1.00000000179731+0.000176503018928053i</v>
      </c>
      <c r="AN44" s="24" t="str">
        <f t="shared" si="24"/>
        <v>-335.676607426005+12.8425059047556i</v>
      </c>
      <c r="AO44" s="24">
        <f t="shared" si="6"/>
        <v>335.92218552954483</v>
      </c>
      <c r="AP44" s="24">
        <f t="shared" si="7"/>
        <v>3.1033527370076484</v>
      </c>
      <c r="AQ44" s="24">
        <f t="shared" si="8"/>
        <v>177.80901417091079</v>
      </c>
      <c r="AR44" s="24">
        <f t="shared" si="9"/>
        <v>50.524773743691597</v>
      </c>
      <c r="AS44" s="24">
        <f t="shared" si="25"/>
        <v>68.941377602849585</v>
      </c>
      <c r="AT44" s="24">
        <f t="shared" si="26"/>
        <v>177.66311144575766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>
      <c r="A45" s="8" t="s">
        <v>47</v>
      </c>
      <c r="B45" s="14">
        <f>INDEX(AG2:AG202,MATCH(B41,Z2:Z202,1))</f>
        <v>0.63475722131184298</v>
      </c>
      <c r="C45" s="19"/>
      <c r="D45" s="13"/>
      <c r="Y45" s="24">
        <v>43</v>
      </c>
      <c r="Z45" s="24">
        <f t="shared" si="1"/>
        <v>14.080590762968805</v>
      </c>
      <c r="AA45" s="24" t="str">
        <f t="shared" si="10"/>
        <v>88.4709609982942i</v>
      </c>
      <c r="AB45" s="24">
        <f t="shared" si="2"/>
        <v>9.0114691425450566</v>
      </c>
      <c r="AD45" s="24" t="str">
        <f t="shared" si="3"/>
        <v>0.999992743933243-0.00268751311526893i</v>
      </c>
      <c r="AE45" s="24" t="str">
        <f t="shared" si="4"/>
        <v>0.999999999778036-0.0000204994374775747i</v>
      </c>
      <c r="AF45" s="24" t="str">
        <f t="shared" si="19"/>
        <v>8.33351875798081-0.022567437159754i</v>
      </c>
      <c r="AG45" s="24">
        <f t="shared" si="5"/>
        <v>8.3335493145980717</v>
      </c>
      <c r="AH45" s="24">
        <f t="shared" si="20"/>
        <v>-2.7080255831604927E-3</v>
      </c>
      <c r="AI45" s="24">
        <f t="shared" si="0"/>
        <v>-0.15515843672854976</v>
      </c>
      <c r="AJ45" s="24">
        <f t="shared" si="21"/>
        <v>18.416600194861793</v>
      </c>
      <c r="AL45" s="24" t="str">
        <f t="shared" si="22"/>
        <v>0.998332136548385-0.0408054124243531i</v>
      </c>
      <c r="AM45" s="24" t="str">
        <f t="shared" si="23"/>
        <v>1.00000000203257+0.00018769999083197i</v>
      </c>
      <c r="AN45" s="24" t="str">
        <f t="shared" si="24"/>
        <v>-335.612102223384+13.6545702994844i</v>
      </c>
      <c r="AO45" s="24">
        <f t="shared" si="6"/>
        <v>335.88975936884816</v>
      </c>
      <c r="AP45" s="24">
        <f t="shared" si="7"/>
        <v>3.1009295086236914</v>
      </c>
      <c r="AQ45" s="24">
        <f t="shared" si="8"/>
        <v>177.67017341171373</v>
      </c>
      <c r="AR45" s="24">
        <f t="shared" si="9"/>
        <v>50.523935264841803</v>
      </c>
      <c r="AS45" s="24">
        <f t="shared" si="25"/>
        <v>68.940535459703597</v>
      </c>
      <c r="AT45" s="24">
        <f t="shared" si="26"/>
        <v>177.51501497498518</v>
      </c>
    </row>
    <row r="46" spans="1:71">
      <c r="A46" s="8" t="s">
        <v>26</v>
      </c>
      <c r="B46" s="14">
        <f>B44/(B45*(B44-B43)*B13)*(B5/0.8)*SQRT(1+(B41/B44)^2)/SQRT(1+(B43/B41)^2)</f>
        <v>6622.0676653512755</v>
      </c>
      <c r="C46" s="37" t="s">
        <v>56</v>
      </c>
      <c r="D46" s="6">
        <v>6800</v>
      </c>
      <c r="E46" s="37" t="s">
        <v>56</v>
      </c>
      <c r="Y46" s="24">
        <v>44</v>
      </c>
      <c r="Z46" s="24">
        <f t="shared" si="1"/>
        <v>14.973833157104059</v>
      </c>
      <c r="AA46" s="24" t="str">
        <f t="shared" si="10"/>
        <v>94.0833684848747i</v>
      </c>
      <c r="AB46" s="24">
        <f t="shared" si="2"/>
        <v>9.0114691425450566</v>
      </c>
      <c r="AD46" s="24" t="str">
        <f t="shared" si="3"/>
        <v>0.999991794121505-0.00285800044003036i</v>
      </c>
      <c r="AE46" s="24" t="str">
        <f t="shared" si="4"/>
        <v>0.999999999748981-0.0000217998777018656i</v>
      </c>
      <c r="AF46" s="24" t="str">
        <f t="shared" si="19"/>
        <v>8.33351078230882-0.0239990439364819i</v>
      </c>
      <c r="AG46" s="24">
        <f t="shared" si="5"/>
        <v>8.333545338747923</v>
      </c>
      <c r="AH46" s="24">
        <f t="shared" si="20"/>
        <v>-2.8798159886364483E-3</v>
      </c>
      <c r="AI46" s="24">
        <f t="shared" si="0"/>
        <v>-0.16500130192316312</v>
      </c>
      <c r="AJ46" s="24">
        <f t="shared" si="21"/>
        <v>18.416596050912737</v>
      </c>
      <c r="AL46" s="24" t="str">
        <f t="shared" si="22"/>
        <v>0.998114224832704-0.0433845481630778i</v>
      </c>
      <c r="AM46" s="24" t="str">
        <f t="shared" si="23"/>
        <v>1.00000000229864+0.00019960727455104i</v>
      </c>
      <c r="AN46" s="24" t="str">
        <f t="shared" si="24"/>
        <v>-335.539183288832+14.517617339629i</v>
      </c>
      <c r="AO46" s="24">
        <f t="shared" si="6"/>
        <v>335.85309993411749</v>
      </c>
      <c r="AP46" s="24">
        <f t="shared" si="7"/>
        <v>3.0983530879455521</v>
      </c>
      <c r="AQ46" s="24">
        <f t="shared" si="8"/>
        <v>177.52255538060612</v>
      </c>
      <c r="AR46" s="24">
        <f t="shared" si="9"/>
        <v>50.522987224084332</v>
      </c>
      <c r="AS46" s="24">
        <f t="shared" si="25"/>
        <v>68.939583274997062</v>
      </c>
      <c r="AT46" s="24">
        <f t="shared" si="26"/>
        <v>177.35755407868297</v>
      </c>
    </row>
    <row r="47" spans="1:71">
      <c r="A47" s="8" t="s">
        <v>25</v>
      </c>
      <c r="B47" s="14">
        <f>1/(B46*B43*2*PI())*1000000000000</f>
        <v>3433.4322134253298</v>
      </c>
      <c r="C47" s="19" t="s">
        <v>110</v>
      </c>
      <c r="D47" s="41">
        <v>330</v>
      </c>
      <c r="E47" s="13" t="s">
        <v>110</v>
      </c>
      <c r="Y47" s="24">
        <v>45</v>
      </c>
      <c r="Z47" s="24">
        <f t="shared" si="1"/>
        <v>15.923740927579823</v>
      </c>
      <c r="AA47" s="24" t="str">
        <f t="shared" si="10"/>
        <v>100.051815031504i</v>
      </c>
      <c r="AB47" s="24">
        <f t="shared" si="2"/>
        <v>9.0114691425450566</v>
      </c>
      <c r="AD47" s="24" t="str">
        <f t="shared" si="3"/>
        <v>0.999990719981538-0.00303930256138142i</v>
      </c>
      <c r="AE47" s="24" t="str">
        <f t="shared" si="4"/>
        <v>0.999999999716123-0.0000231828150570466i</v>
      </c>
      <c r="AF47" s="24" t="str">
        <f t="shared" si="19"/>
        <v>8.33350176263924-0.0255214641277077i</v>
      </c>
      <c r="AG47" s="24">
        <f t="shared" si="5"/>
        <v>8.3335408424656183</v>
      </c>
      <c r="AH47" s="24">
        <f t="shared" si="20"/>
        <v>-3.0625042229004834E-3</v>
      </c>
      <c r="AI47" s="24">
        <f t="shared" si="0"/>
        <v>-0.17546856671318961</v>
      </c>
      <c r="AJ47" s="24">
        <f t="shared" si="21"/>
        <v>18.416591364525271</v>
      </c>
      <c r="AL47" s="24" t="str">
        <f t="shared" si="22"/>
        <v>0.997867903055684-0.0461253846264297i</v>
      </c>
      <c r="AM47" s="24" t="str">
        <f t="shared" si="23"/>
        <v>1.00000000259953+0.000212269930739004i</v>
      </c>
      <c r="AN47" s="24" t="str">
        <f t="shared" si="24"/>
        <v>-335.456757607948+15.4347737202451i</v>
      </c>
      <c r="AO47" s="24">
        <f t="shared" si="6"/>
        <v>335.81165623699354</v>
      </c>
      <c r="AP47" s="24">
        <f t="shared" si="7"/>
        <v>3.0956138643293292</v>
      </c>
      <c r="AQ47" s="24">
        <f t="shared" si="8"/>
        <v>177.36560942825398</v>
      </c>
      <c r="AR47" s="24">
        <f t="shared" si="9"/>
        <v>50.521915334048238</v>
      </c>
      <c r="AS47" s="24">
        <f t="shared" si="25"/>
        <v>68.938506698573505</v>
      </c>
      <c r="AT47" s="24">
        <f t="shared" si="26"/>
        <v>177.19014086154078</v>
      </c>
    </row>
    <row r="48" spans="1:71">
      <c r="A48" s="8" t="s">
        <v>27</v>
      </c>
      <c r="B48" s="14">
        <f>1/(B46*B44*2*PI())*1000000000000</f>
        <v>48.068050987954614</v>
      </c>
      <c r="C48" s="19" t="s">
        <v>110</v>
      </c>
      <c r="D48" s="6">
        <v>18</v>
      </c>
      <c r="E48" s="13" t="s">
        <v>110</v>
      </c>
      <c r="Y48" s="24">
        <v>46</v>
      </c>
      <c r="Z48" s="24">
        <f t="shared" si="1"/>
        <v>16.933908803997952</v>
      </c>
      <c r="AA48" s="24" t="str">
        <f t="shared" si="10"/>
        <v>106.398886990399i</v>
      </c>
      <c r="AB48" s="24">
        <f t="shared" si="2"/>
        <v>9.0114691425450566</v>
      </c>
      <c r="AD48" s="24" t="str">
        <f t="shared" si="3"/>
        <v>0.99998950523938-0.00323210543477677i</v>
      </c>
      <c r="AE48" s="24" t="str">
        <f t="shared" si="4"/>
        <v>0.999999999678963-0.0000246534829836675i</v>
      </c>
      <c r="AF48" s="24" t="str">
        <f t="shared" si="19"/>
        <v>8.33349156231783-0.0271404578008131i</v>
      </c>
      <c r="AG48" s="24">
        <f t="shared" si="5"/>
        <v>8.3335357576284572</v>
      </c>
      <c r="AH48" s="24">
        <f t="shared" si="20"/>
        <v>-3.2567815832725919E-3</v>
      </c>
      <c r="AI48" s="24">
        <f t="shared" si="0"/>
        <v>-0.1865998395174536</v>
      </c>
      <c r="AJ48" s="24">
        <f t="shared" si="21"/>
        <v>18.416586064695498</v>
      </c>
      <c r="AL48" s="24" t="str">
        <f t="shared" si="22"/>
        <v>0.99758948419418-0.0490377937857131i</v>
      </c>
      <c r="AM48" s="24" t="str">
        <f t="shared" si="23"/>
        <v>1.00000000293981+0.000225735878600544i</v>
      </c>
      <c r="AN48" s="24" t="str">
        <f t="shared" si="24"/>
        <v>-335.363591406779+16.4093428642682i</v>
      </c>
      <c r="AO48" s="24">
        <f t="shared" si="6"/>
        <v>335.76480603912336</v>
      </c>
      <c r="AP48" s="24">
        <f t="shared" si="7"/>
        <v>3.0927016391450706</v>
      </c>
      <c r="AQ48" s="24">
        <f t="shared" si="8"/>
        <v>177.19875121620424</v>
      </c>
      <c r="AR48" s="24">
        <f t="shared" si="9"/>
        <v>50.520703452239559</v>
      </c>
      <c r="AS48" s="24">
        <f t="shared" si="25"/>
        <v>68.937289516935053</v>
      </c>
      <c r="AT48" s="24">
        <f t="shared" si="26"/>
        <v>177.0121513766868</v>
      </c>
    </row>
    <row r="49" spans="1:46" ht="28.5" customHeight="1">
      <c r="A49" s="51" t="s">
        <v>111</v>
      </c>
      <c r="B49" s="52"/>
      <c r="C49" s="52"/>
      <c r="D49" s="52"/>
      <c r="E49" s="50"/>
      <c r="Y49" s="24">
        <v>47</v>
      </c>
      <c r="Z49" s="24">
        <f t="shared" si="1"/>
        <v>18.008159557874837</v>
      </c>
      <c r="AA49" s="24" t="str">
        <f t="shared" si="10"/>
        <v>113.148603543385i</v>
      </c>
      <c r="AB49" s="24">
        <f t="shared" si="2"/>
        <v>9.0114691425450566</v>
      </c>
      <c r="AD49" s="24" t="str">
        <f t="shared" si="3"/>
        <v>0.999988131490973-0.00343713850851864i</v>
      </c>
      <c r="AE49" s="24" t="str">
        <f t="shared" si="4"/>
        <v>0.99999999963694-0.0000262174469204905i</v>
      </c>
      <c r="AF49" s="24" t="str">
        <f t="shared" si="19"/>
        <v>8.33348002680374-0.0288621502389262i</v>
      </c>
      <c r="AG49" s="24">
        <f t="shared" si="5"/>
        <v>8.3335300071970266</v>
      </c>
      <c r="AH49" s="24">
        <f t="shared" si="20"/>
        <v>-3.4633832138891429E-3</v>
      </c>
      <c r="AI49" s="24">
        <f t="shared" si="0"/>
        <v>-0.19843724099230278</v>
      </c>
      <c r="AJ49" s="24">
        <f t="shared" si="21"/>
        <v>18.41658007112548</v>
      </c>
      <c r="AL49" s="24" t="str">
        <f t="shared" si="22"/>
        <v>0.997274807430633-0.0521321963361157i</v>
      </c>
      <c r="AM49" s="24" t="str">
        <f t="shared" si="23"/>
        <v>1.00000000332463+0.000240056077231602i</v>
      </c>
      <c r="AN49" s="24" t="str">
        <f t="shared" si="24"/>
        <v>-335.258292367419+17.4448118122048i</v>
      </c>
      <c r="AO49" s="24">
        <f t="shared" si="6"/>
        <v>335.71184676785094</v>
      </c>
      <c r="AP49" s="24">
        <f t="shared" si="7"/>
        <v>3.0896055928358832</v>
      </c>
      <c r="AQ49" s="24">
        <f t="shared" si="8"/>
        <v>177.02136082951077</v>
      </c>
      <c r="AR49" s="24">
        <f t="shared" si="9"/>
        <v>50.519333342393999</v>
      </c>
      <c r="AS49" s="24">
        <f t="shared" si="25"/>
        <v>68.935913413519472</v>
      </c>
      <c r="AT49" s="24">
        <f t="shared" si="26"/>
        <v>176.82292358851848</v>
      </c>
    </row>
    <row r="50" spans="1:46">
      <c r="C50" s="22"/>
      <c r="D50" s="19"/>
      <c r="Y50" s="24">
        <v>48</v>
      </c>
      <c r="Z50" s="24">
        <f t="shared" si="1"/>
        <v>19.150558469130036</v>
      </c>
      <c r="AA50" s="24" t="str">
        <f t="shared" si="10"/>
        <v>120.326507597521i</v>
      </c>
      <c r="AB50" s="24">
        <f t="shared" si="2"/>
        <v>9.0114691425450566</v>
      </c>
      <c r="AD50" s="24" t="str">
        <f t="shared" si="3"/>
        <v>0.999986577923387-0.00365517747825161i</v>
      </c>
      <c r="AE50" s="24" t="str">
        <f t="shared" si="4"/>
        <v>0.999999999589415-0.0000278806253657422i</v>
      </c>
      <c r="AF50" s="24" t="str">
        <f t="shared" si="19"/>
        <v>8.33346698132853-0.0306930550708133i</v>
      </c>
      <c r="AG50" s="24">
        <f t="shared" si="5"/>
        <v>8.3335235040481166</v>
      </c>
      <c r="AH50" s="24">
        <f t="shared" si="20"/>
        <v>-3.6830908857107335E-3</v>
      </c>
      <c r="AI50" s="24">
        <f t="shared" si="0"/>
        <v>-0.21102556331432529</v>
      </c>
      <c r="AJ50" s="24">
        <f t="shared" si="21"/>
        <v>18.416573293006763</v>
      </c>
      <c r="AL50" s="24" t="str">
        <f t="shared" si="22"/>
        <v>0.996919178576799-0.0554195810391926i</v>
      </c>
      <c r="AM50" s="24" t="str">
        <f t="shared" si="23"/>
        <v>1.00000000375982+0.000255284718463526i</v>
      </c>
      <c r="AN50" s="24" t="str">
        <f t="shared" si="24"/>
        <v>-335.139289692243+18.5448576946484i</v>
      </c>
      <c r="AO50" s="24">
        <f t="shared" si="6"/>
        <v>335.65198530968939</v>
      </c>
      <c r="AP50" s="24">
        <f t="shared" si="7"/>
        <v>3.0863142507578685</v>
      </c>
      <c r="AQ50" s="24">
        <f t="shared" si="8"/>
        <v>176.8327808195067</v>
      </c>
      <c r="AR50" s="24">
        <f t="shared" si="9"/>
        <v>50.517784405749815</v>
      </c>
      <c r="AS50" s="24">
        <f t="shared" si="25"/>
        <v>68.934357698756571</v>
      </c>
      <c r="AT50" s="24">
        <f t="shared" si="26"/>
        <v>176.62175525619236</v>
      </c>
    </row>
    <row r="51" spans="1:46">
      <c r="C51" s="22"/>
      <c r="D51" s="19"/>
      <c r="Y51" s="24">
        <v>49</v>
      </c>
      <c r="Z51" s="24">
        <f t="shared" si="1"/>
        <v>20.365428710297824</v>
      </c>
      <c r="AA51" s="24" t="str">
        <f t="shared" si="10"/>
        <v>127.959762446957i</v>
      </c>
      <c r="AB51" s="24">
        <f t="shared" si="2"/>
        <v>9.0114691425450566</v>
      </c>
      <c r="AD51" s="24" t="str">
        <f t="shared" si="3"/>
        <v>0.999984820999555-0.00388704721526518i</v>
      </c>
      <c r="AE51" s="24" t="str">
        <f t="shared" si="4"/>
        <v>0.999999999535669-0.0000296493122744468i</v>
      </c>
      <c r="AF51" s="24" t="str">
        <f t="shared" si="19"/>
        <v>8.33345222824892-0.0326400988602603i</v>
      </c>
      <c r="AG51" s="24">
        <f t="shared" si="5"/>
        <v>8.3335161496549883</v>
      </c>
      <c r="AH51" s="24">
        <f t="shared" si="20"/>
        <v>-3.9167359525759593E-3</v>
      </c>
      <c r="AI51" s="24">
        <f t="shared" si="0"/>
        <v>-0.22441243954975462</v>
      </c>
      <c r="AJ51" s="24">
        <f t="shared" si="21"/>
        <v>18.416565627644658</v>
      </c>
      <c r="AL51" s="24" t="str">
        <f t="shared" si="22"/>
        <v>0.996517303370955-0.0589115222450969i</v>
      </c>
      <c r="AM51" s="24" t="str">
        <f t="shared" si="23"/>
        <v>1.00000000425199+0.000271479431940869i</v>
      </c>
      <c r="AN51" s="24" t="str">
        <f t="shared" si="24"/>
        <v>-335.00481178342+19.7133535956929i</v>
      </c>
      <c r="AO51" s="24">
        <f t="shared" si="6"/>
        <v>335.58432655300442</v>
      </c>
      <c r="AP51" s="24">
        <f t="shared" si="7"/>
        <v>3.0828154478953196</v>
      </c>
      <c r="AQ51" s="24">
        <f t="shared" si="8"/>
        <v>176.63231418213437</v>
      </c>
      <c r="AR51" s="24">
        <f t="shared" si="9"/>
        <v>50.516033378622048</v>
      </c>
      <c r="AS51" s="24">
        <f t="shared" si="25"/>
        <v>68.932599006266713</v>
      </c>
      <c r="AT51" s="24">
        <f t="shared" si="26"/>
        <v>176.40790174258461</v>
      </c>
    </row>
    <row r="52" spans="1:46">
      <c r="C52" s="22"/>
      <c r="D52" s="19"/>
      <c r="Y52" s="24">
        <v>50</v>
      </c>
      <c r="Z52" s="24">
        <f t="shared" si="1"/>
        <v>21.657367706679931</v>
      </c>
      <c r="AA52" s="24" t="str">
        <f t="shared" si="10"/>
        <v>136.077254566797i</v>
      </c>
      <c r="AB52" s="24">
        <f t="shared" si="2"/>
        <v>9.0114691425450566</v>
      </c>
      <c r="AD52" s="24" t="str">
        <f t="shared" si="3"/>
        <v>0.999982834101762-0.00413362487944079i</v>
      </c>
      <c r="AE52" s="24" t="str">
        <f t="shared" si="4"/>
        <v>0.999999999474888-0.0000315302008765969i</v>
      </c>
      <c r="AF52" s="24" t="str">
        <f t="shared" si="19"/>
        <v>8.33343554405305-0.0347106472459409i</v>
      </c>
      <c r="AG52" s="24">
        <f t="shared" si="5"/>
        <v>8.3335078325948064</v>
      </c>
      <c r="AH52" s="24">
        <f t="shared" si="20"/>
        <v>-4.1652024944053515E-3</v>
      </c>
      <c r="AI52" s="24">
        <f t="shared" si="0"/>
        <v>-0.23864852374678952</v>
      </c>
      <c r="AJ52" s="24">
        <f t="shared" si="21"/>
        <v>18.416556958902483</v>
      </c>
      <c r="AL52" s="24" t="str">
        <f t="shared" si="22"/>
        <v>0.996063212898952-0.0626201948924578i</v>
      </c>
      <c r="AM52" s="24" t="str">
        <f t="shared" si="23"/>
        <v>1.00000000480857+0.000288701503208825i</v>
      </c>
      <c r="AN52" s="24" t="str">
        <f t="shared" si="24"/>
        <v>-334.852861286834+20.9543735723004i</v>
      </c>
      <c r="AO52" s="24">
        <f t="shared" si="6"/>
        <v>335.50786053949201</v>
      </c>
      <c r="AP52" s="24">
        <f t="shared" si="7"/>
        <v>3.0790962925848033</v>
      </c>
      <c r="AQ52" s="24">
        <f t="shared" si="8"/>
        <v>176.41922227948811</v>
      </c>
      <c r="AR52" s="24">
        <f t="shared" si="9"/>
        <v>50.514053992272217</v>
      </c>
      <c r="AS52" s="24">
        <f t="shared" si="25"/>
        <v>68.9306109511747</v>
      </c>
      <c r="AT52" s="24">
        <f t="shared" si="26"/>
        <v>176.18057375574131</v>
      </c>
    </row>
    <row r="53" spans="1:46">
      <c r="C53" s="22"/>
      <c r="D53" s="39"/>
      <c r="Y53" s="24">
        <v>51</v>
      </c>
      <c r="Z53" s="24">
        <f t="shared" si="1"/>
        <v>23.031264534351347</v>
      </c>
      <c r="AA53" s="24" t="str">
        <f t="shared" si="10"/>
        <v>144.709702928003i</v>
      </c>
      <c r="AB53" s="24">
        <f t="shared" si="2"/>
        <v>9.0114691425450566</v>
      </c>
      <c r="AD53" s="24" t="str">
        <f t="shared" si="3"/>
        <v>0.999980587128489-0.00439584322833086i</v>
      </c>
      <c r="AE53" s="24" t="str">
        <f t="shared" si="4"/>
        <v>0.999999999406151-0.0000335304090063i</v>
      </c>
      <c r="AF53" s="24" t="str">
        <f t="shared" si="19"/>
        <v>8.33341667597523-0.0369125327282326i</v>
      </c>
      <c r="AG53" s="24">
        <f t="shared" si="5"/>
        <v>8.3334984268609809</v>
      </c>
      <c r="AH53" s="24">
        <f t="shared" si="20"/>
        <v>-4.4294306593526123E-3</v>
      </c>
      <c r="AI53" s="24">
        <f t="shared" si="0"/>
        <v>-0.25378768242675415</v>
      </c>
      <c r="AJ53" s="24">
        <f t="shared" si="21"/>
        <v>18.416547155442316</v>
      </c>
      <c r="AL53" s="24" t="str">
        <f t="shared" si="22"/>
        <v>0.995550180340593-0.0665583861313173i</v>
      </c>
      <c r="AM53" s="24" t="str">
        <f t="shared" si="23"/>
        <v>1.00000000543801+0.000307016105635731i</v>
      </c>
      <c r="AN53" s="24" t="str">
        <f t="shared" si="24"/>
        <v>-334.681187233285+22.2721965436614i</v>
      </c>
      <c r="AO53" s="24">
        <f t="shared" si="6"/>
        <v>335.42144807206449</v>
      </c>
      <c r="AP53" s="24">
        <f t="shared" si="7"/>
        <v>3.0751431294295082</v>
      </c>
      <c r="AQ53" s="24">
        <f t="shared" si="8"/>
        <v>176.19272271496305</v>
      </c>
      <c r="AR53" s="24">
        <f t="shared" si="9"/>
        <v>50.511816590656444</v>
      </c>
      <c r="AS53" s="24">
        <f t="shared" si="25"/>
        <v>68.928363746098768</v>
      </c>
      <c r="AT53" s="24">
        <f t="shared" si="26"/>
        <v>175.93893503253631</v>
      </c>
    </row>
    <row r="54" spans="1:46">
      <c r="C54" s="22"/>
      <c r="D54" s="19"/>
      <c r="Y54" s="24">
        <v>52</v>
      </c>
      <c r="Z54" s="24">
        <f t="shared" si="1"/>
        <v>24.492318421858034</v>
      </c>
      <c r="AA54" s="24" t="str">
        <f t="shared" si="10"/>
        <v>153.889775246982i</v>
      </c>
      <c r="AB54" s="24">
        <f t="shared" si="2"/>
        <v>9.0114691425450566</v>
      </c>
      <c r="AD54" s="24" t="str">
        <f t="shared" si="3"/>
        <v>0.999978046038504-0.00467469413453767i</v>
      </c>
      <c r="AE54" s="24" t="str">
        <f t="shared" si="4"/>
        <v>0.999999999328416-0.0000356575060377485i</v>
      </c>
      <c r="AF54" s="24" t="str">
        <f t="shared" si="19"/>
        <v>8.33339533816753-0.0392540842051581i</v>
      </c>
      <c r="AG54" s="24">
        <f t="shared" si="5"/>
        <v>8.333487789954404</v>
      </c>
      <c r="AH54" s="24">
        <f t="shared" si="20"/>
        <v>-4.7104202174316247E-3</v>
      </c>
      <c r="AI54" s="24">
        <f t="shared" si="0"/>
        <v>-0.26988719819192764</v>
      </c>
      <c r="AJ54" s="24">
        <f t="shared" si="21"/>
        <v>18.41653606873529</v>
      </c>
      <c r="AL54" s="24" t="str">
        <f t="shared" si="22"/>
        <v>0.994970628200514-0.07073950253422i</v>
      </c>
      <c r="AM54" s="24" t="str">
        <f t="shared" si="23"/>
        <v>1.00000000614985+0.000326492547048158i</v>
      </c>
      <c r="AN54" s="24" t="str">
        <f t="shared" si="24"/>
        <v>-334.487253995505+23.6713087042333i</v>
      </c>
      <c r="AO54" s="24">
        <f t="shared" si="6"/>
        <v>335.32380461462111</v>
      </c>
      <c r="AP54" s="24">
        <f t="shared" si="7"/>
        <v>3.0709415016432899</v>
      </c>
      <c r="AQ54" s="24">
        <f t="shared" si="8"/>
        <v>175.95198717572788</v>
      </c>
      <c r="AR54" s="24">
        <f t="shared" si="9"/>
        <v>50.509287701192598</v>
      </c>
      <c r="AS54" s="24">
        <f t="shared" si="25"/>
        <v>68.925823769927888</v>
      </c>
      <c r="AT54" s="24">
        <f t="shared" si="26"/>
        <v>175.68209997753596</v>
      </c>
    </row>
    <row r="55" spans="1:46">
      <c r="C55" s="22"/>
      <c r="D55" s="19"/>
      <c r="Y55" s="24">
        <v>53</v>
      </c>
      <c r="Z55" s="24">
        <f t="shared" si="1"/>
        <v>26.046058425622668</v>
      </c>
      <c r="AA55" s="24" t="str">
        <f t="shared" si="10"/>
        <v>163.652211609813i</v>
      </c>
      <c r="AB55" s="24">
        <f t="shared" si="2"/>
        <v>9.0114691425450566</v>
      </c>
      <c r="AD55" s="24" t="str">
        <f t="shared" si="3"/>
        <v>0.999975172335322-0.0049712323242793i</v>
      </c>
      <c r="AE55" s="24" t="str">
        <f t="shared" si="4"/>
        <v>0.999999999240505-0.0000379195415299527i</v>
      </c>
      <c r="AF55" s="24" t="str">
        <f t="shared" si="19"/>
        <v>8.33337120737081-0.0417441583656658i</v>
      </c>
      <c r="AG55" s="24">
        <f t="shared" si="5"/>
        <v>8.3334757607252019</v>
      </c>
      <c r="AH55" s="24">
        <f t="shared" si="20"/>
        <v>-5.0092343389256822E-3</v>
      </c>
      <c r="AI55" s="24">
        <f t="shared" si="0"/>
        <v>-0.28700798621244655</v>
      </c>
      <c r="AJ55" s="24">
        <f t="shared" si="21"/>
        <v>18.416523530811755</v>
      </c>
      <c r="AL55" s="24" t="str">
        <f t="shared" si="22"/>
        <v>0.994316025150962-0.0751775716484254i</v>
      </c>
      <c r="AM55" s="24" t="str">
        <f t="shared" si="23"/>
        <v>1.00000000695486+0.000347204532012066i</v>
      </c>
      <c r="AN55" s="24" t="str">
        <f t="shared" si="24"/>
        <v>-334.268206769064+25.156404043175i</v>
      </c>
      <c r="AO55" s="24">
        <f t="shared" si="6"/>
        <v>335.21348230790062</v>
      </c>
      <c r="AP55" s="24">
        <f t="shared" si="7"/>
        <v>3.0664761131338549</v>
      </c>
      <c r="AQ55" s="24">
        <f t="shared" si="8"/>
        <v>175.69613926025104</v>
      </c>
      <c r="AR55" s="24">
        <f t="shared" si="9"/>
        <v>50.506429553232373</v>
      </c>
      <c r="AS55" s="24">
        <f t="shared" si="25"/>
        <v>68.922953084044124</v>
      </c>
      <c r="AT55" s="24">
        <f t="shared" si="26"/>
        <v>175.4091312740386</v>
      </c>
    </row>
    <row r="56" spans="1:46">
      <c r="D56" s="13"/>
      <c r="Y56" s="24">
        <v>54</v>
      </c>
      <c r="Z56" s="24">
        <f t="shared" si="1"/>
        <v>27.698364353515743</v>
      </c>
      <c r="AA56" s="24" t="str">
        <f t="shared" si="10"/>
        <v>174.033955938917i</v>
      </c>
      <c r="AB56" s="24">
        <f t="shared" si="2"/>
        <v>9.0114691425450566</v>
      </c>
      <c r="AD56" s="24" t="str">
        <f t="shared" si="3"/>
        <v>0.999971922484217-0.00528657935077844i</v>
      </c>
      <c r="AE56" s="24" t="str">
        <f t="shared" si="4"/>
        <v>0.999999999141087-0.0000403250756886316i</v>
      </c>
      <c r="AF56" s="24" t="str">
        <f t="shared" si="19"/>
        <v>8.33334391801926-0.044392173054752i</v>
      </c>
      <c r="AG56" s="24">
        <f t="shared" si="5"/>
        <v>8.3334621569319616</v>
      </c>
      <c r="AH56" s="24">
        <f t="shared" si="20"/>
        <v>-5.3270036117056517E-3</v>
      </c>
      <c r="AI56" s="24">
        <f t="shared" si="0"/>
        <v>-0.30521482440168018</v>
      </c>
      <c r="AJ56" s="24">
        <f t="shared" si="21"/>
        <v>18.416509351716911</v>
      </c>
      <c r="AL56" s="24" t="str">
        <f t="shared" si="22"/>
        <v>0.993576771598276-0.0798872363937027i</v>
      </c>
      <c r="AM56" s="24" t="str">
        <f t="shared" si="23"/>
        <v>1.00000000786526+0.000369230440752463i</v>
      </c>
      <c r="AN56" s="24" t="str">
        <f t="shared" si="24"/>
        <v>-334.020833279953+26.7323824697289i</v>
      </c>
      <c r="AO56" s="24">
        <f t="shared" si="6"/>
        <v>335.08884991527549</v>
      </c>
      <c r="AP56" s="24">
        <f t="shared" si="7"/>
        <v>3.0617307907187796</v>
      </c>
      <c r="AQ56" s="24">
        <f t="shared" si="8"/>
        <v>175.42425231343839</v>
      </c>
      <c r="AR56" s="24">
        <f t="shared" si="9"/>
        <v>50.503199538452151</v>
      </c>
      <c r="AS56" s="24">
        <f t="shared" si="25"/>
        <v>68.919708890169062</v>
      </c>
      <c r="AT56" s="24">
        <f t="shared" si="26"/>
        <v>175.11903748903671</v>
      </c>
    </row>
    <row r="57" spans="1:46">
      <c r="D57" s="13"/>
      <c r="Y57" s="24">
        <v>55</v>
      </c>
      <c r="Z57" s="24">
        <f t="shared" si="1"/>
        <v>29.45548901577305</v>
      </c>
      <c r="AA57" s="24" t="str">
        <f t="shared" si="10"/>
        <v>185.074295799695i</v>
      </c>
      <c r="AB57" s="24">
        <f t="shared" si="2"/>
        <v>9.0114691425450566</v>
      </c>
      <c r="AD57" s="24" t="str">
        <f t="shared" si="3"/>
        <v>0.999968247252978-0.00562192781689687i</v>
      </c>
      <c r="AE57" s="24" t="str">
        <f t="shared" si="4"/>
        <v>0.999999999028656-0.0000428832117605413i</v>
      </c>
      <c r="AF57" s="24" t="str">
        <f t="shared" si="19"/>
        <v>8.33331305670468-0.0472081427315364i</v>
      </c>
      <c r="AG57" s="24">
        <f t="shared" si="5"/>
        <v>8.3334467724816523</v>
      </c>
      <c r="AH57" s="24">
        <f t="shared" si="20"/>
        <v>-5.6649303124547169E-3</v>
      </c>
      <c r="AI57" s="24">
        <f t="shared" si="0"/>
        <v>-0.324576598139382</v>
      </c>
      <c r="AJ57" s="24">
        <f t="shared" si="21"/>
        <v>18.416493316633488</v>
      </c>
      <c r="AL57" s="24" t="str">
        <f t="shared" si="22"/>
        <v>0.992742073092202-0.0848837405207801i</v>
      </c>
      <c r="AM57" s="24" t="str">
        <f t="shared" si="23"/>
        <v>1.00000000889482+0.000392653625767138i</v>
      </c>
      <c r="AN57" s="24" t="str">
        <f t="shared" si="24"/>
        <v>-333.741521424021+28.4043449472638i</v>
      </c>
      <c r="AO57" s="24">
        <f t="shared" si="6"/>
        <v>334.94807050392666</v>
      </c>
      <c r="AP57" s="24">
        <f t="shared" si="7"/>
        <v>3.0566884469687432</v>
      </c>
      <c r="AQ57" s="24">
        <f t="shared" si="8"/>
        <v>175.13534729770714</v>
      </c>
      <c r="AR57" s="24">
        <f t="shared" si="9"/>
        <v>50.49954960690058</v>
      </c>
      <c r="AS57" s="24">
        <f t="shared" si="25"/>
        <v>68.916042923534064</v>
      </c>
      <c r="AT57" s="24">
        <f t="shared" si="26"/>
        <v>174.81077069956777</v>
      </c>
    </row>
    <row r="58" spans="1:46">
      <c r="D58" s="13"/>
      <c r="Y58" s="24">
        <v>56</v>
      </c>
      <c r="Z58" s="24">
        <f t="shared" si="1"/>
        <v>31.324081887463471</v>
      </c>
      <c r="AA58" s="24" t="str">
        <f t="shared" si="10"/>
        <v>196.815011076201i</v>
      </c>
      <c r="AB58" s="24">
        <f t="shared" si="2"/>
        <v>9.0114691425450566</v>
      </c>
      <c r="AD58" s="24" t="str">
        <f t="shared" si="3"/>
        <v>0.999964090966454-0.00597854586225606i</v>
      </c>
      <c r="AE58" s="24" t="str">
        <f t="shared" si="4"/>
        <v>0.999999998901507-0.0000456036304828309i</v>
      </c>
      <c r="AF58" s="24" t="str">
        <f t="shared" si="19"/>
        <v>8.33327815591679-0.0502027161482642i</v>
      </c>
      <c r="AG58" s="24">
        <f t="shared" si="5"/>
        <v>8.333429374308551</v>
      </c>
      <c r="AH58" s="24">
        <f t="shared" si="20"/>
        <v>-6.0242929477150641E-3</v>
      </c>
      <c r="AI58" s="24">
        <f t="shared" si="0"/>
        <v>-0.34516656045449906</v>
      </c>
      <c r="AJ58" s="24">
        <f t="shared" si="21"/>
        <v>18.416475182628037</v>
      </c>
      <c r="AL58" s="24" t="str">
        <f t="shared" si="22"/>
        <v>0.991799800736637-0.090182903010518i</v>
      </c>
      <c r="AM58" s="24" t="str">
        <f t="shared" si="23"/>
        <v>1.00000001005915+0.000417562727256941i</v>
      </c>
      <c r="AN58" s="24" t="str">
        <f t="shared" si="24"/>
        <v>-333.426212556793+30.1775849266019i</v>
      </c>
      <c r="AO58" s="24">
        <f t="shared" si="6"/>
        <v>334.78907666166475</v>
      </c>
      <c r="AP58" s="24">
        <f t="shared" si="7"/>
        <v>3.0513310442922887</v>
      </c>
      <c r="AQ58" s="24">
        <f t="shared" si="8"/>
        <v>174.8283907351942</v>
      </c>
      <c r="AR58" s="24">
        <f t="shared" si="9"/>
        <v>50.495425591982766</v>
      </c>
      <c r="AS58" s="24">
        <f t="shared" si="25"/>
        <v>68.9119007746108</v>
      </c>
      <c r="AT58" s="24">
        <f t="shared" si="26"/>
        <v>174.48322417473972</v>
      </c>
    </row>
    <row r="59" spans="1:46">
      <c r="D59" s="13"/>
      <c r="Y59" s="24">
        <v>57</v>
      </c>
      <c r="Z59" s="24">
        <f t="shared" si="1"/>
        <v>33.311214272052936</v>
      </c>
      <c r="AA59" s="24" t="str">
        <f t="shared" si="10"/>
        <v>209.300532078474i</v>
      </c>
      <c r="AB59" s="24">
        <f t="shared" si="2"/>
        <v>9.0114691425450566</v>
      </c>
      <c r="AD59" s="24" t="str">
        <f t="shared" si="3"/>
        <v>0.999959390663601-0.00635778193093601i</v>
      </c>
      <c r="AE59" s="24" t="str">
        <f t="shared" si="4"/>
        <v>0.999999998757714-0.0000484966267177892i</v>
      </c>
      <c r="AF59" s="24" t="str">
        <f t="shared" si="19"/>
        <v>8.33323868696489-0.0533872163853664i</v>
      </c>
      <c r="AG59" s="24">
        <f t="shared" si="5"/>
        <v>8.333409698844866</v>
      </c>
      <c r="AH59" s="24">
        <f t="shared" si="20"/>
        <v>-6.4064510816439837E-3</v>
      </c>
      <c r="AI59" s="24">
        <f t="shared" si="0"/>
        <v>-0.36706260863522144</v>
      </c>
      <c r="AJ59" s="24">
        <f t="shared" si="21"/>
        <v>18.41645467497144</v>
      </c>
      <c r="AL59" s="24" t="str">
        <f t="shared" si="22"/>
        <v>0.990736337843326-0.0958010789089602i</v>
      </c>
      <c r="AM59" s="24" t="str">
        <f t="shared" si="23"/>
        <v>1.0000000113759+0.000444052008566259i</v>
      </c>
      <c r="AN59" s="24" t="str">
        <f t="shared" si="24"/>
        <v>-333.070350179801+32.0575752404357i</v>
      </c>
      <c r="AO59" s="24">
        <f t="shared" si="6"/>
        <v>334.6095430485978</v>
      </c>
      <c r="AP59" s="24">
        <f t="shared" si="7"/>
        <v>3.0456395610184619</v>
      </c>
      <c r="AQ59" s="24">
        <f t="shared" si="8"/>
        <v>174.50229276443463</v>
      </c>
      <c r="AR59" s="24">
        <f t="shared" si="9"/>
        <v>50.490766457228382</v>
      </c>
      <c r="AS59" s="24">
        <f t="shared" si="25"/>
        <v>68.907221132199822</v>
      </c>
      <c r="AT59" s="24">
        <f t="shared" si="26"/>
        <v>174.13523015579941</v>
      </c>
    </row>
    <row r="60" spans="1:46">
      <c r="D60" s="13"/>
      <c r="Y60" s="24">
        <v>58</v>
      </c>
      <c r="Z60" s="24">
        <f t="shared" si="1"/>
        <v>35.424406061290533</v>
      </c>
      <c r="AA60" s="24" t="str">
        <f t="shared" si="10"/>
        <v>222.578107679864i</v>
      </c>
      <c r="AB60" s="24">
        <f t="shared" si="2"/>
        <v>9.0114691425450566</v>
      </c>
      <c r="AD60" s="24" t="str">
        <f t="shared" si="3"/>
        <v>0.999954075144312-0.0067610698367266i</v>
      </c>
      <c r="AE60" s="24" t="str">
        <f t="shared" si="4"/>
        <v>0.999999998595099-0.0000515731484116232i</v>
      </c>
      <c r="AF60" s="24" t="str">
        <f t="shared" si="19"/>
        <v>8.33319405197398-0.0567736833851107i</v>
      </c>
      <c r="AG60" s="24">
        <f t="shared" si="5"/>
        <v>8.3333874480297396</v>
      </c>
      <c r="AH60" s="24">
        <f t="shared" si="20"/>
        <v>-6.8128504683910166E-3</v>
      </c>
      <c r="AI60" s="24">
        <f t="shared" si="0"/>
        <v>-0.39034757829253131</v>
      </c>
      <c r="AJ60" s="24">
        <f t="shared" si="21"/>
        <v>18.416431482978062</v>
      </c>
      <c r="AL60" s="24" t="str">
        <f t="shared" si="22"/>
        <v>0.989536412210756-0.101755103654908i</v>
      </c>
      <c r="AM60" s="24" t="str">
        <f t="shared" si="23"/>
        <v>1.000000012865+0.000472221712903111i</v>
      </c>
      <c r="AN60" s="24" t="str">
        <f t="shared" si="24"/>
        <v>-332.668823816717+34.0499494739159i</v>
      </c>
      <c r="AO60" s="24">
        <f t="shared" si="6"/>
        <v>334.40685608817012</v>
      </c>
      <c r="AP60" s="24">
        <f t="shared" si="7"/>
        <v>3.0395939604009965</v>
      </c>
      <c r="AQ60" s="24">
        <f t="shared" si="8"/>
        <v>174.15590536443219</v>
      </c>
      <c r="AR60" s="24">
        <f t="shared" si="9"/>
        <v>50.4855034573214</v>
      </c>
      <c r="AS60" s="24">
        <f t="shared" si="25"/>
        <v>68.901934940299469</v>
      </c>
      <c r="AT60" s="24">
        <f t="shared" si="26"/>
        <v>173.76555778613965</v>
      </c>
    </row>
    <row r="61" spans="1:46">
      <c r="D61" s="13"/>
      <c r="Y61" s="24">
        <v>59</v>
      </c>
      <c r="Z61" s="24">
        <f t="shared" si="1"/>
        <v>37.67165419268462</v>
      </c>
      <c r="AA61" s="24" t="str">
        <f t="shared" si="10"/>
        <v>236.697984120626i</v>
      </c>
      <c r="AB61" s="24">
        <f t="shared" si="2"/>
        <v>9.0114691425450566</v>
      </c>
      <c r="AD61" s="24" t="str">
        <f t="shared" si="3"/>
        <v>0.99994806389164-0.00718993414381465i</v>
      </c>
      <c r="AE61" s="24" t="str">
        <f t="shared" si="4"/>
        <v>0.999999998411198-0.0000548448380246955i</v>
      </c>
      <c r="AF61" s="24" t="str">
        <f t="shared" si="19"/>
        <v>8.33314357483454-0.060374919134013i</v>
      </c>
      <c r="AG61" s="24">
        <f t="shared" si="5"/>
        <v>8.3333622847963724</v>
      </c>
      <c r="AH61" s="24">
        <f t="shared" si="20"/>
        <v>-7.2450285080877894E-3</v>
      </c>
      <c r="AI61" s="24">
        <f t="shared" si="0"/>
        <v>-0.41510955596539378</v>
      </c>
      <c r="AJ61" s="24">
        <f t="shared" si="21"/>
        <v>18.416405255300621</v>
      </c>
      <c r="AL61" s="24" t="str">
        <f t="shared" si="22"/>
        <v>0.988182913626793-0.108062217462234i</v>
      </c>
      <c r="AM61" s="24" t="str">
        <f t="shared" si="23"/>
        <v>1.00000001454903+0.000502178442688808i</v>
      </c>
      <c r="AN61" s="24" t="str">
        <f t="shared" si="24"/>
        <v>-332.215907945013+36.1604766610401i</v>
      </c>
      <c r="AO61" s="24">
        <f t="shared" si="6"/>
        <v>334.17808061583423</v>
      </c>
      <c r="AP61" s="24">
        <f t="shared" si="7"/>
        <v>3.0331731636637764</v>
      </c>
      <c r="AQ61" s="24">
        <f t="shared" si="8"/>
        <v>173.78802081027808</v>
      </c>
      <c r="AR61" s="24">
        <f t="shared" si="9"/>
        <v>50.479559205594889</v>
      </c>
      <c r="AS61" s="24">
        <f t="shared" si="25"/>
        <v>68.895964460895513</v>
      </c>
      <c r="AT61" s="24">
        <f t="shared" si="26"/>
        <v>173.3729112543127</v>
      </c>
    </row>
    <row r="62" spans="1:46">
      <c r="D62" s="13"/>
      <c r="Y62" s="24">
        <v>60</v>
      </c>
      <c r="Z62" s="24">
        <f t="shared" si="1"/>
        <v>40.061462912259522</v>
      </c>
      <c r="AA62" s="24" t="str">
        <f t="shared" si="10"/>
        <v>251.713595154429i</v>
      </c>
      <c r="AB62" s="24">
        <f t="shared" si="2"/>
        <v>9.0114691425450566</v>
      </c>
      <c r="AD62" s="24" t="str">
        <f t="shared" si="3"/>
        <v>0.999941265853121-0.0076459958817247i</v>
      </c>
      <c r="AE62" s="24" t="str">
        <f t="shared" si="4"/>
        <v>0.999999998203223-0.0000583240765900078i</v>
      </c>
      <c r="AF62" s="24" t="str">
        <f t="shared" si="19"/>
        <v>8.33308649096916-0.0642045356520251i</v>
      </c>
      <c r="AG62" s="24">
        <f t="shared" si="5"/>
        <v>8.3333338279689126</v>
      </c>
      <c r="AH62" s="24">
        <f t="shared" si="20"/>
        <v>-7.7046200465805976E-3</v>
      </c>
      <c r="AI62" s="24">
        <f t="shared" si="0"/>
        <v>-0.44144221142095597</v>
      </c>
      <c r="AJ62" s="24">
        <f t="shared" si="21"/>
        <v>18.416375594609494</v>
      </c>
      <c r="AL62" s="24" t="str">
        <f t="shared" si="22"/>
        <v>0.986656696507322-0.114739965768605i</v>
      </c>
      <c r="AM62" s="24" t="str">
        <f t="shared" si="23"/>
        <v>1.0000000164535+0.000534035562972709i</v>
      </c>
      <c r="AN62" s="24" t="str">
        <f t="shared" si="24"/>
        <v>-331.705195953685+38.3950279722375i</v>
      </c>
      <c r="AO62" s="24">
        <f t="shared" si="6"/>
        <v>333.91992332842534</v>
      </c>
      <c r="AP62" s="24">
        <f t="shared" si="7"/>
        <v>3.0263550284354799</v>
      </c>
      <c r="AQ62" s="24">
        <f t="shared" si="8"/>
        <v>173.39737043754724</v>
      </c>
      <c r="AR62" s="24">
        <f t="shared" si="9"/>
        <v>50.472846640054925</v>
      </c>
      <c r="AS62" s="24">
        <f t="shared" si="25"/>
        <v>68.889222234664416</v>
      </c>
      <c r="AT62" s="24">
        <f t="shared" si="26"/>
        <v>172.95592822612628</v>
      </c>
    </row>
    <row r="63" spans="1:46">
      <c r="D63" s="13"/>
      <c r="Y63" s="24">
        <v>61</v>
      </c>
      <c r="Z63" s="24">
        <f t="shared" si="1"/>
        <v>42.602875957116908</v>
      </c>
      <c r="AA63" s="24" t="str">
        <f t="shared" si="10"/>
        <v>267.681764257351i</v>
      </c>
      <c r="AB63" s="24">
        <f t="shared" si="2"/>
        <v>9.0114691425450566</v>
      </c>
      <c r="AD63" s="24" t="str">
        <f t="shared" si="3"/>
        <v>0.999933578062842-0.0081309786142825i</v>
      </c>
      <c r="AE63" s="24" t="str">
        <f t="shared" si="4"/>
        <v>0.999999997968025-0.0000620240305666595i</v>
      </c>
      <c r="AF63" s="24" t="str">
        <f t="shared" si="19"/>
        <v>8.33302193576193-0.0682770059545044i</v>
      </c>
      <c r="AG63" s="24">
        <f t="shared" si="5"/>
        <v>8.3333016464923197</v>
      </c>
      <c r="AH63" s="24">
        <f t="shared" si="20"/>
        <v>-8.1933635402306124E-3</v>
      </c>
      <c r="AI63" s="24">
        <f t="shared" si="0"/>
        <v>-0.46944515087158079</v>
      </c>
      <c r="AJ63" s="24">
        <f t="shared" si="21"/>
        <v>18.416342051576223</v>
      </c>
      <c r="AL63" s="24" t="str">
        <f t="shared" si="22"/>
        <v>0.984936368020418-0.121806071158895i</v>
      </c>
      <c r="AM63" s="24" t="str">
        <f t="shared" si="23"/>
        <v>1.00000001860726+0.000567913630438743i</v>
      </c>
      <c r="AN63" s="24" t="str">
        <f t="shared" si="24"/>
        <v>-331.129529244093+40.7595338566461i</v>
      </c>
      <c r="AO63" s="24">
        <f t="shared" si="6"/>
        <v>333.62869291717959</v>
      </c>
      <c r="AP63" s="24">
        <f t="shared" si="7"/>
        <v>3.0191163341849792</v>
      </c>
      <c r="AQ63" s="24">
        <f t="shared" si="8"/>
        <v>172.98262380780793</v>
      </c>
      <c r="AR63" s="24">
        <f t="shared" si="9"/>
        <v>50.465267880065753</v>
      </c>
      <c r="AS63" s="24">
        <f t="shared" si="25"/>
        <v>68.881609931641975</v>
      </c>
      <c r="AT63" s="24">
        <f t="shared" si="26"/>
        <v>172.51317865693633</v>
      </c>
    </row>
    <row r="64" spans="1:46">
      <c r="C64" s="23"/>
      <c r="D64" s="13"/>
      <c r="Y64" s="24">
        <v>62</v>
      </c>
      <c r="Z64" s="24">
        <f t="shared" si="1"/>
        <v>45.305510779589277</v>
      </c>
      <c r="AA64" s="24" t="str">
        <f t="shared" si="10"/>
        <v>284.662919664582i</v>
      </c>
      <c r="AB64" s="24">
        <f t="shared" si="2"/>
        <v>9.0114691425450566</v>
      </c>
      <c r="AD64" s="24" t="str">
        <f t="shared" si="3"/>
        <v>0.999924884083451-0.00864671488333529i</v>
      </c>
      <c r="AE64" s="24" t="str">
        <f t="shared" si="4"/>
        <v>0.999999997702039-0.0000659587016655889i</v>
      </c>
      <c r="AF64" s="24" t="str">
        <f t="shared" si="19"/>
        <v>8.33294893147579-0.0726077181610692i</v>
      </c>
      <c r="AG64" s="24">
        <f t="shared" si="5"/>
        <v>8.3332652529077755</v>
      </c>
      <c r="AH64" s="24">
        <f t="shared" si="20"/>
        <v>-8.7131076083631909E-3</v>
      </c>
      <c r="AI64" s="24">
        <f t="shared" si="0"/>
        <v>-0.49922429240253746</v>
      </c>
      <c r="AJ64" s="24">
        <f t="shared" si="21"/>
        <v>18.416304118070087</v>
      </c>
      <c r="AL64" s="24" t="str">
        <f t="shared" si="22"/>
        <v>0.982998062637901-0.129278271523231i</v>
      </c>
      <c r="AM64" s="24" t="str">
        <f t="shared" si="23"/>
        <v>1.00000002104295+0.000603940849627183i</v>
      </c>
      <c r="AN64" s="24" t="str">
        <f t="shared" si="24"/>
        <v>-330.480921789045+43.259929885622i</v>
      </c>
      <c r="AO64" s="24">
        <f t="shared" si="6"/>
        <v>333.30025682595237</v>
      </c>
      <c r="AP64" s="24">
        <f t="shared" si="7"/>
        <v>3.0114327765713909</v>
      </c>
      <c r="AQ64" s="24">
        <f t="shared" si="8"/>
        <v>172.54238838490372</v>
      </c>
      <c r="AR64" s="24">
        <f t="shared" si="9"/>
        <v>50.456712966162954</v>
      </c>
      <c r="AS64" s="24">
        <f t="shared" si="25"/>
        <v>68.873017084233041</v>
      </c>
      <c r="AT64" s="24">
        <f t="shared" si="26"/>
        <v>172.04316409250117</v>
      </c>
    </row>
    <row r="65" spans="3:46">
      <c r="C65" s="23"/>
      <c r="D65" s="13"/>
      <c r="Y65" s="24">
        <v>63</v>
      </c>
      <c r="Z65" s="24">
        <f t="shared" si="1"/>
        <v>48.179594942500358</v>
      </c>
      <c r="AA65" s="24" t="str">
        <f t="shared" si="10"/>
        <v>302.721323048582i</v>
      </c>
      <c r="AB65" s="24">
        <f t="shared" si="2"/>
        <v>9.0114691425450566</v>
      </c>
      <c r="AD65" s="24" t="str">
        <f t="shared" si="3"/>
        <v>0.99991505224464-0.00919515304892796i</v>
      </c>
      <c r="AE65" s="24" t="str">
        <f t="shared" si="4"/>
        <v>0.999999997401235-0.0000701429798361503i</v>
      </c>
      <c r="AF65" s="24" t="str">
        <f t="shared" si="19"/>
        <v>8.33286637246092-0.0772130329335548i</v>
      </c>
      <c r="AG65" s="24">
        <f t="shared" si="5"/>
        <v>8.3332240959753872</v>
      </c>
      <c r="AH65" s="24">
        <f t="shared" si="20"/>
        <v>-9.2658179972624159E-3</v>
      </c>
      <c r="AI65" s="24">
        <f t="shared" si="0"/>
        <v>-0.53089226497949737</v>
      </c>
      <c r="AJ65" s="24">
        <f t="shared" si="21"/>
        <v>18.416261219464978</v>
      </c>
      <c r="AL65" s="24" t="str">
        <f t="shared" si="22"/>
        <v>0.980815204839747-0.137174118531567i</v>
      </c>
      <c r="AM65" s="24" t="str">
        <f t="shared" si="23"/>
        <v>1.00000002379748+0.000642253558098101i</v>
      </c>
      <c r="AN65" s="24" t="str">
        <f t="shared" si="24"/>
        <v>-329.750480727508+45.9020893171268i</v>
      </c>
      <c r="AO65" s="24">
        <f t="shared" si="6"/>
        <v>332.92999465908764</v>
      </c>
      <c r="AP65" s="24">
        <f t="shared" si="7"/>
        <v>3.0032789729657656</v>
      </c>
      <c r="AQ65" s="24">
        <f t="shared" si="8"/>
        <v>172.07520985132282</v>
      </c>
      <c r="AR65" s="24">
        <f t="shared" si="9"/>
        <v>50.44705847616499</v>
      </c>
      <c r="AS65" s="24">
        <f t="shared" si="25"/>
        <v>68.863319695629968</v>
      </c>
      <c r="AT65" s="24">
        <f t="shared" si="26"/>
        <v>171.54431758634334</v>
      </c>
    </row>
    <row r="66" spans="3:46">
      <c r="C66" s="23"/>
      <c r="D66" s="13"/>
      <c r="Y66" s="24">
        <v>64</v>
      </c>
      <c r="Z66" s="24">
        <f t="shared" si="1"/>
        <v>51.236004823262483</v>
      </c>
      <c r="AA66" s="24" t="str">
        <f t="shared" si="10"/>
        <v>321.925312704105i</v>
      </c>
      <c r="AB66" s="24">
        <f t="shared" si="2"/>
        <v>9.0114691425450566</v>
      </c>
      <c r="AD66" s="24" t="str">
        <f t="shared" si="3"/>
        <v>0.999903933651582-0.00977836454859269i</v>
      </c>
      <c r="AE66" s="24" t="str">
        <f t="shared" si="4"/>
        <v>0.999999997061057-0.0000745926996140485i</v>
      </c>
      <c r="AF66" s="24" t="str">
        <f t="shared" si="19"/>
        <v>8.33277300843135-0.0821103444333245i</v>
      </c>
      <c r="AG66" s="24">
        <f t="shared" si="5"/>
        <v>8.3331775523329039</v>
      </c>
      <c r="AH66" s="24">
        <f t="shared" si="20"/>
        <v>-9.8535849809826253E-3</v>
      </c>
      <c r="AI66" s="24">
        <f t="shared" ref="AI66:AI129" si="27">AH66/(PI())*180</f>
        <v>-0.56456883248379996</v>
      </c>
      <c r="AJ66" s="24">
        <f t="shared" si="21"/>
        <v>18.416212705940527</v>
      </c>
      <c r="AL66" s="24" t="str">
        <f t="shared" si="22"/>
        <v>0.978358262713531-0.145510729823243i</v>
      </c>
      <c r="AM66" s="24" t="str">
        <f t="shared" si="23"/>
        <v>1.00000002691257+0.000682996742372576i</v>
      </c>
      <c r="AN66" s="24" t="str">
        <f t="shared" si="24"/>
        <v>-328.928323912558+48.6917401719461i</v>
      </c>
      <c r="AO66" s="24">
        <f t="shared" si="6"/>
        <v>332.51274837650504</v>
      </c>
      <c r="AP66" s="24">
        <f t="shared" si="7"/>
        <v>2.9946284817866218</v>
      </c>
      <c r="AQ66" s="24">
        <f t="shared" si="8"/>
        <v>171.57957321604275</v>
      </c>
      <c r="AR66" s="24">
        <f t="shared" si="9"/>
        <v>50.436166011936372</v>
      </c>
      <c r="AS66" s="24">
        <f t="shared" si="25"/>
        <v>68.852378717876903</v>
      </c>
      <c r="AT66" s="24">
        <f t="shared" si="26"/>
        <v>171.01500438355896</v>
      </c>
    </row>
    <row r="67" spans="3:46">
      <c r="C67" s="23"/>
      <c r="D67" s="13"/>
      <c r="Y67" s="24">
        <v>65</v>
      </c>
      <c r="Z67" s="24">
        <f t="shared" ref="Z67:Z130" si="28">10^(LOG($G$6/$G$5,10)*Y67/200)</f>
        <v>54.486306773278585</v>
      </c>
      <c r="AA67" s="24" t="str">
        <f t="shared" si="10"/>
        <v>342.347562160344i</v>
      </c>
      <c r="AB67" s="24">
        <f t="shared" ref="AB67:AB130" si="29">$B$23/$G$3</f>
        <v>9.0114691425450566</v>
      </c>
      <c r="AD67" s="24" t="str">
        <f t="shared" ref="AD67:AD130" si="30">IMDIV(IMSUM(1,IMDIV(AA67,$G$12)),IMSUM(1,IMDIV(AA67,$G$14)))</f>
        <v>0.999891359933341-0.0103985515993414i</v>
      </c>
      <c r="AE67" s="24" t="str">
        <f t="shared" ref="AE67:AE130" si="31">IMDIV(1,IMSUM(1,IMDIV(AA67,IMPRODUCT($G$10*$G$11)),IMDIV(IMPRODUCT(AA67,AA67),$G$10*$G$10)))</f>
        <v>0.99999999667635-0.0000793247000438612i</v>
      </c>
      <c r="AF67" s="24" t="str">
        <f t="shared" si="19"/>
        <v>8.33266742555809-0.0873181449960226i</v>
      </c>
      <c r="AG67" s="24">
        <f t="shared" ref="AG67:AG130" si="32">IMABS(AF67)</f>
        <v>8.3331249170645734</v>
      </c>
      <c r="AH67" s="24">
        <f t="shared" si="20"/>
        <v>-1.0478631225682575E-2</v>
      </c>
      <c r="AI67" s="24">
        <f t="shared" si="27"/>
        <v>-0.60038134430560841</v>
      </c>
      <c r="AJ67" s="24">
        <f t="shared" si="21"/>
        <v>18.416157842645845</v>
      </c>
      <c r="AL67" s="24" t="str">
        <f t="shared" si="22"/>
        <v>0.975594496486703-0.154304487658523i</v>
      </c>
      <c r="AM67" s="24" t="str">
        <f t="shared" si="23"/>
        <v>1.00000003043543+0.00072632458660404i</v>
      </c>
      <c r="AN67" s="24" t="str">
        <f t="shared" si="24"/>
        <v>-328.003495763751+51.6343643946975i</v>
      </c>
      <c r="AO67" s="24">
        <f t="shared" ref="AO67:AO130" si="33">IMABS(AN67)</f>
        <v>332.04276956393051</v>
      </c>
      <c r="AP67" s="24">
        <f t="shared" ref="AP67:AP130" si="34">IMARGUMENT(AN67)</f>
        <v>2.9854538387180209</v>
      </c>
      <c r="AQ67" s="24">
        <f t="shared" ref="AQ67:AQ130" si="35">AP67/(PI())*180</f>
        <v>171.05390488967296</v>
      </c>
      <c r="AR67" s="24">
        <f t="shared" ref="AR67:AR130" si="36">20*LOG(AO67,10)</f>
        <v>50.423880552953321</v>
      </c>
      <c r="AS67" s="24">
        <f t="shared" si="25"/>
        <v>68.840038395599166</v>
      </c>
      <c r="AT67" s="24">
        <f t="shared" si="26"/>
        <v>170.45352354536735</v>
      </c>
    </row>
    <row r="68" spans="3:46">
      <c r="D68" s="13"/>
      <c r="Y68" s="24">
        <v>66</v>
      </c>
      <c r="Z68" s="24">
        <f t="shared" si="28"/>
        <v>57.94280088840825</v>
      </c>
      <c r="AA68" s="24" t="str">
        <f t="shared" ref="AA68:AA131" si="37">IMPRODUCT(COMPLEX(0,1),2*PI()*Z68)</f>
        <v>364.065355198879i</v>
      </c>
      <c r="AB68" s="24">
        <f t="shared" si="29"/>
        <v>9.0114691425450566</v>
      </c>
      <c r="AD68" s="24" t="str">
        <f t="shared" si="30"/>
        <v>0.999877140697416-0.0110580553668414i</v>
      </c>
      <c r="AE68" s="24" t="str">
        <f t="shared" si="31"/>
        <v>0.999999996241283-0.0000843568884029182i</v>
      </c>
      <c r="AF68" s="24" t="str">
        <f t="shared" si="19"/>
        <v>8.33254802509468-0.0928560937293333i</v>
      </c>
      <c r="AG68" s="24">
        <f t="shared" si="32"/>
        <v>8.333065393038261</v>
      </c>
      <c r="AH68" s="24">
        <f t="shared" ref="AH68:AH99" si="38">IMARGUMENT(AF68)</f>
        <v>-1.1143320145678202E-2</v>
      </c>
      <c r="AI68" s="24">
        <f t="shared" si="27"/>
        <v>-0.63846521411046664</v>
      </c>
      <c r="AJ68" s="24">
        <f t="shared" ref="AJ68:AJ99" si="39">20*LOG(AG68,10)</f>
        <v>18.416095798577739</v>
      </c>
      <c r="AL68" s="24" t="str">
        <f t="shared" ref="AL68:AL99" si="40">IMDIV(1,IMSUM(1,IMDIV(AA68,wp2e)))</f>
        <v>0.972487707652867-0.163570676213491i</v>
      </c>
      <c r="AM68" s="24" t="str">
        <f t="shared" ref="AM68:AM99" si="41">IMDIV(IMSUM(1,IMDIV(AA68,wz2e)),IMSUM(1,IMDIV(AA68,wp1e)))</f>
        <v>1.00000003441943+0.000772401056056157i</v>
      </c>
      <c r="AN68" s="24" t="str">
        <f t="shared" ref="AN68:AN99" si="42">IMPRODUCT($AK$2,AL68,AM68)</f>
        <v>-326.963883318224+54.7350764833086i</v>
      </c>
      <c r="AO68" s="24">
        <f t="shared" si="33"/>
        <v>331.51366426162116</v>
      </c>
      <c r="AP68" s="24">
        <f t="shared" si="34"/>
        <v>2.975726613343058</v>
      </c>
      <c r="AQ68" s="24">
        <f t="shared" si="35"/>
        <v>170.49657592931501</v>
      </c>
      <c r="AR68" s="24">
        <f t="shared" si="36"/>
        <v>50.410028675396234</v>
      </c>
      <c r="AS68" s="24">
        <f t="shared" ref="AS68:AS99" si="43">AR68+AJ68</f>
        <v>68.826124473973977</v>
      </c>
      <c r="AT68" s="24">
        <f t="shared" ref="AT68:AT99" si="44">AQ68+AI68</f>
        <v>169.85811071520456</v>
      </c>
    </row>
    <row r="69" spans="3:46">
      <c r="D69" s="13"/>
      <c r="Y69" s="24">
        <v>67</v>
      </c>
      <c r="Z69" s="24">
        <f t="shared" si="28"/>
        <v>61.61856755613799</v>
      </c>
      <c r="AA69" s="24" t="str">
        <f t="shared" si="37"/>
        <v>387.160878318179i</v>
      </c>
      <c r="AB69" s="24">
        <f t="shared" si="29"/>
        <v>9.0114691425450566</v>
      </c>
      <c r="AD69" s="24" t="str">
        <f t="shared" si="30"/>
        <v>0.999861060652194-0.0117593646270813i</v>
      </c>
      <c r="AE69" s="24" t="str">
        <f t="shared" si="31"/>
        <v>0.999999995749267-0.0000897083079676876i</v>
      </c>
      <c r="AF69" s="24" t="str">
        <f t="shared" si="19"/>
        <v>8.33241299921417-0.0987450892462537i</v>
      </c>
      <c r="AG69" s="24">
        <f t="shared" si="32"/>
        <v>8.3329980788503448</v>
      </c>
      <c r="AH69" s="24">
        <f t="shared" si="38"/>
        <v>-1.1850164780956589E-2</v>
      </c>
      <c r="AI69" s="24">
        <f t="shared" si="27"/>
        <v>-0.67896442848338223</v>
      </c>
      <c r="AJ69" s="24">
        <f t="shared" si="39"/>
        <v>18.416025634005486</v>
      </c>
      <c r="AL69" s="24" t="str">
        <f t="shared" si="40"/>
        <v>0.968997996353044-0.17332304929475i</v>
      </c>
      <c r="AM69" s="24" t="str">
        <f t="shared" si="41"/>
        <v>1.00000003892493+0.000821400517595255i</v>
      </c>
      <c r="AN69" s="24" t="str">
        <f t="shared" si="42"/>
        <v>-325.796135044155+57.9984788351539i</v>
      </c>
      <c r="AO69" s="24">
        <f t="shared" si="33"/>
        <v>330.91833608445012</v>
      </c>
      <c r="AP69" s="24">
        <f t="shared" si="34"/>
        <v>2.9654174902202666</v>
      </c>
      <c r="AQ69" s="24">
        <f t="shared" si="35"/>
        <v>169.90590668389837</v>
      </c>
      <c r="AR69" s="24">
        <f t="shared" si="36"/>
        <v>50.394416639036976</v>
      </c>
      <c r="AS69" s="24">
        <f t="shared" si="43"/>
        <v>68.810442273042469</v>
      </c>
      <c r="AT69" s="24">
        <f t="shared" si="44"/>
        <v>169.226942255415</v>
      </c>
    </row>
    <row r="70" spans="3:46">
      <c r="D70" s="13"/>
      <c r="Y70" s="24">
        <v>68</v>
      </c>
      <c r="Z70" s="24">
        <f t="shared" si="28"/>
        <v>65.527516955603716</v>
      </c>
      <c r="AA70" s="24" t="str">
        <f t="shared" si="37"/>
        <v>411.72153175141i</v>
      </c>
      <c r="AB70" s="24">
        <f t="shared" si="29"/>
        <v>9.0114691425450566</v>
      </c>
      <c r="AD70" s="24" t="str">
        <f t="shared" si="30"/>
        <v>0.999842876354143-0.0125051249465588i</v>
      </c>
      <c r="AE70" s="24" t="str">
        <f t="shared" si="31"/>
        <v>0.999999995192846-0.000095399210079111i</v>
      </c>
      <c r="AF70" s="24" t="str">
        <f t="shared" si="19"/>
        <v>8.33226030369486-0.105007346752471i</v>
      </c>
      <c r="AG70" s="24">
        <f t="shared" si="32"/>
        <v>8.3329219551968166</v>
      </c>
      <c r="AH70" s="24">
        <f t="shared" si="38"/>
        <v>-1.2601837227481037E-2</v>
      </c>
      <c r="AI70" s="24">
        <f t="shared" si="27"/>
        <v>-0.72203208724550605</v>
      </c>
      <c r="AJ70" s="24">
        <f t="shared" si="39"/>
        <v>18.415946286252456</v>
      </c>
      <c r="AL70" s="24" t="str">
        <f t="shared" si="40"/>
        <v>0.965081537093023-0.183573320107228i</v>
      </c>
      <c r="AM70" s="24" t="str">
        <f t="shared" si="41"/>
        <v>1.00000004402021+0.000873508399545406i</v>
      </c>
      <c r="AN70" s="24" t="str">
        <f t="shared" si="42"/>
        <v>-324.485585789956+61.4284910101366i</v>
      </c>
      <c r="AO70" s="24">
        <f t="shared" si="33"/>
        <v>330.24892867840367</v>
      </c>
      <c r="AP70" s="24">
        <f t="shared" si="34"/>
        <v>2.9544963789423631</v>
      </c>
      <c r="AQ70" s="24">
        <f t="shared" si="35"/>
        <v>169.28017310008175</v>
      </c>
      <c r="AR70" s="24">
        <f t="shared" si="36"/>
        <v>50.376828348906926</v>
      </c>
      <c r="AS70" s="24">
        <f t="shared" si="43"/>
        <v>68.79277463515939</v>
      </c>
      <c r="AT70" s="24">
        <f t="shared" si="44"/>
        <v>168.55814101283624</v>
      </c>
    </row>
    <row r="71" spans="3:46">
      <c r="D71" s="13"/>
      <c r="Y71" s="24">
        <v>69</v>
      </c>
      <c r="Z71" s="24">
        <f t="shared" si="28"/>
        <v>69.684441697788372</v>
      </c>
      <c r="AA71" s="24" t="str">
        <f t="shared" si="37"/>
        <v>437.840260214556i</v>
      </c>
      <c r="AB71" s="24">
        <f t="shared" si="29"/>
        <v>9.0114691425450566</v>
      </c>
      <c r="AD71" s="24" t="str">
        <f t="shared" si="30"/>
        <v>0.999822312531026-0.0132981484076295i</v>
      </c>
      <c r="AE71" s="24" t="str">
        <f t="shared" si="31"/>
        <v>0.999999994563589-0.000101451130779612i</v>
      </c>
      <c r="AF71" s="24" t="str">
        <f t="shared" si="19"/>
        <v>8.33208762704596-0.111666479711537i</v>
      </c>
      <c r="AG71" s="24">
        <f t="shared" si="32"/>
        <v>8.3328358694662619</v>
      </c>
      <c r="AH71" s="24">
        <f t="shared" si="38"/>
        <v>-1.3401178653258312E-2</v>
      </c>
      <c r="AI71" s="24">
        <f t="shared" si="27"/>
        <v>-0.76783097733251382</v>
      </c>
      <c r="AJ71" s="24">
        <f t="shared" si="39"/>
        <v>18.415856553620692</v>
      </c>
      <c r="AL71" s="24" t="str">
        <f t="shared" si="40"/>
        <v>0.960690385750283-0.194330564958927i</v>
      </c>
      <c r="AM71" s="24" t="str">
        <f t="shared" si="41"/>
        <v>1.00000004978245+0.000928921893403278i</v>
      </c>
      <c r="AN71" s="24" t="str">
        <f t="shared" si="42"/>
        <v>-323.016192203745+65.0281501948289i</v>
      </c>
      <c r="AO71" s="24">
        <f t="shared" si="33"/>
        <v>329.49676894253145</v>
      </c>
      <c r="AP71" s="24">
        <f t="shared" si="34"/>
        <v>2.9429325582262398</v>
      </c>
      <c r="AQ71" s="24">
        <f t="shared" si="35"/>
        <v>168.61761497800194</v>
      </c>
      <c r="AR71" s="24">
        <f t="shared" si="36"/>
        <v>50.357023204864042</v>
      </c>
      <c r="AS71" s="24">
        <f t="shared" si="43"/>
        <v>68.772879758484734</v>
      </c>
      <c r="AT71" s="24">
        <f t="shared" si="44"/>
        <v>167.84978400066942</v>
      </c>
    </row>
    <row r="72" spans="3:46">
      <c r="D72" s="13"/>
      <c r="Y72" s="24">
        <v>70</v>
      </c>
      <c r="Z72" s="24">
        <f t="shared" si="28"/>
        <v>74.105072805100434</v>
      </c>
      <c r="AA72" s="24" t="str">
        <f t="shared" si="37"/>
        <v>465.615904636481i</v>
      </c>
      <c r="AB72" s="24">
        <f t="shared" si="29"/>
        <v>9.0114691425450566</v>
      </c>
      <c r="AD72" s="24" t="str">
        <f t="shared" si="30"/>
        <v>0.999799057926128-0.0141414239060781i</v>
      </c>
      <c r="AE72" s="24" t="str">
        <f t="shared" si="31"/>
        <v>0.999999993851963-0.000107886972311788i</v>
      </c>
      <c r="AF72" s="24" t="str">
        <f t="shared" si="19"/>
        <v>8.33189235561115-0.118747586315083i</v>
      </c>
      <c r="AG72" s="24">
        <f t="shared" si="32"/>
        <v>8.3327385183232021</v>
      </c>
      <c r="AH72" s="24">
        <f t="shared" si="38"/>
        <v>-1.4251209934803218E-2</v>
      </c>
      <c r="AI72" s="24">
        <f t="shared" si="27"/>
        <v>-0.81653418221913354</v>
      </c>
      <c r="AJ72" s="24">
        <f t="shared" si="39"/>
        <v>18.415755077216087</v>
      </c>
      <c r="AL72" s="24" t="str">
        <f t="shared" si="40"/>
        <v>0.955772334158419-0.20560053359801i</v>
      </c>
      <c r="AM72" s="24" t="str">
        <f t="shared" si="41"/>
        <v>1.00000005629898+0.000987850700068198i</v>
      </c>
      <c r="AN72" s="24" t="str">
        <f t="shared" si="42"/>
        <v>-321.37048407353+68.7993804233735i</v>
      </c>
      <c r="AO72" s="24">
        <f t="shared" si="33"/>
        <v>328.65231290878671</v>
      </c>
      <c r="AP72" s="24">
        <f t="shared" si="34"/>
        <v>2.9306948595609215</v>
      </c>
      <c r="AQ72" s="24">
        <f t="shared" si="35"/>
        <v>167.91644649352634</v>
      </c>
      <c r="AR72" s="24">
        <f t="shared" si="36"/>
        <v>50.334733859970427</v>
      </c>
      <c r="AS72" s="24">
        <f t="shared" si="43"/>
        <v>68.750488937186518</v>
      </c>
      <c r="AT72" s="24">
        <f t="shared" si="44"/>
        <v>167.09991231130721</v>
      </c>
    </row>
    <row r="73" spans="3:46">
      <c r="D73" s="13"/>
      <c r="Y73" s="24">
        <v>71</v>
      </c>
      <c r="Z73" s="24">
        <f t="shared" si="28"/>
        <v>78.806139242176371</v>
      </c>
      <c r="AA73" s="24" t="str">
        <f t="shared" si="37"/>
        <v>495.153576201991i</v>
      </c>
      <c r="AB73" s="24">
        <f t="shared" si="29"/>
        <v>9.0114691425450566</v>
      </c>
      <c r="AD73" s="24" t="str">
        <f t="shared" si="30"/>
        <v>0.999772760601459-0.01503812804817i</v>
      </c>
      <c r="AE73" s="24" t="str">
        <f t="shared" si="31"/>
        <v>0.999999993047185-0.0001147310897872i</v>
      </c>
      <c r="AF73" s="24" t="str">
        <f t="shared" si="19"/>
        <v>8.33167153412902-0.126277340986957i</v>
      </c>
      <c r="AG73" s="24">
        <f t="shared" si="32"/>
        <v>8.3326284280209304</v>
      </c>
      <c r="AH73" s="24">
        <f t="shared" si="38"/>
        <v>-1.5155142950317812E-2</v>
      </c>
      <c r="AI73" s="24">
        <f t="shared" si="27"/>
        <v>-0.86832572897065341</v>
      </c>
      <c r="AJ73" s="24">
        <f t="shared" si="39"/>
        <v>18.415640320401089</v>
      </c>
      <c r="AL73" s="24" t="str">
        <f t="shared" si="40"/>
        <v>0.950270832327047-0.217384860456077i</v>
      </c>
      <c r="AM73" s="24" t="str">
        <f t="shared" si="41"/>
        <v>1.00000006366852+0.0010505178234114i</v>
      </c>
      <c r="AN73" s="24" t="str">
        <f t="shared" si="42"/>
        <v>-319.529538299944+72.7427286390107i</v>
      </c>
      <c r="AO73" s="24">
        <f t="shared" si="33"/>
        <v>327.70509671963322</v>
      </c>
      <c r="AP73" s="24">
        <f t="shared" si="34"/>
        <v>2.9177518963455573</v>
      </c>
      <c r="AQ73" s="24">
        <f t="shared" si="35"/>
        <v>167.17486932689289</v>
      </c>
      <c r="AR73" s="24">
        <f t="shared" si="36"/>
        <v>50.309663918279163</v>
      </c>
      <c r="AS73" s="24">
        <f t="shared" si="43"/>
        <v>68.725304238680252</v>
      </c>
      <c r="AT73" s="24">
        <f t="shared" si="44"/>
        <v>166.30654359792223</v>
      </c>
    </row>
    <row r="74" spans="3:46">
      <c r="D74" s="13"/>
      <c r="Y74" s="24">
        <v>72</v>
      </c>
      <c r="Z74" s="24">
        <f t="shared" si="28"/>
        <v>83.805431223189501</v>
      </c>
      <c r="AA74" s="24" t="str">
        <f t="shared" si="37"/>
        <v>526.565054123394i</v>
      </c>
      <c r="AB74" s="24">
        <f t="shared" si="29"/>
        <v>9.0114691425450566</v>
      </c>
      <c r="AD74" s="24" t="str">
        <f t="shared" si="30"/>
        <v>0.999743022629922-0.0159916366743568i</v>
      </c>
      <c r="AE74" s="24" t="str">
        <f t="shared" si="31"/>
        <v>0.99999999213706-0.00012200938335325i</v>
      </c>
      <c r="AF74" s="24" t="str">
        <f t="shared" si="19"/>
        <v>8.33142182116266-0.134284091149472i</v>
      </c>
      <c r="AG74" s="24">
        <f t="shared" si="32"/>
        <v>8.3325039321491587</v>
      </c>
      <c r="AH74" s="24">
        <f t="shared" si="38"/>
        <v>-1.6116392567604408E-2</v>
      </c>
      <c r="AI74" s="24">
        <f t="shared" si="27"/>
        <v>-0.92340127509974079</v>
      </c>
      <c r="AJ74" s="24">
        <f t="shared" si="39"/>
        <v>18.415510545565912</v>
      </c>
      <c r="AL74" s="24" t="str">
        <f t="shared" si="40"/>
        <v>0.944125002479689-0.229680173659845i</v>
      </c>
      <c r="AM74" s="24" t="str">
        <f t="shared" si="41"/>
        <v>1.00000007200273+0.00111716041418751i</v>
      </c>
      <c r="AN74" s="24" t="str">
        <f t="shared" si="42"/>
        <v>-317.472983593698+76.8570665462627i</v>
      </c>
      <c r="AO74" s="24">
        <f t="shared" si="33"/>
        <v>326.64369577565873</v>
      </c>
      <c r="AP74" s="24">
        <f t="shared" si="34"/>
        <v>2.90407234472822</v>
      </c>
      <c r="AQ74" s="24">
        <f t="shared" si="35"/>
        <v>166.39108875358809</v>
      </c>
      <c r="AR74" s="24">
        <f t="shared" si="36"/>
        <v>50.281485614437358</v>
      </c>
      <c r="AS74" s="24">
        <f t="shared" si="43"/>
        <v>68.696996160003266</v>
      </c>
      <c r="AT74" s="24">
        <f t="shared" si="44"/>
        <v>165.46768747848836</v>
      </c>
    </row>
    <row r="75" spans="3:46">
      <c r="D75" s="13"/>
      <c r="Y75" s="24">
        <v>73</v>
      </c>
      <c r="Z75" s="24">
        <f t="shared" si="28"/>
        <v>89.121867535237712</v>
      </c>
      <c r="AA75" s="24" t="str">
        <f t="shared" si="37"/>
        <v>559.969208645811i</v>
      </c>
      <c r="AB75" s="24">
        <f t="shared" si="29"/>
        <v>9.0114691425450566</v>
      </c>
      <c r="AD75" s="24" t="str">
        <f t="shared" si="30"/>
        <v>0.999709394097519-0.0170055370363344i</v>
      </c>
      <c r="AE75" s="24" t="str">
        <f t="shared" si="31"/>
        <v>0.999999991107801-0.00012974939620692i</v>
      </c>
      <c r="AF75" s="24" t="str">
        <f t="shared" si="19"/>
        <v>8.33113943873553-0.142797959475949i</v>
      </c>
      <c r="AG75" s="24">
        <f t="shared" si="32"/>
        <v>8.3323631464840187</v>
      </c>
      <c r="AH75" s="24">
        <f t="shared" si="38"/>
        <v>-1.7138589366394244E-2</v>
      </c>
      <c r="AI75" s="24">
        <f t="shared" si="27"/>
        <v>-0.98196883750218189</v>
      </c>
      <c r="AJ75" s="24">
        <f t="shared" si="39"/>
        <v>18.415363787869701</v>
      </c>
      <c r="AL75" s="24" t="str">
        <f t="shared" si="40"/>
        <v>0.937269773412638-0.242477102547148i</v>
      </c>
      <c r="AM75" s="24" t="str">
        <f t="shared" si="41"/>
        <v>1.0000000814279+0.00118803066748187i</v>
      </c>
      <c r="AN75" s="24" t="str">
        <f t="shared" si="42"/>
        <v>-315.179045435559+81.1392585000233i</v>
      </c>
      <c r="AO75" s="24">
        <f t="shared" si="33"/>
        <v>325.45569583524536</v>
      </c>
      <c r="AP75" s="24">
        <f t="shared" si="34"/>
        <v>2.8896252824376343</v>
      </c>
      <c r="AQ75" s="24">
        <f t="shared" si="35"/>
        <v>165.56333305797492</v>
      </c>
      <c r="AR75" s="24">
        <f t="shared" si="36"/>
        <v>50.2498375315799</v>
      </c>
      <c r="AS75" s="24">
        <f t="shared" si="43"/>
        <v>68.665201319449608</v>
      </c>
      <c r="AT75" s="24">
        <f t="shared" si="44"/>
        <v>164.58136422047272</v>
      </c>
    </row>
    <row r="76" spans="3:46">
      <c r="D76" s="13"/>
      <c r="Y76" s="24">
        <v>74</v>
      </c>
      <c r="Z76" s="24">
        <f t="shared" si="28"/>
        <v>94.775567132582992</v>
      </c>
      <c r="AA76" s="24" t="str">
        <f t="shared" si="37"/>
        <v>595.492450887058i</v>
      </c>
      <c r="AB76" s="24">
        <f t="shared" si="29"/>
        <v>9.0114691425450566</v>
      </c>
      <c r="AD76" s="24" t="str">
        <f t="shared" si="30"/>
        <v>0.999671366326625-0.0180836406532259i</v>
      </c>
      <c r="AE76" s="24" t="str">
        <f t="shared" si="31"/>
        <v>0.999999989943812-0.000137980418826283i</v>
      </c>
      <c r="AF76" s="24" t="str">
        <f t="shared" ref="AF76:AF139" si="45">IMPRODUCT(AB76,AC$2,AD76,AE76)</f>
        <v>8.33082011542654-0.151850951845985i</v>
      </c>
      <c r="AG76" s="24">
        <f t="shared" si="32"/>
        <v>8.3322039405653054</v>
      </c>
      <c r="AH76" s="24">
        <f t="shared" si="38"/>
        <v>-1.8225593136416432E-2</v>
      </c>
      <c r="AI76" s="24">
        <f t="shared" si="27"/>
        <v>-1.0442495658392623</v>
      </c>
      <c r="AJ76" s="24">
        <f t="shared" si="39"/>
        <v>18.415197825557872</v>
      </c>
      <c r="AL76" s="24" t="str">
        <f t="shared" si="40"/>
        <v>0.92963616793135-0.255759189874508i</v>
      </c>
      <c r="AM76" s="24" t="str">
        <f t="shared" si="41"/>
        <v>1.00000009208681+0.00126339677708994i</v>
      </c>
      <c r="AN76" s="24" t="str">
        <f t="shared" si="42"/>
        <v>-312.624642260032+85.5837975019655i</v>
      </c>
      <c r="AO76" s="24">
        <f t="shared" si="33"/>
        <v>324.12768061841064</v>
      </c>
      <c r="AP76" s="24">
        <f t="shared" si="34"/>
        <v>2.8743805916960818</v>
      </c>
      <c r="AQ76" s="24">
        <f t="shared" si="35"/>
        <v>164.68987661850181</v>
      </c>
      <c r="AR76" s="24">
        <f t="shared" si="36"/>
        <v>50.214322430363111</v>
      </c>
      <c r="AS76" s="24">
        <f t="shared" si="43"/>
        <v>68.62952025592098</v>
      </c>
      <c r="AT76" s="24">
        <f t="shared" si="44"/>
        <v>163.64562705266255</v>
      </c>
    </row>
    <row r="77" spans="3:46">
      <c r="D77" s="13"/>
      <c r="Y77" s="24">
        <v>75</v>
      </c>
      <c r="Z77" s="24">
        <f t="shared" si="28"/>
        <v>100.78792527267464</v>
      </c>
      <c r="AA77" s="24" t="str">
        <f t="shared" si="37"/>
        <v>633.269211214383i</v>
      </c>
      <c r="AB77" s="24">
        <f t="shared" si="29"/>
        <v>9.0114691425450566</v>
      </c>
      <c r="AD77" s="24" t="str">
        <f t="shared" si="30"/>
        <v>0.99962836422009-0.019229996871139i</v>
      </c>
      <c r="AE77" s="24" t="str">
        <f t="shared" si="31"/>
        <v>0.999999988627457-0.000146733599814251i</v>
      </c>
      <c r="AF77" s="24" t="str">
        <f t="shared" si="45"/>
        <v>8.33045902208266-0.161477071207054i</v>
      </c>
      <c r="AG77" s="24">
        <f t="shared" si="32"/>
        <v>8.3320239055780441</v>
      </c>
      <c r="AH77" s="24">
        <f t="shared" si="38"/>
        <v>-1.9381507194081639E-2</v>
      </c>
      <c r="AI77" s="24">
        <f t="shared" si="27"/>
        <v>-1.1104785628233205</v>
      </c>
      <c r="AJ77" s="24">
        <f t="shared" si="39"/>
        <v>18.41501014641128</v>
      </c>
      <c r="AL77" s="24" t="str">
        <f t="shared" si="40"/>
        <v>0.921151779911563-0.269501722215874i</v>
      </c>
      <c r="AM77" s="24" t="str">
        <f t="shared" si="41"/>
        <v>1.00000010414098+0.00134354395044025i</v>
      </c>
      <c r="AN77" s="24" t="str">
        <f t="shared" si="42"/>
        <v>-309.785545092462+90.1824138216004i</v>
      </c>
      <c r="AO77" s="24">
        <f t="shared" si="33"/>
        <v>322.64524126495991</v>
      </c>
      <c r="AP77" s="24">
        <f t="shared" si="34"/>
        <v>2.858309431706743</v>
      </c>
      <c r="AQ77" s="24">
        <f t="shared" si="35"/>
        <v>163.76906697923317</v>
      </c>
      <c r="AR77" s="24">
        <f t="shared" si="36"/>
        <v>50.174505280534369</v>
      </c>
      <c r="AS77" s="24">
        <f t="shared" si="43"/>
        <v>68.589515426945653</v>
      </c>
      <c r="AT77" s="24">
        <f t="shared" si="44"/>
        <v>162.65858841640986</v>
      </c>
    </row>
    <row r="78" spans="3:46">
      <c r="D78" s="13"/>
      <c r="Y78" s="24">
        <v>76</v>
      </c>
      <c r="Z78" s="24">
        <f t="shared" si="28"/>
        <v>107.18169448207877</v>
      </c>
      <c r="AA78" s="24" t="str">
        <f t="shared" si="37"/>
        <v>673.442447968409i</v>
      </c>
      <c r="AB78" s="24">
        <f t="shared" si="29"/>
        <v>9.0114691425450566</v>
      </c>
      <c r="AD78" s="24" t="str">
        <f t="shared" si="30"/>
        <v>0.999579737613282-0.0204489071481036i</v>
      </c>
      <c r="AE78" s="24" t="str">
        <f t="shared" si="31"/>
        <v>0.99999998713879-0.000156042063773988i</v>
      </c>
      <c r="AF78" s="24" t="str">
        <f t="shared" si="45"/>
        <v>8.33005069920108-0.171712437527242i</v>
      </c>
      <c r="AG78" s="24">
        <f t="shared" si="32"/>
        <v>8.3318203180614692</v>
      </c>
      <c r="AH78" s="24">
        <f t="shared" si="38"/>
        <v>-2.0610693562104643E-2</v>
      </c>
      <c r="AI78" s="24">
        <f t="shared" si="27"/>
        <v>-1.180905753946053</v>
      </c>
      <c r="AJ78" s="24">
        <f t="shared" si="39"/>
        <v>18.414797909825648</v>
      </c>
      <c r="AL78" s="24" t="str">
        <f t="shared" si="40"/>
        <v>0.911741480303897-0.283670501457511i</v>
      </c>
      <c r="AM78" s="24" t="str">
        <f t="shared" si="41"/>
        <v>1.00000011777304+0.00142877548790182i</v>
      </c>
      <c r="AN78" s="24" t="str">
        <f t="shared" si="42"/>
        <v>-306.636613796533+94.9236639065662i</v>
      </c>
      <c r="AO78" s="24">
        <f t="shared" si="33"/>
        <v>320.99301377140733</v>
      </c>
      <c r="AP78" s="24">
        <f t="shared" si="34"/>
        <v>2.8413847851005394</v>
      </c>
      <c r="AQ78" s="24">
        <f t="shared" si="35"/>
        <v>162.79935615894729</v>
      </c>
      <c r="AR78" s="24">
        <f t="shared" si="36"/>
        <v>50.129911606755108</v>
      </c>
      <c r="AS78" s="24">
        <f t="shared" si="43"/>
        <v>68.544709516580753</v>
      </c>
      <c r="AT78" s="24">
        <f t="shared" si="44"/>
        <v>161.61845040500123</v>
      </c>
    </row>
    <row r="79" spans="3:46">
      <c r="D79" s="13"/>
      <c r="Y79" s="24">
        <v>77</v>
      </c>
      <c r="Z79" s="24">
        <f t="shared" si="28"/>
        <v>113.98107065871142</v>
      </c>
      <c r="AA79" s="24" t="str">
        <f t="shared" si="37"/>
        <v>716.164188459414i</v>
      </c>
      <c r="AB79" s="24">
        <f t="shared" si="29"/>
        <v>9.0114691425450566</v>
      </c>
      <c r="AD79" s="24" t="str">
        <f t="shared" si="30"/>
        <v>0.999524751507014-0.0217449400832495i</v>
      </c>
      <c r="AE79" s="24" t="str">
        <f t="shared" si="31"/>
        <v>0.999999985455257-0.000165941036662103i</v>
      </c>
      <c r="AF79" s="24" t="str">
        <f t="shared" si="45"/>
        <v>8.32958897491407-0.182595413997486i</v>
      </c>
      <c r="AG79" s="24">
        <f t="shared" si="32"/>
        <v>8.3315900989080678</v>
      </c>
      <c r="AH79" s="24">
        <f t="shared" si="38"/>
        <v>-2.1917789057664581E-2</v>
      </c>
      <c r="AI79" s="24">
        <f t="shared" si="27"/>
        <v>-1.2557968092621983</v>
      </c>
      <c r="AJ79" s="24">
        <f t="shared" si="39"/>
        <v>18.414557903955405</v>
      </c>
      <c r="AL79" s="24" t="str">
        <f t="shared" si="40"/>
        <v>0.901328392417164-0.29822059191118i</v>
      </c>
      <c r="AM79" s="24" t="str">
        <f t="shared" si="41"/>
        <v>1.00000013318954+0.0015194139305603i</v>
      </c>
      <c r="AN79" s="24" t="str">
        <f t="shared" si="42"/>
        <v>-303.152123429473+99.7925111341789i</v>
      </c>
      <c r="AO79" s="24">
        <f t="shared" si="33"/>
        <v>319.15475120740984</v>
      </c>
      <c r="AP79" s="24">
        <f t="shared" si="34"/>
        <v>2.8235820809730852</v>
      </c>
      <c r="AQ79" s="24">
        <f t="shared" si="35"/>
        <v>161.77933634852405</v>
      </c>
      <c r="AR79" s="24">
        <f t="shared" si="36"/>
        <v>50.080026281774352</v>
      </c>
      <c r="AS79" s="24">
        <f t="shared" si="43"/>
        <v>68.494584185729764</v>
      </c>
      <c r="AT79" s="24">
        <f t="shared" si="44"/>
        <v>160.52353953926186</v>
      </c>
    </row>
    <row r="80" spans="3:46">
      <c r="D80" s="13"/>
      <c r="Y80" s="24">
        <v>78</v>
      </c>
      <c r="Z80" s="24">
        <f t="shared" si="28"/>
        <v>121.21178463621371</v>
      </c>
      <c r="AA80" s="24" t="str">
        <f t="shared" si="37"/>
        <v>761.596104283274i</v>
      </c>
      <c r="AB80" s="24">
        <f t="shared" si="29"/>
        <v>9.0114691425450566</v>
      </c>
      <c r="AD80" s="24" t="str">
        <f t="shared" si="30"/>
        <v>0.999462575038461-0.0231229472048365i</v>
      </c>
      <c r="AE80" s="24" t="str">
        <f t="shared" si="31"/>
        <v>0.999999983551349-0.000176467979093952i</v>
      </c>
      <c r="AF80" s="24" t="str">
        <f t="shared" si="45"/>
        <v>8.32906687237652-0.194166739606015i</v>
      </c>
      <c r="AG80" s="24">
        <f t="shared" si="32"/>
        <v>8.3313297670473485</v>
      </c>
      <c r="AH80" s="24">
        <f t="shared" si="38"/>
        <v>-2.3307722335753501E-2</v>
      </c>
      <c r="AI80" s="24">
        <f t="shared" si="27"/>
        <v>-1.3354341199014768</v>
      </c>
      <c r="AJ80" s="24">
        <f t="shared" si="39"/>
        <v>18.414286497283605</v>
      </c>
      <c r="AL80" s="24" t="str">
        <f t="shared" si="40"/>
        <v>0.8898351751596-0.313095091319369i</v>
      </c>
      <c r="AM80" s="24" t="str">
        <f t="shared" si="41"/>
        <v>1.00000015062406+0.00161580228080632i</v>
      </c>
      <c r="AN80" s="24" t="str">
        <f t="shared" si="42"/>
        <v>-299.306193647979+104.769914557886i</v>
      </c>
      <c r="AO80" s="24">
        <f t="shared" si="33"/>
        <v>317.11343798790398</v>
      </c>
      <c r="AP80" s="24">
        <f t="shared" si="34"/>
        <v>2.8048798946066524</v>
      </c>
      <c r="AQ80" s="24">
        <f t="shared" si="35"/>
        <v>160.70778000206036</v>
      </c>
      <c r="AR80" s="24">
        <f t="shared" si="36"/>
        <v>50.024292921294766</v>
      </c>
      <c r="AS80" s="24">
        <f t="shared" si="43"/>
        <v>68.438579418578371</v>
      </c>
      <c r="AT80" s="24">
        <f t="shared" si="44"/>
        <v>159.3723458821589</v>
      </c>
    </row>
    <row r="81" spans="4:46">
      <c r="D81" s="13"/>
      <c r="Y81" s="24">
        <v>79</v>
      </c>
      <c r="Z81" s="24">
        <f t="shared" si="28"/>
        <v>128.90119955697148</v>
      </c>
      <c r="AA81" s="24" t="str">
        <f t="shared" si="37"/>
        <v>809.910123134187i</v>
      </c>
      <c r="AB81" s="24">
        <f t="shared" si="29"/>
        <v>9.0114691425450566</v>
      </c>
      <c r="AD81" s="24" t="str">
        <f t="shared" si="30"/>
        <v>0.999392269029451-0.0245880795261498i</v>
      </c>
      <c r="AE81" s="24" t="str">
        <f t="shared" si="31"/>
        <v>0.999999981398219-0.000187662728105558i</v>
      </c>
      <c r="AF81" s="24" t="str">
        <f t="shared" si="45"/>
        <v>8.32847650520766-0.206469668160675i</v>
      </c>
      <c r="AG81" s="24">
        <f t="shared" si="32"/>
        <v>8.3310353871332463</v>
      </c>
      <c r="AH81" s="24">
        <f t="shared" si="38"/>
        <v>-2.4785731935113624E-2</v>
      </c>
      <c r="AI81" s="24">
        <f t="shared" si="27"/>
        <v>-1.4201178320246333</v>
      </c>
      <c r="AJ81" s="24">
        <f t="shared" si="39"/>
        <v>18.413979583898602</v>
      </c>
      <c r="AL81" s="24" t="str">
        <f t="shared" si="40"/>
        <v>0.877185647517306-0.328223989536034i</v>
      </c>
      <c r="AM81" s="24" t="str">
        <f t="shared" si="41"/>
        <v>1.00000017034076+0.00171830530035511i</v>
      </c>
      <c r="AN81" s="24" t="str">
        <f t="shared" si="42"/>
        <v>-295.07333230101+109.832446992239i</v>
      </c>
      <c r="AO81" s="24">
        <f t="shared" si="33"/>
        <v>314.85145362142646</v>
      </c>
      <c r="AP81" s="24">
        <f t="shared" si="34"/>
        <v>2.785260720533639</v>
      </c>
      <c r="AQ81" s="24">
        <f t="shared" si="35"/>
        <v>159.58368413014421</v>
      </c>
      <c r="AR81" s="24">
        <f t="shared" si="36"/>
        <v>49.962114054289792</v>
      </c>
      <c r="AS81" s="24">
        <f t="shared" si="43"/>
        <v>68.376093638188394</v>
      </c>
      <c r="AT81" s="24">
        <f t="shared" si="44"/>
        <v>158.16356629811958</v>
      </c>
    </row>
    <row r="82" spans="4:46">
      <c r="D82" s="13"/>
      <c r="Y82" s="24">
        <v>80</v>
      </c>
      <c r="Z82" s="24">
        <f t="shared" si="28"/>
        <v>137.07841442227294</v>
      </c>
      <c r="AA82" s="24" t="str">
        <f t="shared" si="37"/>
        <v>861.2890794295i</v>
      </c>
      <c r="AB82" s="24">
        <f t="shared" si="29"/>
        <v>9.0114691425450566</v>
      </c>
      <c r="AD82" s="24" t="str">
        <f t="shared" si="30"/>
        <v>0.999312771931759-0.0261458048710219i</v>
      </c>
      <c r="AE82" s="24" t="str">
        <f t="shared" si="31"/>
        <v>0.999999978963245-0.000199567647908583i</v>
      </c>
      <c r="AF82" s="24" t="str">
        <f t="shared" si="45"/>
        <v>8.32780895947212-0.219550113773946i</v>
      </c>
      <c r="AG82" s="24">
        <f t="shared" si="32"/>
        <v>8.3307025104682655</v>
      </c>
      <c r="AH82" s="24">
        <f t="shared" si="38"/>
        <v>-2.6357385374520582E-2</v>
      </c>
      <c r="AI82" s="24">
        <f t="shared" si="27"/>
        <v>-1.5101669409598721</v>
      </c>
      <c r="AJ82" s="24">
        <f t="shared" si="39"/>
        <v>18.413632521666166</v>
      </c>
      <c r="AL82" s="24" t="str">
        <f t="shared" si="40"/>
        <v>0.863306777253224-0.343523195143903i</v>
      </c>
      <c r="AM82" s="24" t="str">
        <f t="shared" si="41"/>
        <v>1.00000019263837+0.00182731089060935i</v>
      </c>
      <c r="AN82" s="24" t="str">
        <f t="shared" si="42"/>
        <v>-290.429100900242+114.951969293819i</v>
      </c>
      <c r="AO82" s="24">
        <f t="shared" si="33"/>
        <v>312.35079301043891</v>
      </c>
      <c r="AP82" s="24">
        <f t="shared" si="34"/>
        <v>2.764711811170522</v>
      </c>
      <c r="AQ82" s="24">
        <f t="shared" si="35"/>
        <v>158.40631835004072</v>
      </c>
      <c r="AR82" s="24">
        <f t="shared" si="36"/>
        <v>49.892852257801565</v>
      </c>
      <c r="AS82" s="24">
        <f t="shared" si="43"/>
        <v>68.306484779467723</v>
      </c>
      <c r="AT82" s="24">
        <f t="shared" si="44"/>
        <v>156.89615140908086</v>
      </c>
    </row>
    <row r="83" spans="4:46">
      <c r="D83" s="13"/>
      <c r="Y83" s="24">
        <v>81</v>
      </c>
      <c r="Z83" s="24">
        <f t="shared" si="28"/>
        <v>145.77437421146283</v>
      </c>
      <c r="AA83" s="24" t="str">
        <f t="shared" si="37"/>
        <v>915.927406208762i</v>
      </c>
      <c r="AB83" s="24">
        <f t="shared" si="29"/>
        <v>9.0114691425450566</v>
      </c>
      <c r="AD83" s="24" t="str">
        <f t="shared" si="30"/>
        <v>0.999222883967072-0.02780192596149i</v>
      </c>
      <c r="AE83" s="24" t="str">
        <f t="shared" si="31"/>
        <v>0.999999976209532-0.000212227790208859i</v>
      </c>
      <c r="AF83" s="24" t="str">
        <f t="shared" si="45"/>
        <v>8.3270541605015-0.233456802747728i</v>
      </c>
      <c r="AG83" s="24">
        <f t="shared" si="32"/>
        <v>8.3303261083029962</v>
      </c>
      <c r="AH83" s="24">
        <f t="shared" si="38"/>
        <v>-2.8028599347014637E-2</v>
      </c>
      <c r="AI83" s="24">
        <f t="shared" si="27"/>
        <v>-1.6059204482470739</v>
      </c>
      <c r="AJ83" s="24">
        <f t="shared" si="39"/>
        <v>18.4132400623838</v>
      </c>
      <c r="AL83" s="24" t="str">
        <f t="shared" si="40"/>
        <v>0.848131040518642-0.358893826399129i</v>
      </c>
      <c r="AM83" s="24" t="str">
        <f t="shared" si="41"/>
        <v>1.00000021785475+0.00194323156058892i</v>
      </c>
      <c r="AN83" s="24" t="str">
        <f t="shared" si="42"/>
        <v>-285.35090420754+120.095393092987i</v>
      </c>
      <c r="AO83" s="24">
        <f t="shared" si="33"/>
        <v>309.59334937013705</v>
      </c>
      <c r="AP83" s="24">
        <f t="shared" si="34"/>
        <v>2.7432260678129299</v>
      </c>
      <c r="AQ83" s="24">
        <f t="shared" si="35"/>
        <v>157.17527593594943</v>
      </c>
      <c r="AR83" s="24">
        <f t="shared" si="36"/>
        <v>49.815832453468147</v>
      </c>
      <c r="AS83" s="24">
        <f t="shared" si="43"/>
        <v>68.229072515851954</v>
      </c>
      <c r="AT83" s="24">
        <f t="shared" si="44"/>
        <v>155.56935548770235</v>
      </c>
    </row>
    <row r="84" spans="4:46">
      <c r="D84" s="13"/>
      <c r="Y84" s="24">
        <v>82</v>
      </c>
      <c r="Z84" s="24">
        <f t="shared" si="28"/>
        <v>155.02198698682062</v>
      </c>
      <c r="AA84" s="24" t="str">
        <f t="shared" si="37"/>
        <v>974.031870925376i</v>
      </c>
      <c r="AB84" s="24">
        <f t="shared" si="29"/>
        <v>9.0114691425450566</v>
      </c>
      <c r="AD84" s="24" t="str">
        <f t="shared" si="30"/>
        <v>0.999121249234831-0.0295625992484024i</v>
      </c>
      <c r="AE84" s="24" t="str">
        <f t="shared" si="31"/>
        <v>0.999999973095358-0.000225691064695184i</v>
      </c>
      <c r="AF84" s="24" t="str">
        <f t="shared" si="45"/>
        <v>8.32620072265203-0.248241431696807i</v>
      </c>
      <c r="AG84" s="24">
        <f t="shared" si="32"/>
        <v>8.3299004965426864</v>
      </c>
      <c r="AH84" s="24">
        <f t="shared" si="38"/>
        <v>-2.9805661058886618E-2</v>
      </c>
      <c r="AI84" s="24">
        <f t="shared" si="27"/>
        <v>-1.7077385842716313</v>
      </c>
      <c r="AJ84" s="24">
        <f t="shared" si="39"/>
        <v>18.41279627288835</v>
      </c>
      <c r="AL84" s="24" t="str">
        <f t="shared" si="40"/>
        <v>0.831599135942051-0.374221876755602i</v>
      </c>
      <c r="AM84" s="24" t="str">
        <f t="shared" si="41"/>
        <v>1.00000024637195+0.00206650598798244i</v>
      </c>
      <c r="AN84" s="24" t="str">
        <f t="shared" si="42"/>
        <v>-279.818898439737+125.224568869739i</v>
      </c>
      <c r="AO84" s="24">
        <f t="shared" si="33"/>
        <v>306.56126397938777</v>
      </c>
      <c r="AP84" s="24">
        <f t="shared" si="34"/>
        <v>2.7208029644100922</v>
      </c>
      <c r="AQ84" s="24">
        <f t="shared" si="35"/>
        <v>155.89052674738141</v>
      </c>
      <c r="AR84" s="24">
        <f t="shared" si="36"/>
        <v>49.730345560739202</v>
      </c>
      <c r="AS84" s="24">
        <f t="shared" si="43"/>
        <v>68.143141833627553</v>
      </c>
      <c r="AT84" s="24">
        <f t="shared" si="44"/>
        <v>154.18278816310979</v>
      </c>
    </row>
    <row r="85" spans="4:46">
      <c r="D85" s="13"/>
      <c r="Y85" s="24">
        <v>83</v>
      </c>
      <c r="Z85" s="24">
        <f t="shared" si="28"/>
        <v>164.85624842731968</v>
      </c>
      <c r="AA85" s="24" t="str">
        <f t="shared" si="37"/>
        <v>1035.82235791528i</v>
      </c>
      <c r="AB85" s="24">
        <f t="shared" si="29"/>
        <v>9.0114691425450566</v>
      </c>
      <c r="AD85" s="24" t="str">
        <f t="shared" si="30"/>
        <v>0.999006335534168-0.0314343544511621i</v>
      </c>
      <c r="AE85" s="24" t="str">
        <f t="shared" si="31"/>
        <v>0.99999996957354-0.000240008420343542i</v>
      </c>
      <c r="AF85" s="24" t="str">
        <f t="shared" si="45"/>
        <v>8.32523577986715-0.263958831627073i</v>
      </c>
      <c r="AG85" s="24">
        <f t="shared" si="32"/>
        <v>8.3294192507745777</v>
      </c>
      <c r="AH85" s="24">
        <f t="shared" si="38"/>
        <v>-3.1695250758622173E-2</v>
      </c>
      <c r="AI85" s="24">
        <f t="shared" si="27"/>
        <v>-1.8160040990778712</v>
      </c>
      <c r="AJ85" s="24">
        <f t="shared" si="39"/>
        <v>18.412294445959624</v>
      </c>
      <c r="AL85" s="24" t="str">
        <f t="shared" si="40"/>
        <v>0.813663006495772-0.389378374278841i</v>
      </c>
      <c r="AM85" s="24" t="str">
        <f t="shared" si="41"/>
        <v>1.00000027862205+0.00219760067922806i</v>
      </c>
      <c r="AN85" s="24" t="str">
        <f t="shared" si="42"/>
        <v>-273.817002463921+130.296339297906i</v>
      </c>
      <c r="AO85" s="24">
        <f t="shared" si="33"/>
        <v>303.23734412628329</v>
      </c>
      <c r="AP85" s="24">
        <f t="shared" si="34"/>
        <v>2.6974494774455251</v>
      </c>
      <c r="AQ85" s="24">
        <f t="shared" si="35"/>
        <v>154.55247050739794</v>
      </c>
      <c r="AR85" s="24">
        <f t="shared" si="36"/>
        <v>49.635653685194953</v>
      </c>
      <c r="AS85" s="24">
        <f t="shared" si="43"/>
        <v>68.047948131154584</v>
      </c>
      <c r="AT85" s="24">
        <f t="shared" si="44"/>
        <v>152.73646640832007</v>
      </c>
    </row>
    <row r="86" spans="4:46">
      <c r="D86" s="13"/>
      <c r="Y86" s="24">
        <v>84</v>
      </c>
      <c r="Z86" s="24">
        <f t="shared" si="28"/>
        <v>175.3143742625403</v>
      </c>
      <c r="AA86" s="24" t="str">
        <f t="shared" si="37"/>
        <v>1101.53270050378i</v>
      </c>
      <c r="AB86" s="24">
        <f t="shared" si="29"/>
        <v>9.0114691425450566</v>
      </c>
      <c r="AD86" s="24" t="str">
        <f t="shared" si="30"/>
        <v>0.998876411616261-0.0334241147546081i</v>
      </c>
      <c r="AE86" s="24" t="str">
        <f t="shared" si="31"/>
        <v>0.999999965590714-0.000255234038222852i</v>
      </c>
      <c r="AF86" s="24" t="str">
        <f t="shared" si="45"/>
        <v>8.32414479466303-0.28066713753185i</v>
      </c>
      <c r="AG86" s="24">
        <f t="shared" si="32"/>
        <v>8.3288751103979184</v>
      </c>
      <c r="AH86" s="24">
        <f t="shared" si="38"/>
        <v>-3.3704465498389999E-2</v>
      </c>
      <c r="AI86" s="24">
        <f t="shared" si="27"/>
        <v>-1.9311236238020435</v>
      </c>
      <c r="AJ86" s="24">
        <f t="shared" si="39"/>
        <v>18.411726999718312</v>
      </c>
      <c r="AL86" s="24" t="str">
        <f t="shared" si="40"/>
        <v>0.794289085611726-0.404220155472008i</v>
      </c>
      <c r="AM86" s="24" t="str">
        <f t="shared" si="41"/>
        <v>1.00000031509369+0.00233701173490549i</v>
      </c>
      <c r="AN86" s="24" t="str">
        <f t="shared" si="42"/>
        <v>-267.33398403229+135.262798187636i</v>
      </c>
      <c r="AO86" s="24">
        <f t="shared" si="33"/>
        <v>299.60554666448655</v>
      </c>
      <c r="AP86" s="24">
        <f t="shared" si="34"/>
        <v>2.6731809878269175</v>
      </c>
      <c r="AQ86" s="24">
        <f t="shared" si="35"/>
        <v>153.16198847709467</v>
      </c>
      <c r="AR86" s="24">
        <f t="shared" si="36"/>
        <v>49.530996985854401</v>
      </c>
      <c r="AS86" s="24">
        <f t="shared" si="43"/>
        <v>67.942723985572712</v>
      </c>
      <c r="AT86" s="24">
        <f t="shared" si="44"/>
        <v>151.23086485329262</v>
      </c>
    </row>
    <row r="87" spans="4:46">
      <c r="D87" s="13"/>
      <c r="Y87" s="24">
        <v>85</v>
      </c>
      <c r="Z87" s="24">
        <f t="shared" si="28"/>
        <v>186.43594110790573</v>
      </c>
      <c r="AA87" s="24" t="str">
        <f t="shared" si="37"/>
        <v>1171.41156589939i</v>
      </c>
      <c r="AB87" s="24">
        <f t="shared" si="29"/>
        <v>9.0114691425450566</v>
      </c>
      <c r="AD87" s="24" t="str">
        <f t="shared" si="30"/>
        <v>0.998729521550627-0.0355392175885791i</v>
      </c>
      <c r="AE87" s="24" t="str">
        <f t="shared" si="31"/>
        <v>0.999999961086536-0.000271425536531891i</v>
      </c>
      <c r="AF87" s="24" t="str">
        <f t="shared" si="45"/>
        <v>8.32291134287967-0.298427962881136i</v>
      </c>
      <c r="AG87" s="24">
        <f t="shared" si="32"/>
        <v>8.3282598704930226</v>
      </c>
      <c r="AH87" s="24">
        <f t="shared" si="38"/>
        <v>-3.5840844166793139E-2</v>
      </c>
      <c r="AI87" s="24">
        <f t="shared" si="27"/>
        <v>-2.0535291049433226</v>
      </c>
      <c r="AJ87" s="24">
        <f t="shared" si="39"/>
        <v>18.411085364056067</v>
      </c>
      <c r="AL87" s="24" t="str">
        <f t="shared" si="40"/>
        <v>0.77346164241725-0.418591364132682i</v>
      </c>
      <c r="AM87" s="24" t="str">
        <f t="shared" si="41"/>
        <v>1.00000035633947+0.00248526672711992i</v>
      </c>
      <c r="AN87" s="24" t="str">
        <f t="shared" si="42"/>
        <v>-260.364579185167+140.071792042075i</v>
      </c>
      <c r="AO87" s="24">
        <f t="shared" si="33"/>
        <v>295.6515195633998</v>
      </c>
      <c r="AP87" s="24">
        <f t="shared" si="34"/>
        <v>2.6480221135149042</v>
      </c>
      <c r="AQ87" s="24">
        <f t="shared" si="35"/>
        <v>151.72049116171621</v>
      </c>
      <c r="AR87" s="24">
        <f t="shared" si="36"/>
        <v>49.415602309780681</v>
      </c>
      <c r="AS87" s="24">
        <f t="shared" si="43"/>
        <v>67.826687673836744</v>
      </c>
      <c r="AT87" s="24">
        <f t="shared" si="44"/>
        <v>149.66696205677289</v>
      </c>
    </row>
    <row r="88" spans="4:46">
      <c r="D88" s="13"/>
      <c r="Y88" s="24">
        <v>86</v>
      </c>
      <c r="Z88" s="24">
        <f t="shared" si="28"/>
        <v>198.26303623420247</v>
      </c>
      <c r="AA88" s="24" t="str">
        <f t="shared" si="37"/>
        <v>1245.72339622355i</v>
      </c>
      <c r="AB88" s="24">
        <f t="shared" si="29"/>
        <v>9.0114691425450566</v>
      </c>
      <c r="AD88" s="24" t="str">
        <f t="shared" si="30"/>
        <v>0.998563455852899-0.0377874358881263i</v>
      </c>
      <c r="AE88" s="24" t="str">
        <f t="shared" si="31"/>
        <v>0.999999955992762-0.000288644188643295i</v>
      </c>
      <c r="AF88" s="24" t="str">
        <f t="shared" si="45"/>
        <v>8.32151687123763-0.317306578146965i</v>
      </c>
      <c r="AG88" s="24">
        <f t="shared" si="32"/>
        <v>8.3275642599038431</v>
      </c>
      <c r="AH88" s="24">
        <f t="shared" si="38"/>
        <v>-3.8112393826205064E-2</v>
      </c>
      <c r="AI88" s="24">
        <f t="shared" si="27"/>
        <v>-2.1836793133820054</v>
      </c>
      <c r="AJ88" s="24">
        <f t="shared" si="39"/>
        <v>18.41035985245545</v>
      </c>
      <c r="AL88" s="24" t="str">
        <f t="shared" si="40"/>
        <v>0.751186057878009-0.432325761813595i</v>
      </c>
      <c r="AM88" s="24" t="str">
        <f t="shared" si="41"/>
        <v>1.00000040298433+0.00264292669598223i</v>
      </c>
      <c r="AN88" s="24" t="str">
        <f t="shared" si="42"/>
        <v>-252.910588533731+144.667693197868i</v>
      </c>
      <c r="AO88" s="24">
        <f t="shared" si="33"/>
        <v>291.36318787326348</v>
      </c>
      <c r="AP88" s="24">
        <f t="shared" si="34"/>
        <v>2.6220074254774026</v>
      </c>
      <c r="AQ88" s="24">
        <f t="shared" si="35"/>
        <v>150.22995933181789</v>
      </c>
      <c r="AR88" s="24">
        <f t="shared" si="36"/>
        <v>49.288693603901109</v>
      </c>
      <c r="AS88" s="24">
        <f t="shared" si="43"/>
        <v>67.699053456356552</v>
      </c>
      <c r="AT88" s="24">
        <f t="shared" si="44"/>
        <v>148.04628001843588</v>
      </c>
    </row>
    <row r="89" spans="4:46">
      <c r="D89" s="13"/>
      <c r="Y89" s="24">
        <v>87</v>
      </c>
      <c r="Z89" s="24">
        <f t="shared" si="28"/>
        <v>210.84041683815525</v>
      </c>
      <c r="AA89" s="24" t="str">
        <f t="shared" si="37"/>
        <v>1324.74940923712i</v>
      </c>
      <c r="AB89" s="24">
        <f t="shared" si="29"/>
        <v>9.0114691425450566</v>
      </c>
      <c r="AD89" s="24" t="str">
        <f t="shared" si="30"/>
        <v>0.998375718982468-0.040176999698602i</v>
      </c>
      <c r="AE89" s="24" t="str">
        <f t="shared" si="31"/>
        <v>0.999999950232211-0.000306955154979773i</v>
      </c>
      <c r="AF89" s="24" t="str">
        <f t="shared" si="45"/>
        <v>8.31994042441221-0.337372092224801i</v>
      </c>
      <c r="AG89" s="24">
        <f t="shared" si="32"/>
        <v>8.3267778038314759</v>
      </c>
      <c r="AH89" s="24">
        <f t="shared" si="38"/>
        <v>-4.0527617380707238E-2</v>
      </c>
      <c r="AI89" s="24">
        <f t="shared" si="27"/>
        <v>-2.3220614296355651</v>
      </c>
      <c r="AJ89" s="24">
        <f t="shared" si="39"/>
        <v>18.409539517358606</v>
      </c>
      <c r="AL89" s="24" t="str">
        <f t="shared" si="40"/>
        <v>0.727491823947219-0.445249896167498i</v>
      </c>
      <c r="AM89" s="24" t="str">
        <f t="shared" si="41"/>
        <v>1.000000455735+0.00281058827274035i</v>
      </c>
      <c r="AN89" s="24" t="str">
        <f t="shared" si="42"/>
        <v>-244.981880853437+148.992460036043i</v>
      </c>
      <c r="AO89" s="24">
        <f t="shared" si="33"/>
        <v>286.73136398740803</v>
      </c>
      <c r="AP89" s="24">
        <f t="shared" si="34"/>
        <v>2.5951819953847446</v>
      </c>
      <c r="AQ89" s="24">
        <f t="shared" si="35"/>
        <v>148.69297540388536</v>
      </c>
      <c r="AR89" s="24">
        <f t="shared" si="36"/>
        <v>49.149504013213587</v>
      </c>
      <c r="AS89" s="24">
        <f t="shared" si="43"/>
        <v>67.559043530572197</v>
      </c>
      <c r="AT89" s="24">
        <f t="shared" si="44"/>
        <v>146.37091397424979</v>
      </c>
    </row>
    <row r="90" spans="4:46">
      <c r="D90" s="13"/>
      <c r="Y90" s="24">
        <v>88</v>
      </c>
      <c r="Z90" s="24">
        <f t="shared" si="28"/>
        <v>224.21567941678887</v>
      </c>
      <c r="AA90" s="24" t="str">
        <f t="shared" si="37"/>
        <v>1408.78866255086i</v>
      </c>
      <c r="AB90" s="24">
        <f t="shared" si="29"/>
        <v>9.0114691425450566</v>
      </c>
      <c r="AD90" s="24" t="str">
        <f t="shared" si="30"/>
        <v>0.998163492776044-0.0427166179487942i</v>
      </c>
      <c r="AE90" s="24" t="str">
        <f t="shared" si="31"/>
        <v>0.999999943717605-0.000326427729600018i</v>
      </c>
      <c r="AF90" s="24" t="str">
        <f t="shared" si="45"/>
        <v>8.31815833798118-0.358697635266098i</v>
      </c>
      <c r="AG90" s="24">
        <f t="shared" si="32"/>
        <v>8.32588866904136</v>
      </c>
      <c r="AH90" s="24">
        <f t="shared" si="38"/>
        <v>-4.3095542591054761E-2</v>
      </c>
      <c r="AI90" s="24">
        <f t="shared" si="27"/>
        <v>-2.4691927062937222</v>
      </c>
      <c r="AJ90" s="24">
        <f t="shared" si="39"/>
        <v>18.408611987022226</v>
      </c>
      <c r="AL90" s="24" t="str">
        <f t="shared" si="40"/>
        <v>0.70243502778527-0.457187116534988i</v>
      </c>
      <c r="AM90" s="24" t="str">
        <f t="shared" si="41"/>
        <v>1.00000051539074+0.00298888593759613i</v>
      </c>
      <c r="AN90" s="24" t="str">
        <f t="shared" si="42"/>
        <v>-236.597224368604+152.986980702474i</v>
      </c>
      <c r="AO90" s="24">
        <f t="shared" si="33"/>
        <v>281.75035553373613</v>
      </c>
      <c r="AP90" s="24">
        <f t="shared" si="34"/>
        <v>2.567601722282701</v>
      </c>
      <c r="AQ90" s="24">
        <f t="shared" si="35"/>
        <v>147.11274215732007</v>
      </c>
      <c r="AR90" s="24">
        <f t="shared" si="36"/>
        <v>48.997289454876977</v>
      </c>
      <c r="AS90" s="24">
        <f t="shared" si="43"/>
        <v>67.405901441899204</v>
      </c>
      <c r="AT90" s="24">
        <f t="shared" si="44"/>
        <v>144.64354945102636</v>
      </c>
    </row>
    <row r="91" spans="4:46">
      <c r="D91" s="13"/>
      <c r="Y91" s="24">
        <v>89</v>
      </c>
      <c r="Z91" s="24">
        <f t="shared" si="28"/>
        <v>238.43943988652958</v>
      </c>
      <c r="AA91" s="24" t="str">
        <f t="shared" si="37"/>
        <v>1498.15918534717i</v>
      </c>
      <c r="AB91" s="24">
        <f t="shared" si="29"/>
        <v>9.0114691425450566</v>
      </c>
      <c r="AD91" s="24" t="str">
        <f t="shared" si="30"/>
        <v>0.997923595337576-0.0454155001654695i</v>
      </c>
      <c r="AE91" s="24" t="str">
        <f t="shared" si="31"/>
        <v>0.999999936350235-0.000347135602427463i</v>
      </c>
      <c r="AF91" s="24" t="str">
        <f t="shared" si="45"/>
        <v>8.31614389321885-0.381360541018946i</v>
      </c>
      <c r="AG91" s="24">
        <f t="shared" si="32"/>
        <v>8.3248834895731392</v>
      </c>
      <c r="AH91" s="24">
        <f t="shared" si="38"/>
        <v>-4.5825752440710049E-2</v>
      </c>
      <c r="AI91" s="24">
        <f t="shared" si="27"/>
        <v>-2.625622207864017</v>
      </c>
      <c r="AJ91" s="24">
        <f t="shared" si="39"/>
        <v>18.407563281550207</v>
      </c>
      <c r="AL91" s="24" t="str">
        <f t="shared" si="40"/>
        <v>0.6761000697434-0.46796235472137i</v>
      </c>
      <c r="AM91" s="24" t="str">
        <f t="shared" si="41"/>
        <v>1.00000058285541+0.00317849442075163i</v>
      </c>
      <c r="AN91" s="24" t="str">
        <f t="shared" si="42"/>
        <v>-227.784861634474+156.592672880514i</v>
      </c>
      <c r="AO91" s="24">
        <f t="shared" si="33"/>
        <v>276.41853843347798</v>
      </c>
      <c r="AP91" s="24">
        <f t="shared" si="34"/>
        <v>2.5393333882678442</v>
      </c>
      <c r="AQ91" s="24">
        <f t="shared" si="35"/>
        <v>145.49308592440266</v>
      </c>
      <c r="AR91" s="24">
        <f t="shared" si="36"/>
        <v>48.831343326096437</v>
      </c>
      <c r="AS91" s="24">
        <f t="shared" si="43"/>
        <v>67.238906607646641</v>
      </c>
      <c r="AT91" s="24">
        <f t="shared" si="44"/>
        <v>142.86746371653865</v>
      </c>
    </row>
    <row r="92" spans="4:46">
      <c r="D92" s="13"/>
      <c r="Y92" s="24">
        <v>90</v>
      </c>
      <c r="Z92" s="24">
        <f t="shared" si="28"/>
        <v>253.56552512868072</v>
      </c>
      <c r="AA92" s="24" t="str">
        <f t="shared" si="37"/>
        <v>1593.1991818958i</v>
      </c>
      <c r="AB92" s="24">
        <f t="shared" si="29"/>
        <v>9.0114691425450566</v>
      </c>
      <c r="AD92" s="24" t="str">
        <f t="shared" si="30"/>
        <v>0.997652434856686-0.0482833778424918i</v>
      </c>
      <c r="AE92" s="24" t="str">
        <f t="shared" si="31"/>
        <v>0.999999928018477-0.000369157138114234i</v>
      </c>
      <c r="AF92" s="24" t="str">
        <f t="shared" si="45"/>
        <v>8.31386692930461-0.405442526268228i</v>
      </c>
      <c r="AG92" s="24">
        <f t="shared" si="32"/>
        <v>8.3237471706132222</v>
      </c>
      <c r="AH92" s="24">
        <f t="shared" si="38"/>
        <v>-4.8728416841187137E-2</v>
      </c>
      <c r="AI92" s="24">
        <f t="shared" si="27"/>
        <v>-2.7919326273542255</v>
      </c>
      <c r="AJ92" s="24">
        <f t="shared" si="39"/>
        <v>18.406377605527204</v>
      </c>
      <c r="AL92" s="24" t="str">
        <f t="shared" si="40"/>
        <v>0.648600373791219-0.477407508224483i</v>
      </c>
      <c r="AM92" s="24" t="str">
        <f t="shared" si="41"/>
        <v>1.00000065915122+0.00338013125577065i</v>
      </c>
      <c r="AN92" s="24" t="str">
        <f t="shared" si="42"/>
        <v>-218.582747264773+159.753285159443i</v>
      </c>
      <c r="AO92" s="24">
        <f t="shared" si="33"/>
        <v>270.73885853539741</v>
      </c>
      <c r="AP92" s="24">
        <f t="shared" si="34"/>
        <v>2.5104544006895018</v>
      </c>
      <c r="AQ92" s="24">
        <f t="shared" si="35"/>
        <v>143.83844181955291</v>
      </c>
      <c r="AR92" s="24">
        <f t="shared" si="36"/>
        <v>48.651011870958669</v>
      </c>
      <c r="AS92" s="24">
        <f t="shared" si="43"/>
        <v>67.057389476485866</v>
      </c>
      <c r="AT92" s="24">
        <f t="shared" si="44"/>
        <v>141.0465091921987</v>
      </c>
    </row>
    <row r="93" spans="4:46">
      <c r="D93" s="13"/>
      <c r="Y93" s="24">
        <v>91</v>
      </c>
      <c r="Z93" s="24">
        <f t="shared" si="28"/>
        <v>269.65117668612646</v>
      </c>
      <c r="AA93" s="24" t="str">
        <f t="shared" si="37"/>
        <v>1694.26831141796i</v>
      </c>
      <c r="AB93" s="24">
        <f t="shared" si="29"/>
        <v>9.0114691425450566</v>
      </c>
      <c r="AD93" s="24" t="str">
        <f t="shared" si="30"/>
        <v>0.99734595777681-0.0513305251051919i</v>
      </c>
      <c r="AE93" s="24" t="str">
        <f t="shared" si="31"/>
        <v>0.999999918596091-0.000392575672595548i</v>
      </c>
      <c r="AF93" s="24" t="str">
        <f t="shared" si="45"/>
        <v>8.31129340808509-0.431029864358008i</v>
      </c>
      <c r="AG93" s="24">
        <f t="shared" si="32"/>
        <v>8.3224626679395293</v>
      </c>
      <c r="AH93" s="24">
        <f t="shared" si="38"/>
        <v>-5.1814325645087651E-2</v>
      </c>
      <c r="AI93" s="24">
        <f t="shared" si="27"/>
        <v>-2.9687421777799892</v>
      </c>
      <c r="AJ93" s="24">
        <f t="shared" si="39"/>
        <v>18.405037114377105</v>
      </c>
      <c r="AL93" s="24" t="str">
        <f t="shared" si="40"/>
        <v>0.620077887346765-0.48536718159589i</v>
      </c>
      <c r="AM93" s="24" t="str">
        <f t="shared" si="41"/>
        <v>1.00000074543415+0.00359455949491737i</v>
      </c>
      <c r="AN93" s="24" t="str">
        <f t="shared" si="42"/>
        <v>-209.038380561808+162.416818243665i</v>
      </c>
      <c r="AO93" s="24">
        <f t="shared" si="33"/>
        <v>264.71922369994019</v>
      </c>
      <c r="AP93" s="24">
        <f t="shared" si="34"/>
        <v>2.481052190942993</v>
      </c>
      <c r="AQ93" s="24">
        <f t="shared" si="35"/>
        <v>142.15381929271953</v>
      </c>
      <c r="AR93" s="24">
        <f t="shared" si="36"/>
        <v>48.455709611343075</v>
      </c>
      <c r="AS93" s="24">
        <f t="shared" si="43"/>
        <v>66.860746725720176</v>
      </c>
      <c r="AT93" s="24">
        <f t="shared" si="44"/>
        <v>139.18507711493953</v>
      </c>
    </row>
    <row r="94" spans="4:46">
      <c r="D94" s="13"/>
      <c r="Y94" s="24">
        <v>92</v>
      </c>
      <c r="Z94" s="24">
        <f t="shared" si="28"/>
        <v>286.75726738211927</v>
      </c>
      <c r="AA94" s="24" t="str">
        <f t="shared" si="37"/>
        <v>1801.7490491423i</v>
      </c>
      <c r="AB94" s="24">
        <f t="shared" si="29"/>
        <v>9.0114691425450566</v>
      </c>
      <c r="AD94" s="24" t="str">
        <f t="shared" si="30"/>
        <v>0.996999590681701-0.0545677782236718i</v>
      </c>
      <c r="AE94" s="24" t="str">
        <f t="shared" si="31"/>
        <v>0.999999907940313-0.000417479828456842i</v>
      </c>
      <c r="AF94" s="24" t="str">
        <f t="shared" si="45"/>
        <v>8.30838492608886-0.458213549048406i</v>
      </c>
      <c r="AG94" s="24">
        <f t="shared" si="32"/>
        <v>8.3210107400839295</v>
      </c>
      <c r="AH94" s="24">
        <f t="shared" si="38"/>
        <v>-5.5094922910432498E-2</v>
      </c>
      <c r="AI94" s="24">
        <f t="shared" si="27"/>
        <v>-3.1567065553664082</v>
      </c>
      <c r="AJ94" s="24">
        <f t="shared" si="39"/>
        <v>18.403521651247626</v>
      </c>
      <c r="AL94" s="24" t="str">
        <f t="shared" si="40"/>
        <v>0.590701235661238-0.491704470032076i</v>
      </c>
      <c r="AM94" s="24" t="str">
        <f t="shared" si="41"/>
        <v>1.00000084301151+0.00382259059674753i</v>
      </c>
      <c r="AN94" s="24" t="str">
        <f t="shared" si="42"/>
        <v>-199.208187925547+164.537460293185i</v>
      </c>
      <c r="AO94" s="24">
        <f t="shared" si="33"/>
        <v>258.37275006531064</v>
      </c>
      <c r="AP94" s="24">
        <f t="shared" si="34"/>
        <v>2.4512232572299291</v>
      </c>
      <c r="AQ94" s="24">
        <f t="shared" si="35"/>
        <v>140.44474728358549</v>
      </c>
      <c r="AR94" s="24">
        <f t="shared" si="36"/>
        <v>48.244934155476145</v>
      </c>
      <c r="AS94" s="24">
        <f t="shared" si="43"/>
        <v>66.648455806723774</v>
      </c>
      <c r="AT94" s="24">
        <f t="shared" si="44"/>
        <v>137.28804072821907</v>
      </c>
    </row>
    <row r="95" spans="4:46">
      <c r="D95" s="13"/>
      <c r="Y95" s="24">
        <v>93</v>
      </c>
      <c r="Z95" s="24">
        <f t="shared" si="28"/>
        <v>304.94853168089651</v>
      </c>
      <c r="AA95" s="24" t="str">
        <f t="shared" si="37"/>
        <v>1916.0481337034i</v>
      </c>
      <c r="AB95" s="24">
        <f t="shared" si="29"/>
        <v>9.0114691425450566</v>
      </c>
      <c r="AD95" s="24" t="str">
        <f t="shared" si="30"/>
        <v>0.996608175215645-0.0580065534246545i</v>
      </c>
      <c r="AE95" s="24" t="str">
        <f t="shared" si="31"/>
        <v>0.999999895889695-0.000443963850307042i</v>
      </c>
      <c r="AF95" s="24" t="str">
        <f t="shared" si="45"/>
        <v>8.30509816804446-0.487089444085259i</v>
      </c>
      <c r="AG95" s="24">
        <f t="shared" si="32"/>
        <v>8.3193696700768562</v>
      </c>
      <c r="AH95" s="24">
        <f t="shared" si="38"/>
        <v>-5.8582342329211674E-2</v>
      </c>
      <c r="AI95" s="24">
        <f t="shared" si="27"/>
        <v>-3.3565209694544214</v>
      </c>
      <c r="AJ95" s="24">
        <f t="shared" si="39"/>
        <v>18.401808450868231</v>
      </c>
      <c r="AL95" s="24" t="str">
        <f t="shared" si="40"/>
        <v>0.560662491032293-0.496306419645925i</v>
      </c>
      <c r="AM95" s="24" t="str">
        <f t="shared" si="41"/>
        <v>1.00000095336177+0.00406508749687864i</v>
      </c>
      <c r="AN95" s="24" t="str">
        <f t="shared" si="42"/>
        <v>-189.156441748257+166.077414072915i</v>
      </c>
      <c r="AO95" s="24">
        <f t="shared" si="33"/>
        <v>251.71783194682138</v>
      </c>
      <c r="AP95" s="24">
        <f t="shared" si="34"/>
        <v>2.4210718597613674</v>
      </c>
      <c r="AQ95" s="24">
        <f t="shared" si="35"/>
        <v>138.71719946221546</v>
      </c>
      <c r="AR95" s="24">
        <f t="shared" si="36"/>
        <v>48.018279650005155</v>
      </c>
      <c r="AS95" s="24">
        <f t="shared" si="43"/>
        <v>66.420088100873386</v>
      </c>
      <c r="AT95" s="24">
        <f t="shared" si="44"/>
        <v>135.36067849276105</v>
      </c>
    </row>
    <row r="96" spans="4:46">
      <c r="D96" s="13"/>
      <c r="Y96" s="24">
        <v>94</v>
      </c>
      <c r="Z96" s="24">
        <f t="shared" si="28"/>
        <v>324.29381066187881</v>
      </c>
      <c r="AA96" s="24" t="str">
        <f t="shared" si="37"/>
        <v>2037.59810636i</v>
      </c>
      <c r="AB96" s="24">
        <f t="shared" si="29"/>
        <v>9.0114691425450566</v>
      </c>
      <c r="AD96" s="24" t="str">
        <f t="shared" si="30"/>
        <v>0.99616589530028-0.061658862327448i</v>
      </c>
      <c r="AE96" s="24" t="str">
        <f t="shared" si="31"/>
        <v>0.999999882261649-0.000472127961427078i</v>
      </c>
      <c r="AF96" s="24" t="str">
        <f t="shared" si="45"/>
        <v>8.3013842957121-0.517758412819332i</v>
      </c>
      <c r="AG96" s="24">
        <f t="shared" si="32"/>
        <v>8.3175149533463824</v>
      </c>
      <c r="AH96" s="24">
        <f t="shared" si="38"/>
        <v>-6.2289443695380101E-2</v>
      </c>
      <c r="AI96" s="24">
        <f t="shared" si="27"/>
        <v>-3.5689222319630542</v>
      </c>
      <c r="AJ96" s="24">
        <f t="shared" si="39"/>
        <v>18.399871806446853</v>
      </c>
      <c r="AL96" s="24" t="str">
        <f t="shared" si="40"/>
        <v>0.530172630996429-0.499088782020547i</v>
      </c>
      <c r="AM96" s="24" t="str">
        <f t="shared" si="41"/>
        <v>1.00000107815687+0.00432296787355889i</v>
      </c>
      <c r="AN96" s="24" t="str">
        <f t="shared" si="42"/>
        <v>-178.953740607393+167.008487950465i</v>
      </c>
      <c r="AO96" s="24">
        <f t="shared" si="33"/>
        <v>244.77801438217179</v>
      </c>
      <c r="AP96" s="24">
        <f t="shared" si="34"/>
        <v>2.3907084000738266</v>
      </c>
      <c r="AQ96" s="24">
        <f t="shared" si="35"/>
        <v>136.97750137070378</v>
      </c>
      <c r="AR96" s="24">
        <f t="shared" si="36"/>
        <v>47.775448150083577</v>
      </c>
      <c r="AS96" s="24">
        <f t="shared" si="43"/>
        <v>66.17531995653043</v>
      </c>
      <c r="AT96" s="24">
        <f t="shared" si="44"/>
        <v>133.40857913874072</v>
      </c>
    </row>
    <row r="97" spans="4:46">
      <c r="D97" s="13"/>
      <c r="Y97" s="24">
        <v>95</v>
      </c>
      <c r="Z97" s="24">
        <f t="shared" si="28"/>
        <v>344.8663125345048</v>
      </c>
      <c r="AA97" s="24" t="str">
        <f t="shared" si="37"/>
        <v>2166.858947858i</v>
      </c>
      <c r="AB97" s="24">
        <f t="shared" si="29"/>
        <v>9.0114691425450566</v>
      </c>
      <c r="AD97" s="24" t="str">
        <f t="shared" si="30"/>
        <v>0.995666195861487-0.0655373241823032i</v>
      </c>
      <c r="AE97" s="24" t="str">
        <f t="shared" si="31"/>
        <v>0.99999986684969-0.000502078743043307i</v>
      </c>
      <c r="AF97" s="24" t="str">
        <f t="shared" si="45"/>
        <v>8.29718826542456-0.550326420974992i</v>
      </c>
      <c r="AG97" s="24">
        <f t="shared" si="32"/>
        <v>8.3154189480459841</v>
      </c>
      <c r="AH97" s="24">
        <f t="shared" si="38"/>
        <v>-6.6229850241465923E-2</v>
      </c>
      <c r="AI97" s="24">
        <f t="shared" si="27"/>
        <v>-3.7946908966194934</v>
      </c>
      <c r="AJ97" s="24">
        <f t="shared" si="39"/>
        <v>18.397682695262457</v>
      </c>
      <c r="AL97" s="24" t="str">
        <f t="shared" si="40"/>
        <v>0.499455879434446-0.499999703932723i</v>
      </c>
      <c r="AM97" s="24" t="str">
        <f t="shared" si="41"/>
        <v>1.00000121928766+0.00459720762039175i</v>
      </c>
      <c r="AN97" s="24" t="str">
        <f t="shared" si="42"/>
        <v>-168.675115652136+167.313330574023i</v>
      </c>
      <c r="AO97" s="24">
        <f t="shared" si="33"/>
        <v>237.58166012559505</v>
      </c>
      <c r="AP97" s="24">
        <f t="shared" si="34"/>
        <v>2.3602475391487174</v>
      </c>
      <c r="AQ97" s="24">
        <f t="shared" si="35"/>
        <v>135.23222259936006</v>
      </c>
      <c r="AR97" s="24">
        <f t="shared" si="36"/>
        <v>47.516258253652275</v>
      </c>
      <c r="AS97" s="24">
        <f t="shared" si="43"/>
        <v>65.913940948914728</v>
      </c>
      <c r="AT97" s="24">
        <f t="shared" si="44"/>
        <v>131.43753170274056</v>
      </c>
    </row>
    <row r="98" spans="4:46">
      <c r="D98" s="13"/>
      <c r="Y98" s="24">
        <v>96</v>
      </c>
      <c r="Z98" s="24">
        <f t="shared" si="28"/>
        <v>366.74388967956821</v>
      </c>
      <c r="AA98" s="24" t="str">
        <f t="shared" si="37"/>
        <v>2304.31981913255i</v>
      </c>
      <c r="AB98" s="24">
        <f t="shared" si="29"/>
        <v>9.0114691425450566</v>
      </c>
      <c r="AD98" s="24" t="str">
        <f t="shared" si="30"/>
        <v>0.995101692236209-0.0696551739151968i</v>
      </c>
      <c r="AE98" s="24" t="str">
        <f t="shared" si="31"/>
        <v>0.999999849420305-0.000533929537661117i</v>
      </c>
      <c r="AF98" s="24" t="str">
        <f t="shared" si="45"/>
        <v>8.2924480673665-0.584904604205106i</v>
      </c>
      <c r="AG98" s="24">
        <f t="shared" si="32"/>
        <v>8.3130504837869665</v>
      </c>
      <c r="AH98" s="24">
        <f t="shared" si="38"/>
        <v>-7.0417986616979608E-2</v>
      </c>
      <c r="AI98" s="24">
        <f t="shared" si="27"/>
        <v>-4.0346534349616459</v>
      </c>
      <c r="AJ98" s="24">
        <f t="shared" si="39"/>
        <v>18.395208358175815</v>
      </c>
      <c r="AL98" s="24" t="str">
        <f t="shared" si="40"/>
        <v>0.468743234432222-0.499022058236147i</v>
      </c>
      <c r="AM98" s="24" t="str">
        <f t="shared" si="41"/>
        <v>1.00000137889247+0.00488884453935672i</v>
      </c>
      <c r="AN98" s="24" t="str">
        <f t="shared" si="42"/>
        <v>-158.397864857064+166.986210846891i</v>
      </c>
      <c r="AO98" s="24">
        <f t="shared" si="33"/>
        <v>230.161417714349</v>
      </c>
      <c r="AP98" s="24">
        <f t="shared" si="34"/>
        <v>2.3298061293204002</v>
      </c>
      <c r="AQ98" s="24">
        <f t="shared" si="35"/>
        <v>133.48805829376943</v>
      </c>
      <c r="AR98" s="24">
        <f t="shared" si="36"/>
        <v>47.240650479871881</v>
      </c>
      <c r="AS98" s="24">
        <f t="shared" si="43"/>
        <v>65.635858838047696</v>
      </c>
      <c r="AT98" s="24">
        <f t="shared" si="44"/>
        <v>129.45340485880777</v>
      </c>
    </row>
    <row r="99" spans="4:46">
      <c r="D99" s="13"/>
      <c r="Y99" s="24">
        <v>97</v>
      </c>
      <c r="Z99" s="24">
        <f t="shared" si="28"/>
        <v>390.00933326545766</v>
      </c>
      <c r="AA99" s="24" t="str">
        <f t="shared" si="37"/>
        <v>2450.50091243643i</v>
      </c>
      <c r="AB99" s="24">
        <f t="shared" si="29"/>
        <v>9.0114691425450566</v>
      </c>
      <c r="AD99" s="24" t="str">
        <f t="shared" si="30"/>
        <v>0.994464069395265-0.0740262647778513i</v>
      </c>
      <c r="AE99" s="24" t="str">
        <f t="shared" si="31"/>
        <v>0.999999829709411-0.000567800877984937i</v>
      </c>
      <c r="AF99" s="24" t="str">
        <f t="shared" si="45"/>
        <v>8.28709387933739-0.621609290345658i</v>
      </c>
      <c r="AG99" s="24">
        <f t="shared" si="32"/>
        <v>8.3103744244645945</v>
      </c>
      <c r="AH99" s="24">
        <f t="shared" si="38"/>
        <v>-7.4869117214137304E-2</v>
      </c>
      <c r="AI99" s="24">
        <f t="shared" si="27"/>
        <v>-4.2896844322403274</v>
      </c>
      <c r="AJ99" s="24">
        <f t="shared" si="39"/>
        <v>18.392411827825651</v>
      </c>
      <c r="AL99" s="24" t="str">
        <f t="shared" si="40"/>
        <v>0.438265570802622-0.496174223687279i</v>
      </c>
      <c r="AM99" s="24" t="str">
        <f t="shared" si="41"/>
        <v>1.00000155938956+0.00519898226809978i</v>
      </c>
      <c r="AN99" s="24" t="str">
        <f t="shared" si="42"/>
        <v>-148.19924494637+166.03327887789i</v>
      </c>
      <c r="AO99" s="24">
        <f t="shared" si="33"/>
        <v>222.55351243603721</v>
      </c>
      <c r="AP99" s="24">
        <f t="shared" si="34"/>
        <v>2.2995010500754023</v>
      </c>
      <c r="AQ99" s="24">
        <f t="shared" si="35"/>
        <v>131.75170515522154</v>
      </c>
      <c r="AR99" s="24">
        <f t="shared" si="36"/>
        <v>46.948689057929258</v>
      </c>
      <c r="AS99" s="24">
        <f t="shared" si="43"/>
        <v>65.341100885754912</v>
      </c>
      <c r="AT99" s="24">
        <f t="shared" si="44"/>
        <v>127.46202072298122</v>
      </c>
    </row>
    <row r="100" spans="4:46">
      <c r="D100" s="13"/>
      <c r="Y100" s="24">
        <v>98</v>
      </c>
      <c r="Z100" s="24">
        <f t="shared" si="28"/>
        <v>414.75068655422291</v>
      </c>
      <c r="AA100" s="24" t="str">
        <f t="shared" si="37"/>
        <v>2605.95541990014i</v>
      </c>
      <c r="AB100" s="24">
        <f t="shared" si="29"/>
        <v>9.0114691425450566</v>
      </c>
      <c r="AD100" s="24" t="str">
        <f t="shared" si="30"/>
        <v>0.993743970099346-0.0786650641612462i</v>
      </c>
      <c r="AE100" s="24" t="str">
        <f t="shared" si="31"/>
        <v>0.99999980741836-0.000603820943047862i</v>
      </c>
      <c r="AF100" s="24" t="str">
        <f t="shared" si="45"/>
        <v>8.28104712758538-0.660561964263604i</v>
      </c>
      <c r="AG100" s="24">
        <f t="shared" si="32"/>
        <v>8.3073511806063589</v>
      </c>
      <c r="AH100" s="24">
        <f t="shared" ref="AH100:AH131" si="46">IMARGUMENT(AF100)</f>
        <v>-7.9599384464990167E-2</v>
      </c>
      <c r="AI100" s="24">
        <f t="shared" si="27"/>
        <v>-4.5607087816831466</v>
      </c>
      <c r="AJ100" s="24">
        <f t="shared" ref="AJ100:AJ131" si="47">20*LOG(AG100,10)</f>
        <v>18.389251399808558</v>
      </c>
      <c r="AL100" s="24" t="str">
        <f t="shared" ref="AL100:AL131" si="48">IMDIV(1,IMSUM(1,IMDIV(AA100,wp2e)))</f>
        <v>0.408246750403738-0.491509248324511i</v>
      </c>
      <c r="AM100" s="24" t="str">
        <f t="shared" ref="AM100:AM131" si="49">IMDIV(IMSUM(1,IMDIV(AA100,wz2e)),IMSUM(1,IMDIV(AA100,wp1e)))</f>
        <v>1.00000176351373+0.00552879445635403i</v>
      </c>
      <c r="AN100" s="24" t="str">
        <f t="shared" ref="AN100:AN131" si="50">IMPRODUCT($AK$2,AL100,AM100)</f>
        <v>-138.154165926935+164.472286026603i</v>
      </c>
      <c r="AO100" s="24">
        <f t="shared" si="33"/>
        <v>214.79689577315543</v>
      </c>
      <c r="AP100" s="24">
        <f t="shared" si="34"/>
        <v>2.2694470458584597</v>
      </c>
      <c r="AQ100" s="24">
        <f t="shared" si="35"/>
        <v>130.02973755612231</v>
      </c>
      <c r="AR100" s="24">
        <f t="shared" si="36"/>
        <v>46.640560013703912</v>
      </c>
      <c r="AS100" s="24">
        <f t="shared" ref="AS100:AS131" si="51">AR100+AJ100</f>
        <v>65.029811413512476</v>
      </c>
      <c r="AT100" s="24">
        <f t="shared" ref="AT100:AT131" si="52">AQ100+AI100</f>
        <v>125.46902877443917</v>
      </c>
    </row>
    <row r="101" spans="4:46">
      <c r="D101" s="13"/>
      <c r="Y101" s="24">
        <v>99</v>
      </c>
      <c r="Z101" s="24">
        <f t="shared" si="28"/>
        <v>441.06157808309626</v>
      </c>
      <c r="AA101" s="24" t="str">
        <f t="shared" si="37"/>
        <v>2771.27162697315i</v>
      </c>
      <c r="AB101" s="24">
        <f t="shared" si="29"/>
        <v>9.0114691425450566</v>
      </c>
      <c r="AD101" s="24" t="str">
        <f t="shared" si="30"/>
        <v>0.992930871107991-0.0835866408503853i</v>
      </c>
      <c r="AE101" s="24" t="str">
        <f t="shared" si="31"/>
        <v>0.999999782209409-0.000642126043276886i</v>
      </c>
      <c r="AF101" s="24" t="str">
        <f t="shared" si="45"/>
        <v>8.27421944732063-0.701889160836186i</v>
      </c>
      <c r="AG101" s="24">
        <f t="shared" si="32"/>
        <v>8.3039361664525249</v>
      </c>
      <c r="AH101" s="24">
        <f t="shared" si="46"/>
        <v>-8.4625846636562765E-2</v>
      </c>
      <c r="AI101" s="24">
        <f t="shared" si="27"/>
        <v>-4.8487038499964195</v>
      </c>
      <c r="AJ101" s="24">
        <f t="shared" si="47"/>
        <v>18.385680040665729</v>
      </c>
      <c r="AL101" s="24" t="str">
        <f t="shared" si="48"/>
        <v>0.37889717255214-0.485112466531354i</v>
      </c>
      <c r="AM101" s="24" t="str">
        <f t="shared" si="49"/>
        <v>1.00000199435775+0.00587952920729281i</v>
      </c>
      <c r="AN101" s="24" t="str">
        <f t="shared" si="50"/>
        <v>-128.333032888643+162.331787511063i</v>
      </c>
      <c r="AO101" s="24">
        <f t="shared" si="33"/>
        <v>206.93229947723106</v>
      </c>
      <c r="AP101" s="24">
        <f t="shared" si="34"/>
        <v>2.2397546638540478</v>
      </c>
      <c r="AQ101" s="24">
        <f t="shared" si="35"/>
        <v>128.32848938357932</v>
      </c>
      <c r="AR101" s="24">
        <f t="shared" si="36"/>
        <v>46.316565675075694</v>
      </c>
      <c r="AS101" s="24">
        <f t="shared" si="51"/>
        <v>64.702245715741427</v>
      </c>
      <c r="AT101" s="24">
        <f t="shared" si="52"/>
        <v>123.4797855335829</v>
      </c>
    </row>
    <row r="102" spans="4:46">
      <c r="D102" s="13"/>
      <c r="Y102" s="24">
        <v>100</v>
      </c>
      <c r="Z102" s="24">
        <f t="shared" si="28"/>
        <v>469.04157598234281</v>
      </c>
      <c r="AA102" s="24" t="str">
        <f t="shared" si="37"/>
        <v>2947.07513866861i</v>
      </c>
      <c r="AB102" s="24">
        <f t="shared" si="29"/>
        <v>9.0114691425450566</v>
      </c>
      <c r="AD102" s="24" t="str">
        <f t="shared" si="30"/>
        <v>0.992012946594233-0.0888066416730468i</v>
      </c>
      <c r="AE102" s="24" t="str">
        <f t="shared" si="31"/>
        <v>0.999999753700602-0.000682861136329387i</v>
      </c>
      <c r="AF102" s="24" t="str">
        <f t="shared" si="45"/>
        <v>8.26651153579318-0.745722268870514i</v>
      </c>
      <c r="AG102" s="24">
        <f t="shared" si="32"/>
        <v>8.300079196832467</v>
      </c>
      <c r="AH102" s="24">
        <f t="shared" si="46"/>
        <v>-8.9966514534418215E-2</v>
      </c>
      <c r="AI102" s="24">
        <f t="shared" si="27"/>
        <v>-5.1547015803245424</v>
      </c>
      <c r="AJ102" s="24">
        <f t="shared" si="47"/>
        <v>18.381644726035287</v>
      </c>
      <c r="AL102" s="24" t="str">
        <f t="shared" si="48"/>
        <v>0.350408150062417-0.477097766115344i</v>
      </c>
      <c r="AM102" s="24" t="str">
        <f t="shared" si="49"/>
        <v>1.00000225541926+0.00625251380061998i</v>
      </c>
      <c r="AN102" s="24" t="str">
        <f t="shared" si="50"/>
        <v>-118.799864080768+159.649893275578i</v>
      </c>
      <c r="AO102" s="24">
        <f t="shared" si="33"/>
        <v>199.00124655014702</v>
      </c>
      <c r="AP102" s="24">
        <f t="shared" si="34"/>
        <v>2.2105283814261343</v>
      </c>
      <c r="AQ102" s="24">
        <f t="shared" si="35"/>
        <v>126.65394674960253</v>
      </c>
      <c r="AR102" s="24">
        <f t="shared" si="36"/>
        <v>45.977115937053895</v>
      </c>
      <c r="AS102" s="24">
        <f t="shared" si="51"/>
        <v>64.358760663089186</v>
      </c>
      <c r="AT102" s="24">
        <f t="shared" si="52"/>
        <v>121.49924516927798</v>
      </c>
    </row>
    <row r="103" spans="4:46">
      <c r="D103" s="13"/>
      <c r="Y103" s="24">
        <v>101</v>
      </c>
      <c r="Z103" s="24">
        <f t="shared" si="28"/>
        <v>498.79656477026373</v>
      </c>
      <c r="AA103" s="24" t="str">
        <f t="shared" si="37"/>
        <v>3134.03124703617i</v>
      </c>
      <c r="AB103" s="24">
        <f t="shared" si="29"/>
        <v>9.0114691425450566</v>
      </c>
      <c r="AD103" s="24" t="str">
        <f t="shared" si="30"/>
        <v>0.990976917991415-0.0943412551212376i</v>
      </c>
      <c r="AE103" s="24" t="str">
        <f t="shared" si="31"/>
        <v>0.99999972145999-0.000726180375652795i</v>
      </c>
      <c r="AF103" s="24" t="str">
        <f t="shared" si="45"/>
        <v>8.25781189144054-0.792197225631738i</v>
      </c>
      <c r="AG103" s="24">
        <f t="shared" si="32"/>
        <v>8.2957238188548317</v>
      </c>
      <c r="AH103" s="24">
        <f t="shared" si="46"/>
        <v>-9.5640386387329787E-2</v>
      </c>
      <c r="AI103" s="24">
        <f t="shared" si="27"/>
        <v>-5.4797904909944473</v>
      </c>
      <c r="AJ103" s="24">
        <f t="shared" si="47"/>
        <v>18.377085701891826</v>
      </c>
      <c r="AL103" s="24" t="str">
        <f t="shared" si="48"/>
        <v>0.322947411217924-0.467602802392763i</v>
      </c>
      <c r="AM103" s="24" t="str">
        <f t="shared" si="49"/>
        <v>1.00000255065374+0.00664915971526733i</v>
      </c>
      <c r="AN103" s="24" t="str">
        <f t="shared" si="50"/>
        <v>-109.610785754245+156.472666499292i</v>
      </c>
      <c r="AO103" s="24">
        <f t="shared" si="33"/>
        <v>191.04507246998455</v>
      </c>
      <c r="AP103" s="24">
        <f t="shared" si="34"/>
        <v>2.1818649975623492</v>
      </c>
      <c r="AQ103" s="24">
        <f t="shared" si="35"/>
        <v>125.01165582764426</v>
      </c>
      <c r="AR103" s="24">
        <f t="shared" si="36"/>
        <v>45.622716812569905</v>
      </c>
      <c r="AS103" s="24">
        <f t="shared" si="51"/>
        <v>63.999802514461734</v>
      </c>
      <c r="AT103" s="24">
        <f t="shared" si="52"/>
        <v>119.53186533664982</v>
      </c>
    </row>
    <row r="104" spans="4:46">
      <c r="D104" s="13"/>
      <c r="Y104" s="24">
        <v>102</v>
      </c>
      <c r="Z104" s="24">
        <f t="shared" si="28"/>
        <v>530.4391460512702</v>
      </c>
      <c r="AA104" s="24" t="str">
        <f t="shared" si="37"/>
        <v>3332.84744882223i</v>
      </c>
      <c r="AB104" s="24">
        <f t="shared" si="29"/>
        <v>9.0114691425450566</v>
      </c>
      <c r="AD104" s="24" t="str">
        <f t="shared" si="30"/>
        <v>0.989807889627364-0.100207159097298i</v>
      </c>
      <c r="AE104" s="24" t="str">
        <f t="shared" si="31"/>
        <v>0.999999684999079-0.000772247693843319i</v>
      </c>
      <c r="AF104" s="24" t="str">
        <f t="shared" si="45"/>
        <v>8.24799543368985-0.84145407806435i</v>
      </c>
      <c r="AG104" s="24">
        <f t="shared" si="32"/>
        <v>8.290806573528279</v>
      </c>
      <c r="AH104" s="24">
        <f t="shared" si="46"/>
        <v>-0.10166748002326485</v>
      </c>
      <c r="AI104" s="24">
        <f t="shared" si="27"/>
        <v>-5.8251175190636841</v>
      </c>
      <c r="AJ104" s="24">
        <f t="shared" si="47"/>
        <v>18.371935661410713</v>
      </c>
      <c r="AL104" s="24" t="str">
        <f t="shared" si="48"/>
        <v>0.296655917439531-0.456783519938757i</v>
      </c>
      <c r="AM104" s="24" t="str">
        <f t="shared" si="49"/>
        <v>1.00000288453441+0.00707096797070276i</v>
      </c>
      <c r="AN104" s="24" t="str">
        <f t="shared" si="50"/>
        <v>-100.812967270759+152.852290431593i</v>
      </c>
      <c r="AO104" s="24">
        <f t="shared" si="33"/>
        <v>183.10400612799049</v>
      </c>
      <c r="AP104" s="24">
        <f t="shared" si="34"/>
        <v>2.1538523422363842</v>
      </c>
      <c r="AQ104" s="24">
        <f t="shared" si="35"/>
        <v>123.40664890451181</v>
      </c>
      <c r="AR104" s="24">
        <f t="shared" si="36"/>
        <v>45.253956926475979</v>
      </c>
      <c r="AS104" s="24">
        <f t="shared" si="51"/>
        <v>63.625892587886696</v>
      </c>
      <c r="AT104" s="24">
        <f t="shared" si="52"/>
        <v>117.58153138544813</v>
      </c>
    </row>
    <row r="105" spans="4:46">
      <c r="D105" s="13"/>
      <c r="Y105" s="24">
        <v>103</v>
      </c>
      <c r="Z105" s="24">
        <f t="shared" si="28"/>
        <v>564.08906463337905</v>
      </c>
      <c r="AA105" s="24" t="str">
        <f t="shared" si="37"/>
        <v>3544.27612284512i</v>
      </c>
      <c r="AB105" s="24">
        <f t="shared" si="29"/>
        <v>9.0114691425450566</v>
      </c>
      <c r="AD105" s="24" t="str">
        <f t="shared" si="30"/>
        <v>0.988489169701539-0.106421449454445i</v>
      </c>
      <c r="AE105" s="24" t="str">
        <f t="shared" si="31"/>
        <v>0.999999643765429-0.000821237423011187i</v>
      </c>
      <c r="AF105" s="24" t="str">
        <f t="shared" si="45"/>
        <v>8.23692199968363-0.893636382742523i</v>
      </c>
      <c r="AG105" s="24">
        <f t="shared" si="32"/>
        <v>8.2852561827280464</v>
      </c>
      <c r="AH105" s="24">
        <f t="shared" si="46"/>
        <v>-0.1080688612563545</v>
      </c>
      <c r="AI105" s="24">
        <f t="shared" si="27"/>
        <v>-6.1918896467739719</v>
      </c>
      <c r="AJ105" s="24">
        <f t="shared" si="47"/>
        <v>18.366118829699879</v>
      </c>
      <c r="AL105" s="24" t="str">
        <f t="shared" si="48"/>
        <v>0.271646066585451-0.444808364460588i</v>
      </c>
      <c r="AM105" s="24" t="str">
        <f t="shared" si="49"/>
        <v>1.00000326212006+0.00751953480705725i</v>
      </c>
      <c r="AN105" s="24" t="str">
        <f t="shared" si="50"/>
        <v>-92.4440198800795+148.845131534694i</v>
      </c>
      <c r="AO105" s="24">
        <f t="shared" si="33"/>
        <v>175.21635195714154</v>
      </c>
      <c r="AP105" s="24">
        <f t="shared" si="34"/>
        <v>2.1265683345340838</v>
      </c>
      <c r="AQ105" s="24">
        <f t="shared" si="35"/>
        <v>121.84339041496756</v>
      </c>
      <c r="AR105" s="24">
        <f t="shared" si="36"/>
        <v>44.871492679720006</v>
      </c>
      <c r="AS105" s="24">
        <f t="shared" si="51"/>
        <v>63.237611509419885</v>
      </c>
      <c r="AT105" s="24">
        <f t="shared" si="52"/>
        <v>115.65150076819359</v>
      </c>
    </row>
    <row r="106" spans="4:46">
      <c r="D106" s="13"/>
      <c r="Y106" s="24">
        <v>104</v>
      </c>
      <c r="Z106" s="24">
        <f t="shared" si="28"/>
        <v>599.87366167768641</v>
      </c>
      <c r="AA106" s="24" t="str">
        <f t="shared" si="37"/>
        <v>3769.11737721726i</v>
      </c>
      <c r="AB106" s="24">
        <f t="shared" si="29"/>
        <v>9.0114691425450566</v>
      </c>
      <c r="AD106" s="24" t="str">
        <f t="shared" si="30"/>
        <v>0.98700207645397-0.113001545463365i</v>
      </c>
      <c r="AE106" s="24" t="str">
        <f t="shared" si="31"/>
        <v>0.999999597134289-0.000873334954499964i</v>
      </c>
      <c r="AF106" s="24" t="str">
        <f t="shared" si="45"/>
        <v>8.2244347166593-0.948890412066208i</v>
      </c>
      <c r="AG106" s="24">
        <f t="shared" si="32"/>
        <v>8.278992657485686</v>
      </c>
      <c r="AH106" s="24">
        <f t="shared" si="46"/>
        <v>-0.11486666718245368</v>
      </c>
      <c r="AI106" s="24">
        <f t="shared" si="27"/>
        <v>-6.5813752362884754</v>
      </c>
      <c r="AJ106" s="24">
        <f t="shared" si="47"/>
        <v>18.359549948476442</v>
      </c>
      <c r="AL106" s="24" t="str">
        <f t="shared" si="48"/>
        <v>0.248001238407008-0.431852549090078i</v>
      </c>
      <c r="AM106" s="24" t="str">
        <f t="shared" si="49"/>
        <v>1.00000368913168+0.00799655772556025i</v>
      </c>
      <c r="AN106" s="24" t="str">
        <f t="shared" si="50"/>
        <v>-84.531844617715+144.509820836311i</v>
      </c>
      <c r="AO106" s="24">
        <f t="shared" si="33"/>
        <v>167.4178039296186</v>
      </c>
      <c r="AP106" s="24">
        <f t="shared" si="34"/>
        <v>2.1000803972348363</v>
      </c>
      <c r="AQ106" s="24">
        <f t="shared" si="35"/>
        <v>120.32574339971352</v>
      </c>
      <c r="AR106" s="24">
        <f t="shared" si="36"/>
        <v>44.476032817140037</v>
      </c>
      <c r="AS106" s="24">
        <f t="shared" si="51"/>
        <v>62.835582765616479</v>
      </c>
      <c r="AT106" s="24">
        <f t="shared" si="52"/>
        <v>113.74436816342504</v>
      </c>
    </row>
    <row r="107" spans="4:46">
      <c r="D107" s="13"/>
      <c r="Y107" s="24">
        <v>105</v>
      </c>
      <c r="Z107" s="24">
        <f t="shared" si="28"/>
        <v>637.92835659466812</v>
      </c>
      <c r="AA107" s="24" t="str">
        <f t="shared" si="37"/>
        <v>4008.22207718884i</v>
      </c>
      <c r="AB107" s="24">
        <f t="shared" si="29"/>
        <v>9.0114691425450566</v>
      </c>
      <c r="AD107" s="24" t="str">
        <f t="shared" si="30"/>
        <v>0.985325729786059-0.119965067744763i</v>
      </c>
      <c r="AE107" s="24" t="str">
        <f t="shared" si="31"/>
        <v>0.999999544399127-0.000928737440456288i</v>
      </c>
      <c r="AF107" s="24" t="str">
        <f t="shared" si="45"/>
        <v>8.21035825216638-1.00736412925111i</v>
      </c>
      <c r="AG107" s="24">
        <f t="shared" si="32"/>
        <v>8.2719263244916785</v>
      </c>
      <c r="AH107" s="24">
        <f t="shared" si="46"/>
        <v>-0.12208412282391147</v>
      </c>
      <c r="AI107" s="24">
        <f t="shared" si="27"/>
        <v>-6.9949049833668937</v>
      </c>
      <c r="AJ107" s="24">
        <f t="shared" si="47"/>
        <v>18.352133152789396</v>
      </c>
      <c r="AL107" s="24" t="str">
        <f t="shared" si="48"/>
        <v>0.225776544407344-0.418092688769874i</v>
      </c>
      <c r="AM107" s="24" t="str">
        <f t="shared" si="49"/>
        <v>1.00000417203912+0.00850384191213483i</v>
      </c>
      <c r="AN107" s="24" t="str">
        <f t="shared" si="50"/>
        <v>-77.0948832271541+139.90545845616i</v>
      </c>
      <c r="AO107" s="24">
        <f t="shared" si="33"/>
        <v>159.74090999376725</v>
      </c>
      <c r="AP107" s="24">
        <f t="shared" si="34"/>
        <v>2.074445214550543</v>
      </c>
      <c r="AQ107" s="24">
        <f t="shared" si="35"/>
        <v>118.85695562485665</v>
      </c>
      <c r="AR107" s="24">
        <f t="shared" si="36"/>
        <v>44.068323082853809</v>
      </c>
      <c r="AS107" s="24">
        <f t="shared" si="51"/>
        <v>62.420456235643201</v>
      </c>
      <c r="AT107" s="24">
        <f t="shared" si="52"/>
        <v>111.86205064148976</v>
      </c>
    </row>
    <row r="108" spans="4:46">
      <c r="D108" s="13"/>
      <c r="Y108" s="24">
        <v>106</v>
      </c>
      <c r="Z108" s="24">
        <f t="shared" si="28"/>
        <v>678.39715951094945</v>
      </c>
      <c r="AA108" s="24" t="str">
        <f t="shared" si="37"/>
        <v>4262.49506507156i</v>
      </c>
      <c r="AB108" s="24">
        <f t="shared" si="29"/>
        <v>9.0114691425450566</v>
      </c>
      <c r="AD108" s="24" t="str">
        <f t="shared" si="30"/>
        <v>0.983436829152861-0.127329683569574i</v>
      </c>
      <c r="AE108" s="24" t="str">
        <f t="shared" si="31"/>
        <v>0.999999484760925-0.000987654539904876i</v>
      </c>
      <c r="AF108" s="24" t="str">
        <f t="shared" si="45"/>
        <v>8.19449694900378-1.06920588930165i</v>
      </c>
      <c r="AG108" s="24">
        <f t="shared" si="32"/>
        <v>8.2639567690634479</v>
      </c>
      <c r="AH108" s="24">
        <f t="shared" si="46"/>
        <v>-0.12974554926915582</v>
      </c>
      <c r="AI108" s="24">
        <f t="shared" si="27"/>
        <v>-7.4338723837293106</v>
      </c>
      <c r="AJ108" s="24">
        <f t="shared" si="47"/>
        <v>18.343760732171503</v>
      </c>
      <c r="AL108" s="24" t="str">
        <f t="shared" si="48"/>
        <v>0.205000577194124-0.40370204426557i</v>
      </c>
      <c r="AM108" s="24" t="str">
        <f t="shared" si="49"/>
        <v>1.00000471815913+0.0090433070684535i</v>
      </c>
      <c r="AN108" s="24" t="str">
        <f t="shared" si="50"/>
        <v>-70.1427035388258+135.09002212917i</v>
      </c>
      <c r="AO108" s="24">
        <f t="shared" si="33"/>
        <v>152.21469356995482</v>
      </c>
      <c r="AP108" s="24">
        <f t="shared" si="34"/>
        <v>2.0497088025718027</v>
      </c>
      <c r="AQ108" s="24">
        <f t="shared" si="35"/>
        <v>117.43966361817799</v>
      </c>
      <c r="AR108" s="24">
        <f t="shared" si="36"/>
        <v>43.64913155438618</v>
      </c>
      <c r="AS108" s="24">
        <f t="shared" si="51"/>
        <v>61.992892286557684</v>
      </c>
      <c r="AT108" s="24">
        <f t="shared" si="52"/>
        <v>110.00579123444868</v>
      </c>
    </row>
    <row r="109" spans="4:46">
      <c r="D109" s="13"/>
      <c r="Y109" s="24">
        <v>107</v>
      </c>
      <c r="Z109" s="24">
        <f t="shared" si="28"/>
        <v>721.43321624585462</v>
      </c>
      <c r="AA109" s="24" t="str">
        <f t="shared" si="37"/>
        <v>4532.89858442727i</v>
      </c>
      <c r="AB109" s="24">
        <f t="shared" si="29"/>
        <v>9.0114691425450566</v>
      </c>
      <c r="AD109" s="24" t="str">
        <f t="shared" si="30"/>
        <v>0.981309419289746-0.135112913757331i</v>
      </c>
      <c r="AE109" s="24" t="str">
        <f t="shared" si="31"/>
        <v>0.999999417316073-0.00105030921215186i</v>
      </c>
      <c r="AF109" s="24" t="str">
        <f t="shared" si="45"/>
        <v>8.17663285800107-1.13456281751975i</v>
      </c>
      <c r="AG109" s="24">
        <f t="shared" si="32"/>
        <v>8.2549716947692247</v>
      </c>
      <c r="AH109" s="24">
        <f t="shared" si="46"/>
        <v>-0.13787636111707877</v>
      </c>
      <c r="AI109" s="24">
        <f t="shared" si="27"/>
        <v>-7.899733586630262</v>
      </c>
      <c r="AJ109" s="24">
        <f t="shared" si="47"/>
        <v>18.33431176923461</v>
      </c>
      <c r="AL109" s="24" t="str">
        <f t="shared" si="48"/>
        <v>0.185677917191027-0.388846535613511i</v>
      </c>
      <c r="AM109" s="24" t="str">
        <f t="shared" si="49"/>
        <v>1.00000533576625+0.00961699467629486i</v>
      </c>
      <c r="AN109" s="24" t="str">
        <f t="shared" si="50"/>
        <v>-63.6768382810326+130.119033201964i</v>
      </c>
      <c r="AO109" s="24">
        <f t="shared" si="33"/>
        <v>144.86442812120092</v>
      </c>
      <c r="AP109" s="24">
        <f t="shared" si="34"/>
        <v>2.0259068496099504</v>
      </c>
      <c r="AQ109" s="24">
        <f t="shared" si="35"/>
        <v>116.07591216929494</v>
      </c>
      <c r="AR109" s="24">
        <f t="shared" si="36"/>
        <v>43.21923512595199</v>
      </c>
      <c r="AS109" s="24">
        <f t="shared" si="51"/>
        <v>61.553546895186599</v>
      </c>
      <c r="AT109" s="24">
        <f t="shared" si="52"/>
        <v>108.17617858266468</v>
      </c>
    </row>
    <row r="110" spans="4:46">
      <c r="D110" s="13"/>
      <c r="Y110" s="24">
        <v>108</v>
      </c>
      <c r="Z110" s="24">
        <f t="shared" si="28"/>
        <v>767.19938786011153</v>
      </c>
      <c r="AA110" s="24" t="str">
        <f t="shared" si="37"/>
        <v>4820.45592147983i</v>
      </c>
      <c r="AB110" s="24">
        <f t="shared" si="29"/>
        <v>9.0114691425450566</v>
      </c>
      <c r="AD110" s="24" t="str">
        <f t="shared" si="30"/>
        <v>0.978914646303737-0.143331894721573i</v>
      </c>
      <c r="AE110" s="24" t="str">
        <f t="shared" si="31"/>
        <v>0.999999341042677-0.00111693856051871i</v>
      </c>
      <c r="AF110" s="24" t="str">
        <f t="shared" si="45"/>
        <v>8.15652368989089-1.20357881137876i</v>
      </c>
      <c r="AG110" s="24">
        <f t="shared" si="32"/>
        <v>8.2448457025557005</v>
      </c>
      <c r="AH110" s="24">
        <f t="shared" si="46"/>
        <v>-0.14650305065874003</v>
      </c>
      <c r="AI110" s="24">
        <f t="shared" si="27"/>
        <v>-8.394006488537098</v>
      </c>
      <c r="AJ110" s="24">
        <f t="shared" si="47"/>
        <v>18.323650649809274</v>
      </c>
      <c r="AL110" s="24" t="str">
        <f t="shared" si="48"/>
        <v>0.167792145512387-0.373681604332803i</v>
      </c>
      <c r="AM110" s="24" t="str">
        <f t="shared" si="49"/>
        <v>1.00000603421813+0.0102270757226792i</v>
      </c>
      <c r="AN110" s="24" t="str">
        <f t="shared" si="50"/>
        <v>-57.6917932662456+125.044506647965i</v>
      </c>
      <c r="AO110" s="24">
        <f t="shared" si="33"/>
        <v>137.71155235893676</v>
      </c>
      <c r="AP110" s="24">
        <f t="shared" si="34"/>
        <v>2.0030652763012027</v>
      </c>
      <c r="AQ110" s="24">
        <f t="shared" si="35"/>
        <v>114.76718642126502</v>
      </c>
      <c r="AR110" s="24">
        <f t="shared" si="36"/>
        <v>42.779407478383895</v>
      </c>
      <c r="AS110" s="24">
        <f t="shared" si="51"/>
        <v>61.103058128193169</v>
      </c>
      <c r="AT110" s="24">
        <f t="shared" si="52"/>
        <v>106.37317993272792</v>
      </c>
    </row>
    <row r="111" spans="4:46">
      <c r="D111" s="13"/>
      <c r="Y111" s="24">
        <v>109</v>
      </c>
      <c r="Z111" s="24">
        <f t="shared" si="28"/>
        <v>815.86886696986198</v>
      </c>
      <c r="AA111" s="24" t="str">
        <f t="shared" si="37"/>
        <v>5126.25527753029i</v>
      </c>
      <c r="AB111" s="24">
        <f t="shared" si="29"/>
        <v>9.0114691425450566</v>
      </c>
      <c r="AD111" s="24" t="str">
        <f t="shared" si="30"/>
        <v>0.976220507896566-0.152003088553656i</v>
      </c>
      <c r="AE111" s="24" t="str">
        <f t="shared" si="31"/>
        <v>0.99999925478508-0.00118779472959928i</v>
      </c>
      <c r="AF111" s="24" t="str">
        <f t="shared" si="45"/>
        <v>8.1339007179046-1.27639210607057i</v>
      </c>
      <c r="AG111" s="24">
        <f t="shared" si="32"/>
        <v>8.2334389957762024</v>
      </c>
      <c r="AH111" s="24">
        <f t="shared" si="46"/>
        <v>-0.15565315580982025</v>
      </c>
      <c r="AI111" s="24">
        <f t="shared" si="27"/>
        <v>-8.9182688957949097</v>
      </c>
      <c r="AJ111" s="24">
        <f t="shared" si="47"/>
        <v>18.311625440406772</v>
      </c>
      <c r="AL111" s="24" t="str">
        <f t="shared" si="48"/>
        <v>0.1513091258854-0.358349932760139i</v>
      </c>
      <c r="AM111" s="24" t="str">
        <f t="shared" si="49"/>
        <v>1.00000682409733+0.0108758589150035i</v>
      </c>
      <c r="AN111" s="24" t="str">
        <f t="shared" si="50"/>
        <v>-52.1761456077263+119.914187898182i</v>
      </c>
      <c r="AO111" s="24">
        <f t="shared" si="33"/>
        <v>130.77370771588286</v>
      </c>
      <c r="AP111" s="24">
        <f t="shared" si="34"/>
        <v>1.9812009627085905</v>
      </c>
      <c r="AQ111" s="24">
        <f t="shared" si="35"/>
        <v>113.51445353045784</v>
      </c>
      <c r="AR111" s="24">
        <f t="shared" si="36"/>
        <v>42.330408741890963</v>
      </c>
      <c r="AS111" s="24">
        <f t="shared" si="51"/>
        <v>60.642034182297735</v>
      </c>
      <c r="AT111" s="24">
        <f t="shared" si="52"/>
        <v>104.59618463466293</v>
      </c>
    </row>
    <row r="112" spans="4:46">
      <c r="D112" s="13"/>
      <c r="Y112" s="24">
        <v>110</v>
      </c>
      <c r="Z112" s="24">
        <f t="shared" si="28"/>
        <v>867.62583315832671</v>
      </c>
      <c r="AA112" s="24" t="str">
        <f t="shared" si="37"/>
        <v>5451.45388702985i</v>
      </c>
      <c r="AB112" s="24">
        <f t="shared" si="29"/>
        <v>9.0114691425450566</v>
      </c>
      <c r="AD112" s="24" t="str">
        <f t="shared" si="30"/>
        <v>0.973191603040705-0.161141933453215i</v>
      </c>
      <c r="AE112" s="24" t="str">
        <f t="shared" si="31"/>
        <v>0.999999157236346-0.0012631458594353i</v>
      </c>
      <c r="AF112" s="24" t="str">
        <f t="shared" si="45"/>
        <v>8.10846667577455-1.35313233913733i</v>
      </c>
      <c r="AG112" s="24">
        <f t="shared" si="32"/>
        <v>8.2205960221486141</v>
      </c>
      <c r="AH112" s="24">
        <f t="shared" si="46"/>
        <v>-0.16535520834945941</v>
      </c>
      <c r="AI112" s="24">
        <f t="shared" si="27"/>
        <v>-9.4741555589304145</v>
      </c>
      <c r="AJ112" s="24">
        <f t="shared" si="47"/>
        <v>18.298066131205559</v>
      </c>
      <c r="AL112" s="24" t="str">
        <f t="shared" si="48"/>
        <v>0.136180348998732-0.342979972513434i</v>
      </c>
      <c r="AM112" s="24" t="str">
        <f t="shared" si="49"/>
        <v>1.00000771737168+0.0115657994172449i</v>
      </c>
      <c r="AN112" s="24" t="str">
        <f t="shared" si="50"/>
        <v>-47.1136628256449+114.771060427597i</v>
      </c>
      <c r="AO112" s="24">
        <f t="shared" si="33"/>
        <v>124.06487632091397</v>
      </c>
      <c r="AP112" s="24">
        <f t="shared" si="34"/>
        <v>1.960322590960772</v>
      </c>
      <c r="AQ112" s="24">
        <f t="shared" si="35"/>
        <v>112.31821094620265</v>
      </c>
      <c r="AR112" s="24">
        <f t="shared" si="36"/>
        <v>41.87297693874654</v>
      </c>
      <c r="AS112" s="24">
        <f t="shared" si="51"/>
        <v>60.171043069952098</v>
      </c>
      <c r="AT112" s="24">
        <f t="shared" si="52"/>
        <v>102.84405538727223</v>
      </c>
    </row>
    <row r="113" spans="4:46">
      <c r="D113" s="13"/>
      <c r="Y113" s="24">
        <v>111</v>
      </c>
      <c r="Z113" s="24">
        <f t="shared" si="28"/>
        <v>922.66614996535543</v>
      </c>
      <c r="AA113" s="24" t="str">
        <f t="shared" si="37"/>
        <v>5797.28239689428i</v>
      </c>
      <c r="AB113" s="24">
        <f t="shared" si="29"/>
        <v>9.0114691425450566</v>
      </c>
      <c r="AD113" s="24" t="str">
        <f t="shared" si="30"/>
        <v>0.969788888350043-0.170762426375488i</v>
      </c>
      <c r="AE113" s="24" t="str">
        <f t="shared" si="31"/>
        <v>0.999999046918461-0.00134327710022025i</v>
      </c>
      <c r="AF113" s="24" t="str">
        <f t="shared" si="45"/>
        <v>8.07989371195186-1.43391704592134i</v>
      </c>
      <c r="AG113" s="24">
        <f t="shared" si="32"/>
        <v>8.206144069599496</v>
      </c>
      <c r="AH113" s="24">
        <f t="shared" si="46"/>
        <v>-0.17563865853153374</v>
      </c>
      <c r="AI113" s="24">
        <f t="shared" si="27"/>
        <v>-10.063353853196313</v>
      </c>
      <c r="AJ113" s="24">
        <f t="shared" si="47"/>
        <v>18.282782746117338</v>
      </c>
      <c r="AL113" s="24" t="str">
        <f t="shared" si="48"/>
        <v>0.122346172564467-0.327685194391344i</v>
      </c>
      <c r="AM113" s="24" t="str">
        <f t="shared" si="49"/>
        <v>1.00000872757558+0.0122995081402736i</v>
      </c>
      <c r="AN113" s="24" t="str">
        <f t="shared" si="50"/>
        <v>-42.484387056162+109.653094752839i</v>
      </c>
      <c r="AO113" s="24">
        <f t="shared" si="33"/>
        <v>117.59559656897392</v>
      </c>
      <c r="AP113" s="24">
        <f t="shared" si="34"/>
        <v>1.9404315562271652</v>
      </c>
      <c r="AQ113" s="24">
        <f t="shared" si="35"/>
        <v>111.17853860581886</v>
      </c>
      <c r="AR113" s="24">
        <f t="shared" si="36"/>
        <v>41.407821193033541</v>
      </c>
      <c r="AS113" s="24">
        <f t="shared" si="51"/>
        <v>59.690603939150876</v>
      </c>
      <c r="AT113" s="24">
        <f t="shared" si="52"/>
        <v>101.11518475262254</v>
      </c>
    </row>
    <row r="114" spans="4:46">
      <c r="D114" s="13"/>
      <c r="R114" s="12"/>
      <c r="S114" s="12"/>
      <c r="T114" s="12"/>
      <c r="U114" s="12"/>
      <c r="V114" s="12"/>
      <c r="W114" s="12"/>
      <c r="X114" s="12"/>
      <c r="Y114" s="24">
        <v>112</v>
      </c>
      <c r="Z114" s="24">
        <f t="shared" si="28"/>
        <v>981.19810609251715</v>
      </c>
      <c r="AA114" s="24" t="str">
        <f t="shared" si="37"/>
        <v>6165.04952363294i</v>
      </c>
      <c r="AB114" s="24">
        <f t="shared" si="29"/>
        <v>9.0114691425450566</v>
      </c>
      <c r="AD114" s="24" t="str">
        <f t="shared" si="30"/>
        <v>0.965969450718637-0.180876629568106i</v>
      </c>
      <c r="AE114" s="24" t="str">
        <f t="shared" si="31"/>
        <v>0.999998922159938-0.0014284916913716i</v>
      </c>
      <c r="AF114" s="24" t="str">
        <f t="shared" si="45"/>
        <v>8.0478214804289-1.5188475159068i</v>
      </c>
      <c r="AG114" s="24">
        <f t="shared" si="32"/>
        <v>8.1898918403986922</v>
      </c>
      <c r="AH114" s="24">
        <f t="shared" si="46"/>
        <v>-0.18653377162444743</v>
      </c>
      <c r="AI114" s="24">
        <f t="shared" si="27"/>
        <v>-10.687597850737992</v>
      </c>
      <c r="AJ114" s="24">
        <f t="shared" si="47"/>
        <v>18.265563325982029</v>
      </c>
      <c r="AL114" s="24" t="str">
        <f t="shared" si="48"/>
        <v>0.109738833485602-0.312563948514254i</v>
      </c>
      <c r="AM114" s="24" t="str">
        <f t="shared" si="49"/>
        <v>1.00000987001509+0.0130797616214059i</v>
      </c>
      <c r="AN114" s="24" t="str">
        <f t="shared" si="50"/>
        <v>-38.2656430010934+104.593201632598i</v>
      </c>
      <c r="AO114" s="24">
        <f t="shared" si="33"/>
        <v>111.37323404680509</v>
      </c>
      <c r="AP114" s="24">
        <f t="shared" si="34"/>
        <v>1.9215229050256102</v>
      </c>
      <c r="AQ114" s="24">
        <f t="shared" si="35"/>
        <v>110.09515269568479</v>
      </c>
      <c r="AR114" s="24">
        <f t="shared" si="36"/>
        <v>40.935616617027335</v>
      </c>
      <c r="AS114" s="24">
        <f t="shared" si="51"/>
        <v>59.201179943009365</v>
      </c>
      <c r="AT114" s="24">
        <f t="shared" si="52"/>
        <v>99.407554844946802</v>
      </c>
    </row>
    <row r="115" spans="4:46">
      <c r="D115" s="13"/>
      <c r="R115" s="12"/>
      <c r="S115" s="12"/>
      <c r="T115" s="12"/>
      <c r="U115" s="12"/>
      <c r="V115" s="12"/>
      <c r="W115" s="12"/>
      <c r="X115" s="12"/>
      <c r="Y115" s="24">
        <v>113</v>
      </c>
      <c r="Z115" s="24">
        <f t="shared" si="28"/>
        <v>1043.443203628628</v>
      </c>
      <c r="AA115" s="24" t="str">
        <f t="shared" si="37"/>
        <v>6556.14700591579i</v>
      </c>
      <c r="AB115" s="24">
        <f t="shared" si="29"/>
        <v>9.0114691425450566</v>
      </c>
      <c r="AD115" s="24" t="str">
        <f t="shared" si="30"/>
        <v>0.961686308578396-0.191494092838333i</v>
      </c>
      <c r="AE115" s="24" t="str">
        <f t="shared" si="31"/>
        <v>0.999998781070492-0.00151911210905381i</v>
      </c>
      <c r="AF115" s="24" t="str">
        <f t="shared" si="45"/>
        <v>8.01185547187798-1.60800394144151i</v>
      </c>
      <c r="AG115" s="24">
        <f t="shared" si="32"/>
        <v>8.1716280371754912</v>
      </c>
      <c r="AH115" s="24">
        <f t="shared" si="46"/>
        <v>-0.19807149142403288</v>
      </c>
      <c r="AI115" s="24">
        <f t="shared" si="27"/>
        <v>-11.348660500458765</v>
      </c>
      <c r="AJ115" s="24">
        <f t="shared" si="47"/>
        <v>18.246171796803186</v>
      </c>
      <c r="AL115" s="24" t="str">
        <f t="shared" si="48"/>
        <v>0.098285149999846-0.297699814056633i</v>
      </c>
      <c r="AM115" s="24" t="str">
        <f t="shared" si="49"/>
        <v>1.00001116199981+0.0139095125305542i</v>
      </c>
      <c r="AN115" s="24" t="str">
        <f t="shared" si="50"/>
        <v>-34.432942135567+99.6193490981125i</v>
      </c>
      <c r="AO115" s="24">
        <f t="shared" si="33"/>
        <v>105.40228754084474</v>
      </c>
      <c r="AP115" s="24">
        <f t="shared" si="34"/>
        <v>1.903586267055039</v>
      </c>
      <c r="AQ115" s="24">
        <f t="shared" si="35"/>
        <v>109.06745904131695</v>
      </c>
      <c r="AR115" s="24">
        <f t="shared" si="36"/>
        <v>40.457000729026824</v>
      </c>
      <c r="AS115" s="24">
        <f t="shared" si="51"/>
        <v>58.703172525830013</v>
      </c>
      <c r="AT115" s="24">
        <f t="shared" si="52"/>
        <v>97.718798540858188</v>
      </c>
    </row>
    <row r="116" spans="4:46">
      <c r="D116" s="13"/>
      <c r="R116" s="12"/>
      <c r="S116" s="12"/>
      <c r="T116" s="12"/>
      <c r="U116" s="12"/>
      <c r="V116" s="12"/>
      <c r="W116" s="12"/>
      <c r="X116" s="12"/>
      <c r="Y116" s="24">
        <v>114</v>
      </c>
      <c r="Z116" s="24">
        <f t="shared" si="28"/>
        <v>1109.6369962786232</v>
      </c>
      <c r="AA116" s="24" t="str">
        <f t="shared" si="37"/>
        <v>6972.05487132073i</v>
      </c>
      <c r="AB116" s="24">
        <f t="shared" si="29"/>
        <v>9.0114691425450566</v>
      </c>
      <c r="AD116" s="24" t="str">
        <f t="shared" si="30"/>
        <v>0.956888257364495-0.202621184086312i</v>
      </c>
      <c r="AE116" s="24" t="str">
        <f t="shared" si="31"/>
        <v>0.999998621512395-0.00161548128649392i</v>
      </c>
      <c r="AF116" s="24" t="str">
        <f t="shared" si="45"/>
        <v>7.9715657160069-1.70143979615874i</v>
      </c>
      <c r="AG116" s="24">
        <f t="shared" si="32"/>
        <v>8.1511200055310979</v>
      </c>
      <c r="AH116" s="24">
        <f t="shared" si="46"/>
        <v>-0.21028326529840222</v>
      </c>
      <c r="AI116" s="24">
        <f t="shared" si="27"/>
        <v>-12.048343603828249</v>
      </c>
      <c r="AJ116" s="24">
        <f t="shared" si="47"/>
        <v>18.224345742413185</v>
      </c>
      <c r="AL116" s="24" t="str">
        <f t="shared" si="48"/>
        <v>0.0879088682895658-0.283162319466439i</v>
      </c>
      <c r="AM116" s="24" t="str">
        <f t="shared" si="49"/>
        <v>1.00001262310519+0.0147919008426946i</v>
      </c>
      <c r="AN116" s="24" t="str">
        <f t="shared" si="50"/>
        <v>-30.9607679447957+94.7548034583354i</v>
      </c>
      <c r="AO116" s="24">
        <f t="shared" si="33"/>
        <v>99.684712620136793</v>
      </c>
      <c r="AP116" s="24">
        <f t="shared" si="34"/>
        <v>1.8866067541683973</v>
      </c>
      <c r="AQ116" s="24">
        <f t="shared" si="35"/>
        <v>108.0946046147244</v>
      </c>
      <c r="AR116" s="24">
        <f t="shared" si="36"/>
        <v>39.97257122364973</v>
      </c>
      <c r="AS116" s="24">
        <f t="shared" si="51"/>
        <v>58.196916966062915</v>
      </c>
      <c r="AT116" s="24">
        <f t="shared" si="52"/>
        <v>96.04626101089616</v>
      </c>
    </row>
    <row r="117" spans="4:46">
      <c r="D117" s="13"/>
      <c r="R117" s="12"/>
      <c r="S117" s="12"/>
      <c r="T117" s="12"/>
      <c r="U117" s="12"/>
      <c r="V117" s="12"/>
      <c r="W117" s="12"/>
      <c r="X117" s="12"/>
      <c r="Y117" s="24">
        <v>115</v>
      </c>
      <c r="Z117" s="24">
        <f t="shared" si="28"/>
        <v>1180.0299807678607</v>
      </c>
      <c r="AA117" s="24" t="str">
        <f t="shared" si="37"/>
        <v>7414.34703719203i</v>
      </c>
      <c r="AB117" s="24">
        <f t="shared" si="29"/>
        <v>9.0114691425450566</v>
      </c>
      <c r="AD117" s="24" t="str">
        <f t="shared" si="30"/>
        <v>0.951519778456843-0.214260322058281i</v>
      </c>
      <c r="AE117" s="24" t="str">
        <f t="shared" si="31"/>
        <v>0.999998441068091-0.00171796391170698i</v>
      </c>
      <c r="AF117" s="24" t="str">
        <f t="shared" si="45"/>
        <v>7.92648601692968-1.79917539233005i</v>
      </c>
      <c r="AG117" s="24">
        <f t="shared" si="32"/>
        <v>8.1281124911597846</v>
      </c>
      <c r="AH117" s="24">
        <f t="shared" si="46"/>
        <v>-0.22320082490195417</v>
      </c>
      <c r="AI117" s="24">
        <f t="shared" si="27"/>
        <v>-12.78846525072046</v>
      </c>
      <c r="AJ117" s="24">
        <f t="shared" si="47"/>
        <v>18.199794110292672</v>
      </c>
      <c r="AL117" s="24" t="str">
        <f t="shared" si="48"/>
        <v>0.0785326380632734-0.269007923344455i</v>
      </c>
      <c r="AM117" s="24" t="str">
        <f t="shared" si="49"/>
        <v>1.00001427546904+0.0157302657188889i</v>
      </c>
      <c r="AN117" s="24" t="str">
        <f t="shared" si="50"/>
        <v>-27.8232370050583+90.0184575287543i</v>
      </c>
      <c r="AO117" s="24">
        <f t="shared" si="33"/>
        <v>94.220248425143666</v>
      </c>
      <c r="AP117" s="24">
        <f t="shared" si="34"/>
        <v>1.8705658071744768</v>
      </c>
      <c r="AQ117" s="24">
        <f t="shared" si="35"/>
        <v>107.17552605257968</v>
      </c>
      <c r="AR117" s="24">
        <f t="shared" si="36"/>
        <v>39.482884899663233</v>
      </c>
      <c r="AS117" s="24">
        <f t="shared" si="51"/>
        <v>57.682679009955905</v>
      </c>
      <c r="AT117" s="24">
        <f t="shared" si="52"/>
        <v>94.387060801859221</v>
      </c>
    </row>
    <row r="118" spans="4:46">
      <c r="D118" s="13"/>
      <c r="R118" s="12"/>
      <c r="S118" s="12"/>
      <c r="T118" s="12"/>
      <c r="U118" s="12"/>
      <c r="V118" s="12"/>
      <c r="W118" s="12"/>
      <c r="X118" s="12"/>
      <c r="Y118" s="24">
        <v>116</v>
      </c>
      <c r="Z118" s="24">
        <f t="shared" si="28"/>
        <v>1254.8885447951977</v>
      </c>
      <c r="AA118" s="24" t="str">
        <f t="shared" si="37"/>
        <v>7884.69726680516i</v>
      </c>
      <c r="AB118" s="24">
        <f t="shared" si="29"/>
        <v>9.0114691425450566</v>
      </c>
      <c r="AD118" s="24" t="str">
        <f t="shared" si="30"/>
        <v>0.945521034917707-0.226409107651913i</v>
      </c>
      <c r="AE118" s="24" t="str">
        <f t="shared" si="31"/>
        <v>0.999998237003564-0.00182694780754093i</v>
      </c>
      <c r="AF118" s="24" t="str">
        <f t="shared" si="45"/>
        <v>7.87611391737381-1.90119058634983i</v>
      </c>
      <c r="AG118" s="24">
        <f t="shared" si="32"/>
        <v>8.1023265846961898</v>
      </c>
      <c r="AH118" s="24">
        <f t="shared" si="46"/>
        <v>-0.2368559163901707</v>
      </c>
      <c r="AI118" s="24">
        <f t="shared" si="27"/>
        <v>-13.570844361860281</v>
      </c>
      <c r="AJ118" s="24">
        <f t="shared" si="47"/>
        <v>18.17219489068356</v>
      </c>
      <c r="AL118" s="24" t="str">
        <f t="shared" si="48"/>
        <v>0.0700796244900059-0.255281160137887i</v>
      </c>
      <c r="AM118" s="24" t="str">
        <f t="shared" si="49"/>
        <v>1.00001614412704+0.0167281581407676i</v>
      </c>
      <c r="AN118" s="24" t="str">
        <f t="shared" si="50"/>
        <v>-24.9946383788912+85.4252140114373i</v>
      </c>
      <c r="AO118" s="24">
        <f t="shared" si="33"/>
        <v>89.00673646747984</v>
      </c>
      <c r="AP118" s="24">
        <f t="shared" si="34"/>
        <v>1.8554419775011048</v>
      </c>
      <c r="AQ118" s="24">
        <f t="shared" si="35"/>
        <v>106.30899444222075</v>
      </c>
      <c r="AR118" s="24">
        <f t="shared" si="36"/>
        <v>38.988457548614861</v>
      </c>
      <c r="AS118" s="24">
        <f t="shared" si="51"/>
        <v>57.160652439298417</v>
      </c>
      <c r="AT118" s="24">
        <f t="shared" si="52"/>
        <v>92.738150080360469</v>
      </c>
    </row>
    <row r="119" spans="4:46">
      <c r="D119" s="13"/>
      <c r="R119" s="12"/>
      <c r="S119" s="12"/>
      <c r="T119" s="12"/>
      <c r="U119" s="12"/>
      <c r="V119" s="12"/>
      <c r="W119" s="12"/>
      <c r="X119" s="12"/>
      <c r="Y119" s="24">
        <v>117</v>
      </c>
      <c r="Z119" s="24">
        <f t="shared" si="28"/>
        <v>1334.4959751221782</v>
      </c>
      <c r="AA119" s="24" t="str">
        <f t="shared" si="37"/>
        <v>8384.88550337796i</v>
      </c>
      <c r="AB119" s="24">
        <f t="shared" si="29"/>
        <v>9.0114691425450566</v>
      </c>
      <c r="AD119" s="24" t="str">
        <f t="shared" si="30"/>
        <v>0.938827981627306-0.239059353712817i</v>
      </c>
      <c r="AE119" s="24" t="str">
        <f t="shared" si="31"/>
        <v>0.999998006226908-0.00194284539926198i</v>
      </c>
      <c r="AF119" s="24" t="str">
        <f t="shared" si="45"/>
        <v>7.81991162349924-2.00741663183968i</v>
      </c>
      <c r="AG119" s="24">
        <f t="shared" si="32"/>
        <v>8.0734589447847611</v>
      </c>
      <c r="AH119" s="24">
        <f t="shared" si="46"/>
        <v>-0.25127997384469447</v>
      </c>
      <c r="AI119" s="24">
        <f t="shared" si="27"/>
        <v>-14.397281977458709</v>
      </c>
      <c r="AJ119" s="24">
        <f t="shared" si="47"/>
        <v>18.141192822794089</v>
      </c>
      <c r="AL119" s="24" t="str">
        <f t="shared" si="48"/>
        <v>0.0624747799305826-0.242015870973802i</v>
      </c>
      <c r="AM119" s="24" t="str">
        <f t="shared" si="49"/>
        <v>1.000018257392+0.0177893543462229i</v>
      </c>
      <c r="AN119" s="24" t="str">
        <f t="shared" si="50"/>
        <v>-22.4498591694473+80.9863973651436i</v>
      </c>
      <c r="AO119" s="24">
        <f t="shared" si="33"/>
        <v>84.040423219501676</v>
      </c>
      <c r="AP119" s="24">
        <f t="shared" si="34"/>
        <v>1.8412116361571673</v>
      </c>
      <c r="AQ119" s="24">
        <f t="shared" si="35"/>
        <v>105.49365594218261</v>
      </c>
      <c r="AR119" s="24">
        <f t="shared" si="36"/>
        <v>38.489764616094618</v>
      </c>
      <c r="AS119" s="24">
        <f t="shared" si="51"/>
        <v>56.630957438888707</v>
      </c>
      <c r="AT119" s="24">
        <f t="shared" si="52"/>
        <v>91.096373964723909</v>
      </c>
    </row>
    <row r="120" spans="4:46">
      <c r="D120" s="13"/>
      <c r="R120" s="12"/>
      <c r="S120" s="12"/>
      <c r="T120" s="12"/>
      <c r="U120" s="12"/>
      <c r="V120" s="12"/>
      <c r="W120" s="12"/>
      <c r="X120" s="12"/>
      <c r="Y120" s="24">
        <v>118</v>
      </c>
      <c r="Z120" s="24">
        <f t="shared" si="28"/>
        <v>1419.1535296132129</v>
      </c>
      <c r="AA120" s="24" t="str">
        <f t="shared" si="37"/>
        <v>8916.80460589779i</v>
      </c>
      <c r="AB120" s="24">
        <f t="shared" si="29"/>
        <v>9.0114691425450566</v>
      </c>
      <c r="AD120" s="24" t="str">
        <f t="shared" si="30"/>
        <v>0.931372621689744-0.252196018386392i</v>
      </c>
      <c r="AE120" s="24" t="str">
        <f t="shared" si="31"/>
        <v>0.999997745241486-0.00206609527523276i</v>
      </c>
      <c r="AF120" s="24" t="str">
        <f t="shared" si="45"/>
        <v>7.75730815796512-2.11772722289714i</v>
      </c>
      <c r="AG120" s="24">
        <f t="shared" si="32"/>
        <v>8.0411814087378879</v>
      </c>
      <c r="AH120" s="24">
        <f t="shared" si="46"/>
        <v>-0.26650372976427872</v>
      </c>
      <c r="AI120" s="24">
        <f t="shared" si="27"/>
        <v>-15.269538939988188</v>
      </c>
      <c r="AJ120" s="24">
        <f t="shared" si="47"/>
        <v>18.106397197862403</v>
      </c>
      <c r="AL120" s="24" t="str">
        <f t="shared" si="48"/>
        <v>0.0556458090128387-0.22923645642032i</v>
      </c>
      <c r="AM120" s="24" t="str">
        <f t="shared" si="49"/>
        <v>1.00002064728285+0.0189178701170796i</v>
      </c>
      <c r="AN120" s="24" t="str">
        <f t="shared" si="50"/>
        <v>-20.1647074597627+76.710173013115i</v>
      </c>
      <c r="AO120" s="24">
        <f t="shared" si="33"/>
        <v>79.316240900838508</v>
      </c>
      <c r="AP120" s="24">
        <f t="shared" si="34"/>
        <v>1.8278496068241483</v>
      </c>
      <c r="AQ120" s="24">
        <f t="shared" si="35"/>
        <v>104.72806805567062</v>
      </c>
      <c r="AR120" s="24">
        <f t="shared" si="36"/>
        <v>37.987242462982827</v>
      </c>
      <c r="AS120" s="24">
        <f t="shared" si="51"/>
        <v>56.093639660845227</v>
      </c>
      <c r="AT120" s="24">
        <f t="shared" si="52"/>
        <v>89.458529115682438</v>
      </c>
    </row>
    <row r="121" spans="4:46">
      <c r="D121" s="13"/>
      <c r="R121" s="12"/>
      <c r="S121" s="12"/>
      <c r="T121" s="12"/>
      <c r="U121" s="12"/>
      <c r="V121" s="12"/>
      <c r="W121" s="12"/>
      <c r="X121" s="12"/>
      <c r="Y121" s="24">
        <v>119</v>
      </c>
      <c r="Z121" s="24">
        <f t="shared" si="28"/>
        <v>1509.1815772837017</v>
      </c>
      <c r="AA121" s="24" t="str">
        <f t="shared" si="37"/>
        <v>9482.46751225507i</v>
      </c>
      <c r="AB121" s="24">
        <f t="shared" si="29"/>
        <v>9.0114691425450566</v>
      </c>
      <c r="AD121" s="24" t="str">
        <f t="shared" si="30"/>
        <v>0.923083444872695-0.265796054018971i</v>
      </c>
      <c r="AE121" s="24" t="str">
        <f t="shared" si="31"/>
        <v>0.999997450092942-0.00219716384658701i</v>
      </c>
      <c r="AF121" s="24" t="str">
        <f t="shared" si="45"/>
        <v>7.68770304155314-2.23192882820331i</v>
      </c>
      <c r="AG121" s="24">
        <f t="shared" si="32"/>
        <v>8.0051411198847955</v>
      </c>
      <c r="AH121" s="24">
        <f t="shared" si="46"/>
        <v>-0.28255675699443172</v>
      </c>
      <c r="AI121" s="24">
        <f t="shared" si="27"/>
        <v>-16.189309648684542</v>
      </c>
      <c r="AJ121" s="24">
        <f t="shared" si="47"/>
        <v>18.067379847022774</v>
      </c>
      <c r="AL121" s="24" t="str">
        <f t="shared" si="48"/>
        <v>0.049523865845868-0.216959103421701i</v>
      </c>
      <c r="AM121" s="24" t="str">
        <f t="shared" si="49"/>
        <v>1.00002335000976+0.0201179759727176i</v>
      </c>
      <c r="AN121" s="24" t="str">
        <f t="shared" si="50"/>
        <v>-18.116145618754+72.6019579088591i</v>
      </c>
      <c r="AO121" s="24">
        <f t="shared" si="33"/>
        <v>74.828063079834223</v>
      </c>
      <c r="AP121" s="24">
        <f t="shared" si="34"/>
        <v>1.8153297233140016</v>
      </c>
      <c r="AQ121" s="24">
        <f t="shared" si="35"/>
        <v>104.01073157054378</v>
      </c>
      <c r="AR121" s="24">
        <f t="shared" si="36"/>
        <v>37.481290073610253</v>
      </c>
      <c r="AS121" s="24">
        <f t="shared" si="51"/>
        <v>55.548669920633031</v>
      </c>
      <c r="AT121" s="24">
        <f t="shared" si="52"/>
        <v>87.82142192185924</v>
      </c>
    </row>
    <row r="122" spans="4:46">
      <c r="D122" s="13"/>
      <c r="R122" s="12"/>
      <c r="S122" s="12"/>
      <c r="T122" s="12"/>
      <c r="U122" s="12"/>
      <c r="V122" s="12"/>
      <c r="W122" s="12"/>
      <c r="X122" s="12"/>
      <c r="Y122" s="24">
        <v>120</v>
      </c>
      <c r="Z122" s="24">
        <f t="shared" si="28"/>
        <v>1604.9208106703452</v>
      </c>
      <c r="AA122" s="24" t="str">
        <f t="shared" si="37"/>
        <v>10084.0148567907i</v>
      </c>
      <c r="AB122" s="24">
        <f t="shared" si="29"/>
        <v>9.0114691425450566</v>
      </c>
      <c r="AD122" s="24" t="str">
        <f t="shared" si="30"/>
        <v>0.913886086832081-0.279827192580356i</v>
      </c>
      <c r="AE122" s="24" t="str">
        <f t="shared" si="31"/>
        <v>0.999997116309293-0.00233654711217925i</v>
      </c>
      <c r="AF122" s="24" t="str">
        <f t="shared" si="45"/>
        <v>7.61047182874602-2.34975049209424i</v>
      </c>
      <c r="AG122" s="24">
        <f t="shared" si="32"/>
        <v>7.964961320134198</v>
      </c>
      <c r="AH122" s="24">
        <f t="shared" si="46"/>
        <v>-0.29946693747611847</v>
      </c>
      <c r="AI122" s="24">
        <f t="shared" si="27"/>
        <v>-17.158191621089692</v>
      </c>
      <c r="AJ122" s="24">
        <f t="shared" si="47"/>
        <v>18.023673421969452</v>
      </c>
      <c r="AL122" s="24" t="str">
        <f t="shared" si="48"/>
        <v>0.0440440237122602-0.20519295233388i</v>
      </c>
      <c r="AM122" s="24" t="str">
        <f t="shared" si="49"/>
        <v>1.00002640652276+0.0213942133270339i</v>
      </c>
      <c r="AN122" s="24" t="str">
        <f t="shared" si="50"/>
        <v>-16.2824474724237+68.6648110580682i</v>
      </c>
      <c r="AO122" s="24">
        <f t="shared" si="33"/>
        <v>70.568933485865017</v>
      </c>
      <c r="AP122" s="24">
        <f t="shared" si="34"/>
        <v>1.8036253141373129</v>
      </c>
      <c r="AQ122" s="24">
        <f t="shared" si="35"/>
        <v>103.34011832302532</v>
      </c>
      <c r="AR122" s="24">
        <f t="shared" si="36"/>
        <v>36.972271079105312</v>
      </c>
      <c r="AS122" s="24">
        <f t="shared" si="51"/>
        <v>54.99594450107476</v>
      </c>
      <c r="AT122" s="24">
        <f t="shared" si="52"/>
        <v>86.181926701935623</v>
      </c>
    </row>
    <row r="123" spans="4:46">
      <c r="D123" s="13"/>
      <c r="R123" s="12"/>
      <c r="S123" s="12"/>
      <c r="T123" s="12"/>
      <c r="U123" s="12"/>
      <c r="V123" s="12"/>
      <c r="W123" s="12"/>
      <c r="X123" s="12"/>
      <c r="Y123" s="24">
        <v>121</v>
      </c>
      <c r="Z123" s="24">
        <f t="shared" si="28"/>
        <v>1706.7335351116335</v>
      </c>
      <c r="AA123" s="24" t="str">
        <f t="shared" si="37"/>
        <v>10723.7230710841i</v>
      </c>
      <c r="AB123" s="24">
        <f t="shared" si="29"/>
        <v>9.0114691425450566</v>
      </c>
      <c r="AD123" s="24" t="str">
        <f t="shared" si="30"/>
        <v>0.903704249257927-0.294246699750252i</v>
      </c>
      <c r="AE123" s="24" t="str">
        <f t="shared" si="31"/>
        <v>0.999996738833157-0.0024847725354853i</v>
      </c>
      <c r="AF123" s="24" t="str">
        <f t="shared" si="45"/>
        <v>7.52497383428877-2.47083337250023i</v>
      </c>
      <c r="AG123" s="24">
        <f t="shared" si="32"/>
        <v>7.9202429736335418</v>
      </c>
      <c r="AH123" s="24">
        <f t="shared" si="46"/>
        <v>-0.31725985482363733</v>
      </c>
      <c r="AI123" s="24">
        <f t="shared" si="27"/>
        <v>-18.177650690327631</v>
      </c>
      <c r="AJ123" s="24">
        <f t="shared" si="47"/>
        <v>17.974770097672945</v>
      </c>
      <c r="AL123" s="24" t="str">
        <f t="shared" si="48"/>
        <v>0.0391455564840789-0.193941181525819i</v>
      </c>
      <c r="AM123" s="24" t="str">
        <f t="shared" si="49"/>
        <v>1.0000298631322+0.0227514116697513i</v>
      </c>
      <c r="AN123" s="24" t="str">
        <f t="shared" si="50"/>
        <v>-14.6432924729188+64.8997964560074i</v>
      </c>
      <c r="AO123" s="24">
        <f t="shared" si="33"/>
        <v>66.531267795515745</v>
      </c>
      <c r="AP123" s="24">
        <f t="shared" si="34"/>
        <v>1.7927096186557825</v>
      </c>
      <c r="AQ123" s="24">
        <f t="shared" si="35"/>
        <v>102.71469504148361</v>
      </c>
      <c r="AR123" s="24">
        <f t="shared" si="36"/>
        <v>36.460515985635446</v>
      </c>
      <c r="AS123" s="24">
        <f t="shared" si="51"/>
        <v>54.435286083308391</v>
      </c>
      <c r="AT123" s="24">
        <f t="shared" si="52"/>
        <v>84.53704435115597</v>
      </c>
    </row>
    <row r="124" spans="4:46">
      <c r="D124" s="13"/>
      <c r="R124" s="12"/>
      <c r="S124" s="12"/>
      <c r="T124" s="12"/>
      <c r="U124" s="12"/>
      <c r="V124" s="12"/>
      <c r="W124" s="12"/>
      <c r="X124" s="12"/>
      <c r="Y124" s="24">
        <v>122</v>
      </c>
      <c r="Z124" s="24">
        <f t="shared" si="28"/>
        <v>1815.0050398174897</v>
      </c>
      <c r="AA124" s="24" t="str">
        <f t="shared" si="37"/>
        <v>11404.0129986382i</v>
      </c>
      <c r="AB124" s="24">
        <f t="shared" si="29"/>
        <v>9.0114691425450566</v>
      </c>
      <c r="AD124" s="24" t="str">
        <f t="shared" si="30"/>
        <v>0.892460919977398-0.30900014313855i</v>
      </c>
      <c r="AE124" s="24" t="str">
        <f t="shared" si="31"/>
        <v>0.999996311945137-0.00264240104055322i</v>
      </c>
      <c r="AF124" s="24" t="str">
        <f t="shared" si="45"/>
        <v>7.43056237852246-2.59472039756932i</v>
      </c>
      <c r="AG124" s="24">
        <f t="shared" si="32"/>
        <v>7.8705674003006694</v>
      </c>
      <c r="AH124" s="24">
        <f t="shared" si="46"/>
        <v>-0.33595811012925519</v>
      </c>
      <c r="AI124" s="24">
        <f t="shared" si="27"/>
        <v>-19.248981803597633</v>
      </c>
      <c r="AJ124" s="24">
        <f t="shared" si="47"/>
        <v>17.920120847783721</v>
      </c>
      <c r="AL124" s="24" t="str">
        <f t="shared" si="48"/>
        <v>0.0347720681892634-0.183201996340391i</v>
      </c>
      <c r="AM124" s="24" t="str">
        <f t="shared" si="49"/>
        <v>1.00003377221035+0.0241947068369307i</v>
      </c>
      <c r="AN124" s="24" t="str">
        <f t="shared" si="50"/>
        <v>-13.17980905476+61.3063140212034i</v>
      </c>
      <c r="AO124" s="24">
        <f t="shared" si="33"/>
        <v>62.707029156118807</v>
      </c>
      <c r="AP124" s="24">
        <f t="shared" si="34"/>
        <v>1.7825561403814649</v>
      </c>
      <c r="AQ124" s="24">
        <f t="shared" si="35"/>
        <v>102.13294358898743</v>
      </c>
      <c r="AR124" s="24">
        <f t="shared" si="36"/>
        <v>35.946324517606556</v>
      </c>
      <c r="AS124" s="24">
        <f t="shared" si="51"/>
        <v>53.866445365390277</v>
      </c>
      <c r="AT124" s="24">
        <f t="shared" si="52"/>
        <v>82.883961785389801</v>
      </c>
    </row>
    <row r="125" spans="4:46">
      <c r="D125" s="13"/>
      <c r="R125" s="12"/>
      <c r="S125" s="12"/>
      <c r="T125" s="12"/>
      <c r="U125" s="12"/>
      <c r="V125" s="12"/>
      <c r="W125" s="12"/>
      <c r="X125" s="12"/>
      <c r="Y125" s="24">
        <v>123</v>
      </c>
      <c r="Z125" s="24">
        <f t="shared" si="28"/>
        <v>1930.1450559166665</v>
      </c>
      <c r="AA125" s="24" t="str">
        <f t="shared" si="37"/>
        <v>12127.4590560609i</v>
      </c>
      <c r="AB125" s="24">
        <f t="shared" si="29"/>
        <v>9.0114691425450566</v>
      </c>
      <c r="AD125" s="24" t="str">
        <f t="shared" si="30"/>
        <v>0.88007992742284-0.324020235280315i</v>
      </c>
      <c r="AE125" s="24" t="str">
        <f t="shared" si="31"/>
        <v>0.999995829177145-0.00281002913455307i</v>
      </c>
      <c r="AF125" s="24" t="str">
        <f t="shared" si="45"/>
        <v>7.32659784041627-2.72084655018238i</v>
      </c>
      <c r="AG125" s="24">
        <f t="shared" si="32"/>
        <v>7.8155001033095592</v>
      </c>
      <c r="AH125" s="24">
        <f t="shared" si="46"/>
        <v>-0.3555805636624223</v>
      </c>
      <c r="AI125" s="24">
        <f t="shared" si="27"/>
        <v>-20.37326557473968</v>
      </c>
      <c r="AJ125" s="24">
        <f t="shared" si="47"/>
        <v>17.859135463249114</v>
      </c>
      <c r="AL125" s="24" t="str">
        <f t="shared" si="48"/>
        <v>0.0308715033396259-0.172969516450667i</v>
      </c>
      <c r="AM125" s="24" t="str">
        <f t="shared" si="49"/>
        <v>1.00003819298495+0.0257295604396342i</v>
      </c>
      <c r="AN125" s="24" t="str">
        <f t="shared" si="50"/>
        <v>-11.8745780907889+57.8823965297002i</v>
      </c>
      <c r="AO125" s="24">
        <f t="shared" si="33"/>
        <v>59.087878899616072</v>
      </c>
      <c r="AP125" s="24">
        <f t="shared" si="34"/>
        <v>1.7731389435643745</v>
      </c>
      <c r="AQ125" s="24">
        <f t="shared" si="35"/>
        <v>101.59337795652412</v>
      </c>
      <c r="AR125" s="24">
        <f t="shared" si="36"/>
        <v>35.429968004458409</v>
      </c>
      <c r="AS125" s="24">
        <f t="shared" si="51"/>
        <v>53.28910346770752</v>
      </c>
      <c r="AT125" s="24">
        <f t="shared" si="52"/>
        <v>81.220112381784446</v>
      </c>
    </row>
    <row r="126" spans="4:46">
      <c r="D126" s="13"/>
      <c r="R126" s="12"/>
      <c r="S126" s="12"/>
      <c r="T126" s="12"/>
      <c r="U126" s="12"/>
      <c r="V126" s="12"/>
      <c r="W126" s="12"/>
      <c r="X126" s="12"/>
      <c r="Y126" s="24">
        <v>124</v>
      </c>
      <c r="Z126" s="24">
        <f t="shared" si="28"/>
        <v>2052.58930699948</v>
      </c>
      <c r="AA126" s="24" t="str">
        <f t="shared" si="37"/>
        <v>12896.7989754131i</v>
      </c>
      <c r="AB126" s="24">
        <f t="shared" si="29"/>
        <v>9.0114691425450566</v>
      </c>
      <c r="AD126" s="24" t="str">
        <f t="shared" si="30"/>
        <v>0.866487854576096-0.339225828356317i</v>
      </c>
      <c r="AE126" s="24" t="str">
        <f t="shared" si="31"/>
        <v>0.999995283214407-0.00298829116495331i</v>
      </c>
      <c r="AF126" s="24" t="str">
        <f t="shared" si="45"/>
        <v>7.21246372916027-2.84853042652476i</v>
      </c>
      <c r="AG126" s="24">
        <f t="shared" si="32"/>
        <v>7.7545959685395474</v>
      </c>
      <c r="AH126" s="24">
        <f t="shared" si="46"/>
        <v>-0.37614150937944812</v>
      </c>
      <c r="AI126" s="24">
        <f t="shared" si="27"/>
        <v>-21.551320987122846</v>
      </c>
      <c r="AJ126" s="24">
        <f t="shared" si="47"/>
        <v>17.79118350087807</v>
      </c>
      <c r="AL126" s="24" t="str">
        <f t="shared" si="48"/>
        <v>0.0273960663697818-0.163234561037926i</v>
      </c>
      <c r="AM126" s="24" t="str">
        <f t="shared" si="49"/>
        <v>1.00004319243648+0.02736178052403i</v>
      </c>
      <c r="AN126" s="24" t="str">
        <f t="shared" si="50"/>
        <v>-10.7116059342547+54.6249723579028i</v>
      </c>
      <c r="AO126" s="24">
        <f t="shared" si="33"/>
        <v>55.66530433575663</v>
      </c>
      <c r="AP126" s="24">
        <f t="shared" si="34"/>
        <v>1.764432899401573</v>
      </c>
      <c r="AQ126" s="24">
        <f t="shared" si="35"/>
        <v>101.09455836974108</v>
      </c>
      <c r="AR126" s="24">
        <f t="shared" si="36"/>
        <v>34.911691756090157</v>
      </c>
      <c r="AS126" s="24">
        <f t="shared" si="51"/>
        <v>52.702875256968227</v>
      </c>
      <c r="AT126" s="24">
        <f t="shared" si="52"/>
        <v>79.54323738261823</v>
      </c>
    </row>
    <row r="127" spans="4:46">
      <c r="D127" s="13"/>
      <c r="R127" s="12"/>
      <c r="S127" s="12"/>
      <c r="T127" s="12"/>
      <c r="U127" s="12"/>
      <c r="V127" s="12"/>
      <c r="W127" s="12"/>
      <c r="X127" s="12"/>
      <c r="Y127" s="24">
        <v>125</v>
      </c>
      <c r="Z127" s="24">
        <f t="shared" si="28"/>
        <v>2182.8011580236971</v>
      </c>
      <c r="AA127" s="24" t="str">
        <f t="shared" si="37"/>
        <v>13714.9441645891i</v>
      </c>
      <c r="AB127" s="24">
        <f t="shared" si="29"/>
        <v>9.0114691425450566</v>
      </c>
      <c r="AD127" s="24" t="str">
        <f t="shared" si="30"/>
        <v>0.851616322418884-0.354521153829258i</v>
      </c>
      <c r="AE127" s="24" t="str">
        <f t="shared" si="31"/>
        <v>0.999994665784617-0.00317786171985888i</v>
      </c>
      <c r="AF127" s="24" t="str">
        <f t="shared" si="45"/>
        <v>7.08758585853961-2.9769678512418i</v>
      </c>
      <c r="AG127" s="24">
        <f t="shared" si="32"/>
        <v>7.6874059922380757</v>
      </c>
      <c r="AH127" s="24">
        <f t="shared" si="46"/>
        <v>-0.39764979442042947</v>
      </c>
      <c r="AI127" s="24">
        <f t="shared" si="27"/>
        <v>-22.783654944535442</v>
      </c>
      <c r="AJ127" s="24">
        <f t="shared" si="47"/>
        <v>17.71559635829869</v>
      </c>
      <c r="AL127" s="24" t="str">
        <f t="shared" si="48"/>
        <v>0.0243020742190435-0.153985335041021i</v>
      </c>
      <c r="AM127" s="24" t="str">
        <f t="shared" si="49"/>
        <v>1.00004884631304+0.0290975435408388i</v>
      </c>
      <c r="AN127" s="24" t="str">
        <f t="shared" si="50"/>
        <v>-9.67627508878822+51.5300951214473i</v>
      </c>
      <c r="AO127" s="24">
        <f t="shared" si="33"/>
        <v>52.43072575140755</v>
      </c>
      <c r="AP127" s="24">
        <f t="shared" si="34"/>
        <v>1.7564138881098286</v>
      </c>
      <c r="AQ127" s="24">
        <f t="shared" si="35"/>
        <v>100.63510286685639</v>
      </c>
      <c r="AR127" s="24">
        <f t="shared" si="36"/>
        <v>34.391717386069267</v>
      </c>
      <c r="AS127" s="24">
        <f t="shared" si="51"/>
        <v>52.107313744367957</v>
      </c>
      <c r="AT127" s="24">
        <f t="shared" si="52"/>
        <v>77.851447922320943</v>
      </c>
    </row>
    <row r="128" spans="4:46">
      <c r="D128" s="13"/>
      <c r="R128" s="12"/>
      <c r="S128" s="12"/>
      <c r="T128" s="12"/>
      <c r="U128" s="12"/>
      <c r="V128" s="12"/>
      <c r="W128" s="12"/>
      <c r="X128" s="12"/>
      <c r="Y128" s="24">
        <v>126</v>
      </c>
      <c r="Z128" s="24">
        <f t="shared" si="28"/>
        <v>2321.2733688234066</v>
      </c>
      <c r="AA128" s="24" t="str">
        <f t="shared" si="37"/>
        <v>14584.9907249385i</v>
      </c>
      <c r="AB128" s="24">
        <f t="shared" si="29"/>
        <v>9.0114691425450566</v>
      </c>
      <c r="AD128" s="24" t="str">
        <f t="shared" si="30"/>
        <v>0.835404631151814-0.36979541455394i</v>
      </c>
      <c r="AE128" s="24" t="str">
        <f t="shared" si="31"/>
        <v>0.999993967532597-0.00337945818058751i</v>
      </c>
      <c r="AF128" s="24" t="str">
        <f t="shared" si="45"/>
        <v>6.95145452553011-3.10522845235675i</v>
      </c>
      <c r="AG128" s="24">
        <f t="shared" si="32"/>
        <v>7.6134856512532378</v>
      </c>
      <c r="AH128" s="24">
        <f t="shared" si="46"/>
        <v>-0.42010790198814596</v>
      </c>
      <c r="AI128" s="24">
        <f t="shared" si="27"/>
        <v>-24.070409724016407</v>
      </c>
      <c r="AJ128" s="24">
        <f t="shared" si="47"/>
        <v>17.631670671611122</v>
      </c>
      <c r="AL128" s="24" t="str">
        <f t="shared" si="48"/>
        <v>0.0215497619741011-0.145208022274806i</v>
      </c>
      <c r="AM128" s="24" t="str">
        <f t="shared" si="49"/>
        <v>1.00005524027793+0.0309434177069271i</v>
      </c>
      <c r="AN128" s="24" t="str">
        <f t="shared" si="50"/>
        <v>-8.75527917127851+48.5931421501494i</v>
      </c>
      <c r="AO128" s="24">
        <f t="shared" si="33"/>
        <v>49.375584830882254</v>
      </c>
      <c r="AP128" s="24">
        <f t="shared" si="34"/>
        <v>1.7490589628173527</v>
      </c>
      <c r="AQ128" s="24">
        <f t="shared" si="35"/>
        <v>100.21369668896349</v>
      </c>
      <c r="AR128" s="24">
        <f t="shared" si="36"/>
        <v>33.870245053630406</v>
      </c>
      <c r="AS128" s="24">
        <f t="shared" si="51"/>
        <v>51.501915725241531</v>
      </c>
      <c r="AT128" s="24">
        <f t="shared" si="52"/>
        <v>76.143286964947094</v>
      </c>
    </row>
    <row r="129" spans="4:46">
      <c r="D129" s="13"/>
      <c r="R129" s="12"/>
      <c r="S129" s="12"/>
      <c r="T129" s="12"/>
      <c r="U129" s="12"/>
      <c r="V129" s="12"/>
      <c r="W129" s="12"/>
      <c r="X129" s="12"/>
      <c r="Y129" s="24">
        <v>127</v>
      </c>
      <c r="Z129" s="24">
        <f t="shared" si="28"/>
        <v>2468.5299588567814</v>
      </c>
      <c r="AA129" s="24" t="str">
        <f t="shared" si="37"/>
        <v>15510.2311678216i</v>
      </c>
      <c r="AB129" s="24">
        <f t="shared" si="29"/>
        <v>9.0114691425450566</v>
      </c>
      <c r="AD129" s="24" t="str">
        <f t="shared" si="30"/>
        <v>0.81780271857267-0.384922846997164i</v>
      </c>
      <c r="AE129" s="24" t="str">
        <f t="shared" si="31"/>
        <v>0.999993177878534-0.00359384343613464i</v>
      </c>
      <c r="AF129" s="24" t="str">
        <f t="shared" si="45"/>
        <v>6.80364935211353-3.23225618375121i</v>
      </c>
      <c r="AG129" s="24">
        <f t="shared" si="32"/>
        <v>7.5324049641474264</v>
      </c>
      <c r="AH129" s="24">
        <f t="shared" si="46"/>
        <v>-0.44351102299031492</v>
      </c>
      <c r="AI129" s="24">
        <f t="shared" si="27"/>
        <v>-25.411309784874668</v>
      </c>
      <c r="AJ129" s="24">
        <f t="shared" si="47"/>
        <v>17.538673218307224</v>
      </c>
      <c r="AL129" s="24" t="str">
        <f t="shared" si="48"/>
        <v>0.0191030577347172-0.136887292762701i</v>
      </c>
      <c r="AM129" s="24" t="str">
        <f t="shared" si="49"/>
        <v>1.00006247120753+0.032906387847043i</v>
      </c>
      <c r="AN129" s="24" t="str">
        <f t="shared" si="50"/>
        <v>-7.93654757595669+45.8089842569068i</v>
      </c>
      <c r="AO129" s="24">
        <f t="shared" si="33"/>
        <v>46.491416692492372</v>
      </c>
      <c r="AP129" s="24">
        <f t="shared" si="34"/>
        <v>1.7423464808179363</v>
      </c>
      <c r="AQ129" s="24">
        <f t="shared" si="35"/>
        <v>99.829099800339392</v>
      </c>
      <c r="AR129" s="24">
        <f t="shared" si="36"/>
        <v>33.347455605252499</v>
      </c>
      <c r="AS129" s="24">
        <f t="shared" si="51"/>
        <v>50.886128823559723</v>
      </c>
      <c r="AT129" s="24">
        <f t="shared" si="52"/>
        <v>74.417790015464732</v>
      </c>
    </row>
    <row r="130" spans="4:46">
      <c r="D130" s="13"/>
      <c r="R130" s="12"/>
      <c r="S130" s="12"/>
      <c r="T130" s="12"/>
      <c r="U130" s="12"/>
      <c r="V130" s="12"/>
      <c r="W130" s="12"/>
      <c r="X130" s="12"/>
      <c r="Y130" s="24">
        <v>128</v>
      </c>
      <c r="Z130" s="24">
        <f t="shared" si="28"/>
        <v>2625.1281902493761</v>
      </c>
      <c r="AA130" s="24" t="str">
        <f t="shared" si="37"/>
        <v>16494.1668744378i</v>
      </c>
      <c r="AB130" s="24">
        <f t="shared" si="29"/>
        <v>9.0114691425450566</v>
      </c>
      <c r="AD130" s="24" t="str">
        <f t="shared" si="30"/>
        <v>0.79877435941723-0.399763374038429i</v>
      </c>
      <c r="AE130" s="24" t="str">
        <f t="shared" si="31"/>
        <v>0.999992284857669-0.0038218287697887i</v>
      </c>
      <c r="AF130" s="24" t="str">
        <f t="shared" si="45"/>
        <v>6.64386615048063-3.35687480681677i</v>
      </c>
      <c r="AG130" s="24">
        <f t="shared" si="32"/>
        <v>7.4437601985920683</v>
      </c>
      <c r="AH130" s="24">
        <f t="shared" si="46"/>
        <v>-0.46784614922892587</v>
      </c>
      <c r="AI130" s="24">
        <f t="shared" ref="AI130:AI193" si="53">AH130/(PI())*180</f>
        <v>-26.805609812265146</v>
      </c>
      <c r="AJ130" s="24">
        <f t="shared" si="47"/>
        <v>17.435847476961502</v>
      </c>
      <c r="AL130" s="24" t="str">
        <f t="shared" si="48"/>
        <v>0.0169293395463645-0.129006732416911i</v>
      </c>
      <c r="AM130" s="24" t="str">
        <f t="shared" si="49"/>
        <v>1.00007064865896+0.0349938818092169i</v>
      </c>
      <c r="AN130" s="24" t="str">
        <f t="shared" si="50"/>
        <v>-7.20916413759576+43.17212952224i</v>
      </c>
      <c r="AO130" s="24">
        <f t="shared" si="33"/>
        <v>43.76990764267002</v>
      </c>
      <c r="AP130" s="24">
        <f t="shared" si="34"/>
        <v>1.7362562072463712</v>
      </c>
      <c r="AQ130" s="24">
        <f t="shared" si="35"/>
        <v>99.480152828608638</v>
      </c>
      <c r="AR130" s="24">
        <f t="shared" si="36"/>
        <v>32.823512604493899</v>
      </c>
      <c r="AS130" s="24">
        <f t="shared" si="51"/>
        <v>50.259360081455398</v>
      </c>
      <c r="AT130" s="24">
        <f t="shared" si="52"/>
        <v>72.674543016343492</v>
      </c>
    </row>
    <row r="131" spans="4:46">
      <c r="D131" s="13"/>
      <c r="R131" s="12"/>
      <c r="S131" s="12"/>
      <c r="T131" s="12"/>
      <c r="U131" s="12"/>
      <c r="V131" s="12"/>
      <c r="W131" s="12"/>
      <c r="X131" s="12"/>
      <c r="Y131" s="24">
        <v>129</v>
      </c>
      <c r="Z131" s="24">
        <f t="shared" ref="Z131:Z194" si="54">10^(LOG($G$6/$G$5,10)*Y131/200)</f>
        <v>2791.6606766374607</v>
      </c>
      <c r="AA131" s="24" t="str">
        <f t="shared" si="37"/>
        <v>17540.5213460795i</v>
      </c>
      <c r="AB131" s="24">
        <f t="shared" ref="AB131:AB194" si="55">$B$23/$G$3</f>
        <v>9.0114691425450566</v>
      </c>
      <c r="AD131" s="24" t="str">
        <f t="shared" ref="AD131:AD194" si="56">IMDIV(IMSUM(1,IMDIV(AA131,$G$12)),IMSUM(1,IMDIV(AA131,$G$14)))</f>
        <v>0.778300488708137-0.414163961170664i</v>
      </c>
      <c r="AE131" s="24" t="str">
        <f t="shared" ref="AE131:AE194" si="57">IMDIV(1,IMSUM(1,IMDIV(AA131,IMPRODUCT($G$10*$G$11)),IMDIV(IMPRODUCT(AA131,AA131),$G$10*$G$10)))</f>
        <v>0.999991274938991-0.00406427692880748i</v>
      </c>
      <c r="AF131" s="24" t="str">
        <f t="shared" si="45"/>
        <v>6.47194482954246-3.47779927863313i</v>
      </c>
      <c r="AG131" s="24">
        <f t="shared" ref="AG131:AG194" si="58">IMABS(AF131)</f>
        <v>7.3471870603042699</v>
      </c>
      <c r="AH131" s="24">
        <f t="shared" si="46"/>
        <v>-0.4930912281904915</v>
      </c>
      <c r="AI131" s="24">
        <f t="shared" si="53"/>
        <v>-28.252046290237367</v>
      </c>
      <c r="AJ131" s="24">
        <f t="shared" si="47"/>
        <v>17.322421943542594</v>
      </c>
      <c r="AL131" s="24" t="str">
        <f t="shared" si="48"/>
        <v>0.0149991843876833-0.121549203433785i</v>
      </c>
      <c r="AM131" s="24" t="str">
        <f t="shared" si="49"/>
        <v>1.00007989652997+0.0372137985532032i</v>
      </c>
      <c r="AN131" s="24" t="str">
        <f t="shared" si="50"/>
        <v>-6.56328313603013+40.67684389447i</v>
      </c>
      <c r="AO131" s="24">
        <f t="shared" ref="AO131:AO194" si="59">IMABS(AN131)</f>
        <v>41.202940607907813</v>
      </c>
      <c r="AP131" s="24">
        <f t="shared" ref="AP131:AP194" si="60">IMARGUMENT(AN131)</f>
        <v>1.7307693957173989</v>
      </c>
      <c r="AQ131" s="24">
        <f t="shared" ref="AQ131:AQ194" si="61">AP131/(PI())*180</f>
        <v>99.165781685014807</v>
      </c>
      <c r="AR131" s="24">
        <f t="shared" ref="AR131:AR194" si="62">20*LOG(AO131,10)</f>
        <v>32.298564245038655</v>
      </c>
      <c r="AS131" s="24">
        <f t="shared" si="51"/>
        <v>49.620986188581249</v>
      </c>
      <c r="AT131" s="24">
        <f t="shared" si="52"/>
        <v>70.913735394777433</v>
      </c>
    </row>
    <row r="132" spans="4:46">
      <c r="D132" s="13"/>
      <c r="R132" s="12"/>
      <c r="S132" s="12"/>
      <c r="T132" s="12"/>
      <c r="U132" s="12"/>
      <c r="V132" s="12"/>
      <c r="W132" s="12"/>
      <c r="X132" s="12"/>
      <c r="Y132" s="24">
        <v>130</v>
      </c>
      <c r="Z132" s="24">
        <f t="shared" si="54"/>
        <v>2968.757625791824</v>
      </c>
      <c r="AA132" s="24" t="str">
        <f t="shared" ref="AA132:AA195" si="63">IMPRODUCT(COMPLEX(0,1),2*PI()*Z132)</f>
        <v>18653.2542949525i</v>
      </c>
      <c r="AB132" s="24">
        <f t="shared" si="55"/>
        <v>9.0114691425450566</v>
      </c>
      <c r="AD132" s="24" t="str">
        <f t="shared" si="56"/>
        <v>0.756382489223627-0.427960767682737i</v>
      </c>
      <c r="AE132" s="24" t="str">
        <f t="shared" si="57"/>
        <v>0.999990132820202-0.00432210538875633i</v>
      </c>
      <c r="AF132" s="24" t="str">
        <f t="shared" si="45"/>
        <v>6.28789700015147-3.59365381569434i</v>
      </c>
      <c r="AG132" s="24">
        <f t="shared" si="58"/>
        <v>7.2423750546052457</v>
      </c>
      <c r="AH132" s="24">
        <f t="shared" ref="AH132:AH163" si="64">IMARGUMENT(AF132)</f>
        <v>-0.51921442588329814</v>
      </c>
      <c r="AI132" s="24">
        <f t="shared" si="53"/>
        <v>-29.748795265421073</v>
      </c>
      <c r="AJ132" s="24">
        <f t="shared" ref="AJ132:AJ163" si="65">20*LOG(AG132,10)</f>
        <v>17.197620229912115</v>
      </c>
      <c r="AL132" s="24" t="str">
        <f t="shared" ref="AL132:AL163" si="66">IMDIV(1,IMSUM(1,IMDIV(AA132,wp2e)))</f>
        <v>0.01328611679604-0.114497143617306i</v>
      </c>
      <c r="AM132" s="24" t="str">
        <f t="shared" ref="AM132:AM163" si="67">IMDIV(IMSUM(1,IMDIV(AA132,wz2e)),IMSUM(1,IMDIV(AA132,wp1e)))</f>
        <v>1.00009035493596+0.0395745380175469i</v>
      </c>
      <c r="AN132" s="24" t="str">
        <f t="shared" ref="AN132:AN163" si="68">IMPRODUCT($AK$2,AL132,AM132)</f>
        <v>-5.9900451795541+38.3172513538112i</v>
      </c>
      <c r="AO132" s="24">
        <f t="shared" si="59"/>
        <v>38.78263003670903</v>
      </c>
      <c r="AP132" s="24">
        <f t="shared" si="60"/>
        <v>1.7258688499500521</v>
      </c>
      <c r="AQ132" s="24">
        <f t="shared" si="61"/>
        <v>98.88500109523514</v>
      </c>
      <c r="AR132" s="24">
        <f t="shared" si="62"/>
        <v>31.772745146787543</v>
      </c>
      <c r="AS132" s="24">
        <f t="shared" ref="AS132:AS163" si="69">AR132+AJ132</f>
        <v>48.970365376699661</v>
      </c>
      <c r="AT132" s="24">
        <f t="shared" ref="AT132:AT163" si="70">AQ132+AI132</f>
        <v>69.13620582981406</v>
      </c>
    </row>
    <row r="133" spans="4:46">
      <c r="D133" s="13"/>
      <c r="R133" s="12"/>
      <c r="S133" s="12"/>
      <c r="T133" s="12"/>
      <c r="U133" s="12"/>
      <c r="V133" s="12"/>
      <c r="W133" s="12"/>
      <c r="X133" s="12"/>
      <c r="Y133" s="24">
        <v>131</v>
      </c>
      <c r="Z133" s="24">
        <f t="shared" si="54"/>
        <v>3157.0892245088098</v>
      </c>
      <c r="AA133" s="24" t="str">
        <f t="shared" si="63"/>
        <v>19836.5766288887i</v>
      </c>
      <c r="AB133" s="24">
        <f t="shared" si="55"/>
        <v>9.0114691425450566</v>
      </c>
      <c r="AD133" s="24" t="str">
        <f t="shared" si="56"/>
        <v>0.733045242667566-0.440982147266919i</v>
      </c>
      <c r="AE133" s="24" t="str">
        <f t="shared" si="57"/>
        <v>0.999988841195822-0.00459628982484292i</v>
      </c>
      <c r="AF133" s="24" t="str">
        <f t="shared" si="45"/>
        <v>6.09193159609633-3.70299709034856i</v>
      </c>
      <c r="AG133" s="24">
        <f t="shared" si="58"/>
        <v>7.1290825512576781</v>
      </c>
      <c r="AH133" s="24">
        <f t="shared" si="64"/>
        <v>-0.54617354876532553</v>
      </c>
      <c r="AI133" s="24">
        <f t="shared" si="53"/>
        <v>-31.293439225935806</v>
      </c>
      <c r="AJ133" s="24">
        <f t="shared" si="65"/>
        <v>17.060672873157564</v>
      </c>
      <c r="AL133" s="24" t="str">
        <f t="shared" si="66"/>
        <v>0.0117663627287672-0.107832812431571i</v>
      </c>
      <c r="AM133" s="24" t="str">
        <f t="shared" si="67"/>
        <v>1.0001021823327+0.0420850328774551i</v>
      </c>
      <c r="AN133" s="24" t="str">
        <f t="shared" si="68"/>
        <v>-5.4814948402942+36.0874162507672i</v>
      </c>
      <c r="AO133" s="24">
        <f t="shared" si="59"/>
        <v>36.501347883883803</v>
      </c>
      <c r="AP133" s="24">
        <f t="shared" si="60"/>
        <v>1.7215389698941166</v>
      </c>
      <c r="AQ133" s="24">
        <f t="shared" si="61"/>
        <v>98.636917242232172</v>
      </c>
      <c r="AR133" s="24">
        <f t="shared" si="62"/>
        <v>31.246178038567692</v>
      </c>
      <c r="AS133" s="24">
        <f t="shared" si="69"/>
        <v>48.306850911725256</v>
      </c>
      <c r="AT133" s="24">
        <f t="shared" si="70"/>
        <v>67.343478016296359</v>
      </c>
    </row>
    <row r="134" spans="4:46">
      <c r="D134" s="13"/>
      <c r="R134" s="12"/>
      <c r="S134" s="12"/>
      <c r="T134" s="12"/>
      <c r="U134" s="12"/>
      <c r="V134" s="12"/>
      <c r="W134" s="12"/>
      <c r="X134" s="12"/>
      <c r="Y134" s="24">
        <v>132</v>
      </c>
      <c r="Z134" s="24">
        <f t="shared" si="54"/>
        <v>3357.3681747937244</v>
      </c>
      <c r="AA134" s="24" t="str">
        <f t="shared" si="63"/>
        <v>21094.9663866563i</v>
      </c>
      <c r="AB134" s="24">
        <f t="shared" si="55"/>
        <v>9.0114691425450566</v>
      </c>
      <c r="AD134" s="24" t="str">
        <f t="shared" si="56"/>
        <v>0.708339712012376-0.45305249870867i</v>
      </c>
      <c r="AE134" s="24" t="str">
        <f t="shared" si="57"/>
        <v>0.999987380494956-0.00488786780336222i</v>
      </c>
      <c r="AF134" s="24" t="str">
        <f t="shared" si="45"/>
        <v>5.88447655830421-3.80435456547135i</v>
      </c>
      <c r="AG134" s="24">
        <f t="shared" si="58"/>
        <v>7.007151919649985</v>
      </c>
      <c r="AH134" s="24">
        <f t="shared" si="64"/>
        <v>-0.5739156775931552</v>
      </c>
      <c r="AI134" s="24">
        <f t="shared" si="53"/>
        <v>-32.882946122478664</v>
      </c>
      <c r="AJ134" s="24">
        <f t="shared" si="65"/>
        <v>16.910830667697837</v>
      </c>
      <c r="AL134" s="24" t="str">
        <f t="shared" si="66"/>
        <v>0.0104186126467391-0.101538491013292i</v>
      </c>
      <c r="AM134" s="24" t="str">
        <f t="shared" si="67"/>
        <v>1.00011555791693+0.0447547823126283i</v>
      </c>
      <c r="AN134" s="24" t="str">
        <f t="shared" si="68"/>
        <v>-5.03050137559044+33.9814102385319i</v>
      </c>
      <c r="AO134" s="24">
        <f t="shared" si="59"/>
        <v>34.351742108504745</v>
      </c>
      <c r="AP134" s="24">
        <f t="shared" si="60"/>
        <v>1.7177657853979715</v>
      </c>
      <c r="AQ134" s="24">
        <f t="shared" si="61"/>
        <v>98.420729695278865</v>
      </c>
      <c r="AR134" s="24">
        <f t="shared" si="62"/>
        <v>30.718975333835935</v>
      </c>
      <c r="AS134" s="24">
        <f t="shared" si="69"/>
        <v>47.629806001533773</v>
      </c>
      <c r="AT134" s="24">
        <f t="shared" si="70"/>
        <v>65.537783572800208</v>
      </c>
    </row>
    <row r="135" spans="4:46">
      <c r="D135" s="13"/>
      <c r="R135" s="12"/>
      <c r="S135" s="12"/>
      <c r="T135" s="12"/>
      <c r="U135" s="12"/>
      <c r="V135" s="12"/>
      <c r="W135" s="12"/>
      <c r="X135" s="12"/>
      <c r="Y135" s="24">
        <v>133</v>
      </c>
      <c r="Z135" s="24">
        <f t="shared" si="54"/>
        <v>3570.3523909342362</v>
      </c>
      <c r="AA135" s="24" t="str">
        <f t="shared" si="63"/>
        <v>22433.1856841715i</v>
      </c>
      <c r="AB135" s="24">
        <f t="shared" si="55"/>
        <v>9.0114691425450566</v>
      </c>
      <c r="AD135" s="24" t="str">
        <f t="shared" si="56"/>
        <v>0.682344805707941-0.4639968985133i</v>
      </c>
      <c r="AE135" s="24" t="str">
        <f t="shared" si="57"/>
        <v>0.999985728584708-0.00519794270719396i</v>
      </c>
      <c r="AF135" s="24" t="str">
        <f t="shared" si="45"/>
        <v>5.66619448879362-3.89625739514785i</v>
      </c>
      <c r="AG135" s="24">
        <f t="shared" si="58"/>
        <v>6.8765239528470694</v>
      </c>
      <c r="AH135" s="24">
        <f t="shared" si="64"/>
        <v>-0.6023770640059819</v>
      </c>
      <c r="AI135" s="24">
        <f t="shared" si="53"/>
        <v>-34.513663443024612</v>
      </c>
      <c r="AJ135" s="24">
        <f t="shared" si="65"/>
        <v>16.7473792019554</v>
      </c>
      <c r="AL135" s="24" t="str">
        <f t="shared" si="66"/>
        <v>0.00922379652199141-0.0955966427219717i</v>
      </c>
      <c r="AM135" s="24" t="str">
        <f t="shared" si="67"/>
        <v>1.00013068434105+0.047593887911609i</v>
      </c>
      <c r="AN135" s="24" t="str">
        <f t="shared" si="68"/>
        <v>-4.63068343944512+31.9933660004561i</v>
      </c>
      <c r="AO135" s="24">
        <f t="shared" si="59"/>
        <v>32.326748941944217</v>
      </c>
      <c r="AP135" s="24">
        <f t="shared" si="60"/>
        <v>1.7145369800136419</v>
      </c>
      <c r="AQ135" s="24">
        <f t="shared" si="61"/>
        <v>98.235732773887662</v>
      </c>
      <c r="AR135" s="24">
        <f t="shared" si="62"/>
        <v>30.191240607808677</v>
      </c>
      <c r="AS135" s="24">
        <f t="shared" si="69"/>
        <v>46.938619809764077</v>
      </c>
      <c r="AT135" s="24">
        <f t="shared" si="70"/>
        <v>63.72206933086305</v>
      </c>
    </row>
    <row r="136" spans="4:46">
      <c r="D136" s="13"/>
      <c r="R136" s="12"/>
      <c r="S136" s="12"/>
      <c r="T136" s="12"/>
      <c r="U136" s="12"/>
      <c r="V136" s="12"/>
      <c r="W136" s="12"/>
      <c r="X136" s="12"/>
      <c r="Y136" s="24">
        <v>134</v>
      </c>
      <c r="Z136" s="24">
        <f t="shared" si="54"/>
        <v>3796.8478676703417</v>
      </c>
      <c r="AA136" s="24" t="str">
        <f t="shared" si="63"/>
        <v>23856.2987357424i</v>
      </c>
      <c r="AB136" s="24">
        <f t="shared" si="55"/>
        <v>9.0114691425450566</v>
      </c>
      <c r="AD136" s="24" t="str">
        <f t="shared" si="56"/>
        <v>0.655168279817279-0.473646368130377i</v>
      </c>
      <c r="AE136" s="24" t="str">
        <f t="shared" si="57"/>
        <v>0.999983860434765-0.00552768791017525i</v>
      </c>
      <c r="AF136" s="24" t="str">
        <f t="shared" si="45"/>
        <v>5.43799022599376-3.97728665414154i</v>
      </c>
      <c r="AG136" s="24">
        <f t="shared" si="58"/>
        <v>6.7372506875739804</v>
      </c>
      <c r="AH136" s="24">
        <f t="shared" si="64"/>
        <v>-0.63148333403814971</v>
      </c>
      <c r="AI136" s="24">
        <f t="shared" si="53"/>
        <v>-36.181329873235939</v>
      </c>
      <c r="AJ136" s="24">
        <f t="shared" si="65"/>
        <v>16.569654147898195</v>
      </c>
      <c r="AL136" s="24" t="str">
        <f t="shared" si="66"/>
        <v>0.00816487246343012-0.0899900401215937i</v>
      </c>
      <c r="AM136" s="24" t="str">
        <f t="shared" si="67"/>
        <v>1.00014779078318+0.0506130918470437i</v>
      </c>
      <c r="AN136" s="24" t="str">
        <f t="shared" si="68"/>
        <v>-4.27633835090738+30.1175197448301i</v>
      </c>
      <c r="AO136" s="24">
        <f t="shared" si="59"/>
        <v>30.419600018272302</v>
      </c>
      <c r="AP136" s="24">
        <f t="shared" si="60"/>
        <v>1.7118419071282787</v>
      </c>
      <c r="AQ136" s="24">
        <f t="shared" si="61"/>
        <v>98.08131647207621</v>
      </c>
      <c r="AR136" s="24">
        <f t="shared" si="62"/>
        <v>29.663069985924576</v>
      </c>
      <c r="AS136" s="24">
        <f t="shared" si="69"/>
        <v>46.232724133822771</v>
      </c>
      <c r="AT136" s="24">
        <f t="shared" si="70"/>
        <v>61.899986598840272</v>
      </c>
    </row>
    <row r="137" spans="4:46">
      <c r="D137" s="13"/>
      <c r="R137" s="12"/>
      <c r="S137" s="12"/>
      <c r="T137" s="12"/>
      <c r="U137" s="12"/>
      <c r="V137" s="12"/>
      <c r="W137" s="12"/>
      <c r="X137" s="12"/>
      <c r="Y137" s="24">
        <v>135</v>
      </c>
      <c r="Z137" s="24">
        <f t="shared" si="54"/>
        <v>4037.7117303148448</v>
      </c>
      <c r="AA137" s="24" t="str">
        <f t="shared" si="63"/>
        <v>25369.6910185409i</v>
      </c>
      <c r="AB137" s="24">
        <f t="shared" si="55"/>
        <v>9.0114691425450566</v>
      </c>
      <c r="AD137" s="24" t="str">
        <f t="shared" si="56"/>
        <v>0.626946466992982-0.481843546654196i</v>
      </c>
      <c r="AE137" s="24" t="str">
        <f t="shared" si="57"/>
        <v>0.999981747738074-0.00587835121610591i</v>
      </c>
      <c r="AF137" s="24" t="str">
        <f t="shared" si="45"/>
        <v>5.20100856891867-4.0461209721902i</v>
      </c>
      <c r="AG137" s="24">
        <f t="shared" si="58"/>
        <v>6.5895056761158344</v>
      </c>
      <c r="AH137" s="24">
        <f t="shared" si="64"/>
        <v>-0.66115003111150816</v>
      </c>
      <c r="AI137" s="24">
        <f t="shared" si="53"/>
        <v>-37.881106407632487</v>
      </c>
      <c r="AJ137" s="24">
        <f t="shared" si="65"/>
        <v>16.377056728337397</v>
      </c>
      <c r="AL137" s="24" t="str">
        <f t="shared" si="66"/>
        <v>0.00722662987845996-0.0847018636103109i</v>
      </c>
      <c r="AM137" s="24" t="str">
        <f t="shared" si="67"/>
        <v>1.00016713641891+0.0538238174645414i</v>
      </c>
      <c r="AN137" s="24" t="str">
        <f t="shared" si="68"/>
        <v>-3.96237622651895+28.34824421256i</v>
      </c>
      <c r="AO137" s="24">
        <f t="shared" si="59"/>
        <v>28.623825308568108</v>
      </c>
      <c r="AP137" s="24">
        <f t="shared" si="60"/>
        <v>1.7096716002412335</v>
      </c>
      <c r="AQ137" s="24">
        <f t="shared" si="61"/>
        <v>97.956967047200337</v>
      </c>
      <c r="AR137" s="24">
        <f t="shared" si="62"/>
        <v>29.134553454574661</v>
      </c>
      <c r="AS137" s="24">
        <f t="shared" si="69"/>
        <v>45.511610182912058</v>
      </c>
      <c r="AT137" s="24">
        <f t="shared" si="70"/>
        <v>60.07586063956785</v>
      </c>
    </row>
    <row r="138" spans="4:46">
      <c r="D138" s="13"/>
      <c r="R138" s="12"/>
      <c r="S138" s="12"/>
      <c r="T138" s="12"/>
      <c r="U138" s="12"/>
      <c r="V138" s="12"/>
      <c r="W138" s="12"/>
      <c r="X138" s="12"/>
      <c r="Y138" s="24">
        <v>136</v>
      </c>
      <c r="Z138" s="24">
        <f t="shared" si="54"/>
        <v>4293.8554783669315</v>
      </c>
      <c r="AA138" s="24" t="str">
        <f t="shared" si="63"/>
        <v>26979.0896528277i</v>
      </c>
      <c r="AB138" s="24">
        <f t="shared" si="55"/>
        <v>9.0114691425450566</v>
      </c>
      <c r="AD138" s="24" t="str">
        <f t="shared" si="56"/>
        <v>0.597842683856785-0.488448465983937i</v>
      </c>
      <c r="AE138" s="24" t="str">
        <f t="shared" si="57"/>
        <v>0.999979358481829-0.00625125957913733i</v>
      </c>
      <c r="AF138" s="24" t="str">
        <f t="shared" si="45"/>
        <v>4.95662090374894-4.10158502866821i</v>
      </c>
      <c r="AG138" s="24">
        <f t="shared" si="58"/>
        <v>6.4335907960388772</v>
      </c>
      <c r="AH138" s="24">
        <f t="shared" si="64"/>
        <v>-0.69128351454830739</v>
      </c>
      <c r="AI138" s="24">
        <f t="shared" si="53"/>
        <v>-39.607627830588456</v>
      </c>
      <c r="AJ138" s="24">
        <f t="shared" si="65"/>
        <v>16.169068689062605</v>
      </c>
      <c r="AL138" s="24" t="str">
        <f t="shared" si="66"/>
        <v>0.00639550750216992-0.079715776267685i</v>
      </c>
      <c r="AM138" s="24" t="str">
        <f t="shared" si="67"/>
        <v>1.00018901434746+0.0572382124365921i</v>
      </c>
      <c r="AN138" s="24" t="str">
        <f t="shared" si="68"/>
        <v>-3.68425908779138+26.6800737268489i</v>
      </c>
      <c r="AO138" s="24">
        <f t="shared" si="59"/>
        <v>26.933252664616397</v>
      </c>
      <c r="AP138" s="24">
        <f t="shared" si="60"/>
        <v>1.7080187788700558</v>
      </c>
      <c r="AQ138" s="24">
        <f t="shared" si="61"/>
        <v>97.862267358342834</v>
      </c>
      <c r="AR138" s="24">
        <f t="shared" si="62"/>
        <v>28.60577610572885</v>
      </c>
      <c r="AS138" s="24">
        <f t="shared" si="69"/>
        <v>44.774844794791456</v>
      </c>
      <c r="AT138" s="24">
        <f t="shared" si="70"/>
        <v>58.254639527754378</v>
      </c>
    </row>
    <row r="139" spans="4:46">
      <c r="D139" s="13"/>
      <c r="R139" s="12"/>
      <c r="S139" s="12"/>
      <c r="T139" s="12"/>
      <c r="U139" s="12"/>
      <c r="V139" s="12"/>
      <c r="W139" s="12"/>
      <c r="X139" s="12"/>
      <c r="Y139" s="24">
        <v>137</v>
      </c>
      <c r="Z139" s="24">
        <f t="shared" si="54"/>
        <v>4566.248434893605</v>
      </c>
      <c r="AA139" s="24" t="str">
        <f t="shared" si="63"/>
        <v>28690.5850750553i</v>
      </c>
      <c r="AB139" s="24">
        <f t="shared" si="55"/>
        <v>9.0114691425450566</v>
      </c>
      <c r="AD139" s="24" t="str">
        <f t="shared" si="56"/>
        <v>0.568044258701385-0.493344071263736i</v>
      </c>
      <c r="AE139" s="24" t="str">
        <f t="shared" si="57"/>
        <v>0.999976656462293-0.00664782412335158i</v>
      </c>
      <c r="AF139" s="24" t="str">
        <f t="shared" si="45"/>
        <v>4.70640024510968-4.1426959083383i</v>
      </c>
      <c r="AG139" s="24">
        <f t="shared" si="58"/>
        <v>6.2699388080053344</v>
      </c>
      <c r="AH139" s="24">
        <f t="shared" si="64"/>
        <v>-0.72178220911667534</v>
      </c>
      <c r="AI139" s="24">
        <f t="shared" si="53"/>
        <v>-41.355074310014508</v>
      </c>
      <c r="AJ139" s="24">
        <f t="shared" si="65"/>
        <v>15.945266046358181</v>
      </c>
      <c r="AL139" s="24" t="str">
        <f t="shared" si="66"/>
        <v>0.00565942619326928-0.0750159788873825i</v>
      </c>
      <c r="AM139" s="24" t="str">
        <f t="shared" si="67"/>
        <v>1.00021375603162+0.0608691946422786i</v>
      </c>
      <c r="AN139" s="24" t="str">
        <f t="shared" si="68"/>
        <v>-3.43794490997672+25.1077226126572i</v>
      </c>
      <c r="AO139" s="24">
        <f t="shared" si="59"/>
        <v>25.342004656265303</v>
      </c>
      <c r="AP139" s="24">
        <f t="shared" si="60"/>
        <v>1.7068778512636587</v>
      </c>
      <c r="AQ139" s="24">
        <f t="shared" si="61"/>
        <v>97.796897021766299</v>
      </c>
      <c r="AR139" s="24">
        <f t="shared" si="62"/>
        <v>28.076819327537848</v>
      </c>
      <c r="AS139" s="24">
        <f t="shared" si="69"/>
        <v>44.022085373896033</v>
      </c>
      <c r="AT139" s="24">
        <f t="shared" si="70"/>
        <v>56.44182271175179</v>
      </c>
    </row>
    <row r="140" spans="4:46">
      <c r="D140" s="13"/>
      <c r="R140" s="12"/>
      <c r="S140" s="12"/>
      <c r="T140" s="12"/>
      <c r="U140" s="12"/>
      <c r="V140" s="12"/>
      <c r="W140" s="12"/>
      <c r="X140" s="12"/>
      <c r="Y140" s="24">
        <v>138</v>
      </c>
      <c r="Z140" s="24">
        <f t="shared" si="54"/>
        <v>4855.9214147324665</v>
      </c>
      <c r="AA140" s="24" t="str">
        <f t="shared" si="63"/>
        <v>30510.6540858657i</v>
      </c>
      <c r="AB140" s="24">
        <f t="shared" si="55"/>
        <v>9.0114691425450566</v>
      </c>
      <c r="AD140" s="24" t="str">
        <f t="shared" si="56"/>
        <v>0.537758232280082-0.496441106168777i</v>
      </c>
      <c r="AE140" s="24" t="str">
        <f t="shared" si="57"/>
        <v>0.999973600736084-0.00706954548045735i</v>
      </c>
      <c r="AF140" s="24" t="str">
        <f t="shared" ref="AF140:AF202" si="71">IMPRODUCT(AB140,AC$2,AD140,AE140)</f>
        <v>4.45208513512251-4.16870412364869i</v>
      </c>
      <c r="AG140" s="24">
        <f t="shared" si="58"/>
        <v>6.0991110926842778</v>
      </c>
      <c r="AH140" s="24">
        <f t="shared" si="64"/>
        <v>-0.75253817814851998</v>
      </c>
      <c r="AI140" s="24">
        <f t="shared" si="53"/>
        <v>-43.117261530374265</v>
      </c>
      <c r="AJ140" s="24">
        <f t="shared" si="65"/>
        <v>15.705330878337362</v>
      </c>
      <c r="AL140" s="24" t="str">
        <f t="shared" si="66"/>
        <v>0.00500763608615799-0.0705872486146513i</v>
      </c>
      <c r="AM140" s="24" t="str">
        <f t="shared" si="67"/>
        <v>1.00024173631859+0.0647305009433094i</v>
      </c>
      <c r="AN140" s="24" t="str">
        <f t="shared" si="68"/>
        <v>-3.21983647472264+23.6260981301527i</v>
      </c>
      <c r="AO140" s="24">
        <f t="shared" si="59"/>
        <v>23.844493279991486</v>
      </c>
      <c r="AP140" s="24">
        <f t="shared" si="60"/>
        <v>1.7062449148218837</v>
      </c>
      <c r="AQ140" s="24">
        <f t="shared" si="61"/>
        <v>97.760632434952583</v>
      </c>
      <c r="AR140" s="24">
        <f t="shared" si="62"/>
        <v>27.547761953269919</v>
      </c>
      <c r="AS140" s="24">
        <f t="shared" si="69"/>
        <v>43.253092831607283</v>
      </c>
      <c r="AT140" s="24">
        <f t="shared" si="70"/>
        <v>54.643370904578319</v>
      </c>
    </row>
    <row r="141" spans="4:46">
      <c r="D141" s="13"/>
      <c r="R141" s="12"/>
      <c r="S141" s="12"/>
      <c r="T141" s="12"/>
      <c r="U141" s="12"/>
      <c r="V141" s="12"/>
      <c r="W141" s="12"/>
      <c r="X141" s="12"/>
      <c r="Y141" s="24">
        <v>139</v>
      </c>
      <c r="Z141" s="24">
        <f t="shared" si="54"/>
        <v>5163.9706253973836</v>
      </c>
      <c r="AA141" s="24" t="str">
        <f t="shared" si="63"/>
        <v>32446.1843602037i</v>
      </c>
      <c r="AB141" s="24">
        <f t="shared" si="55"/>
        <v>9.0114691425450566</v>
      </c>
      <c r="AD141" s="24" t="str">
        <f t="shared" si="56"/>
        <v>0.507205903733679-0.497681998357762i</v>
      </c>
      <c r="AE141" s="24" t="str">
        <f t="shared" si="57"/>
        <v>0.999970144999586-0.00751801946571953i</v>
      </c>
      <c r="AF141" s="24" t="str">
        <f t="shared" si="71"/>
        <v>4.19553384494895-4.17912624132153i</v>
      </c>
      <c r="AG141" s="24">
        <f t="shared" si="58"/>
        <v>5.9217903023506615</v>
      </c>
      <c r="AH141" s="24">
        <f t="shared" si="64"/>
        <v>-0.78343896953582404</v>
      </c>
      <c r="AI141" s="24">
        <f t="shared" si="53"/>
        <v>-44.88774646048099</v>
      </c>
      <c r="AJ141" s="24">
        <f t="shared" si="65"/>
        <v>15.449060488811588</v>
      </c>
      <c r="AL141" s="24" t="str">
        <f t="shared" si="66"/>
        <v>0.00443057747522393-0.0664149641154761i</v>
      </c>
      <c r="AM141" s="24" t="str">
        <f t="shared" si="67"/>
        <v>1.00027337911793+0.0688367390372347i</v>
      </c>
      <c r="AN141" s="24" t="str">
        <f t="shared" si="68"/>
        <v>-3.02673481783004+22.2303089015857i</v>
      </c>
      <c r="AO141" s="24">
        <f t="shared" si="59"/>
        <v>22.435413023106687</v>
      </c>
      <c r="AP141" s="24">
        <f t="shared" si="60"/>
        <v>1.7061177548628286</v>
      </c>
      <c r="AQ141" s="24">
        <f t="shared" si="61"/>
        <v>97.753346705975659</v>
      </c>
      <c r="AR141" s="24">
        <f t="shared" si="62"/>
        <v>27.018681381108212</v>
      </c>
      <c r="AS141" s="24">
        <f t="shared" si="69"/>
        <v>42.467741869919799</v>
      </c>
      <c r="AT141" s="24">
        <f t="shared" si="70"/>
        <v>52.865600245494669</v>
      </c>
    </row>
    <row r="142" spans="4:46">
      <c r="D142" s="13"/>
      <c r="R142" s="12"/>
      <c r="S142" s="12"/>
      <c r="T142" s="12"/>
      <c r="U142" s="12"/>
      <c r="V142" s="12"/>
      <c r="W142" s="12"/>
      <c r="X142" s="12"/>
      <c r="Y142" s="24">
        <v>140</v>
      </c>
      <c r="Z142" s="24">
        <f t="shared" si="54"/>
        <v>5491.5618154492358</v>
      </c>
      <c r="AA142" s="24" t="str">
        <f t="shared" si="63"/>
        <v>34504.5005122991i</v>
      </c>
      <c r="AB142" s="24">
        <f t="shared" si="55"/>
        <v>9.0114691425450566</v>
      </c>
      <c r="AD142" s="24" t="str">
        <f t="shared" si="56"/>
        <v>0.476616506058693-0.497043437973654i</v>
      </c>
      <c r="AE142" s="24" t="str">
        <f t="shared" si="57"/>
        <v>0.999966236887091-0.00799494311350254i</v>
      </c>
      <c r="AF142" s="24" t="str">
        <f t="shared" si="71"/>
        <v>3.93867126699619-4.17376653432908i</v>
      </c>
      <c r="AG142" s="24">
        <f t="shared" si="58"/>
        <v>5.7387680239356902</v>
      </c>
      <c r="AH142" s="24">
        <f t="shared" si="64"/>
        <v>-0.81436966294467239</v>
      </c>
      <c r="AI142" s="24">
        <f t="shared" si="53"/>
        <v>-46.659944650221114</v>
      </c>
      <c r="AJ142" s="24">
        <f t="shared" si="65"/>
        <v>15.176373395580939</v>
      </c>
      <c r="AL142" s="24" t="str">
        <f t="shared" si="66"/>
        <v>0.00391975466905301-0.0624851197677291i</v>
      </c>
      <c r="AM142" s="24" t="str">
        <f t="shared" si="67"/>
        <v>1.00030916382237+0.0732034425795979i</v>
      </c>
      <c r="AN142" s="24" t="str">
        <f t="shared" si="68"/>
        <v>-2.8557970170147+20.9156696649281i</v>
      </c>
      <c r="AO142" s="24">
        <f t="shared" si="59"/>
        <v>21.109732687430782</v>
      </c>
      <c r="AP142" s="24">
        <f t="shared" si="60"/>
        <v>1.7064958421370908</v>
      </c>
      <c r="AQ142" s="24">
        <f t="shared" si="61"/>
        <v>97.775009511078508</v>
      </c>
      <c r="AR142" s="24">
        <f t="shared" si="62"/>
        <v>26.489654677419075</v>
      </c>
      <c r="AS142" s="24">
        <f t="shared" si="69"/>
        <v>41.666028073000014</v>
      </c>
      <c r="AT142" s="24">
        <f t="shared" si="70"/>
        <v>51.115064860857395</v>
      </c>
    </row>
    <row r="143" spans="4:46">
      <c r="D143" s="13"/>
      <c r="R143" s="12"/>
      <c r="S143" s="12"/>
      <c r="T143" s="12"/>
      <c r="U143" s="12"/>
      <c r="V143" s="12"/>
      <c r="W143" s="12"/>
      <c r="X143" s="12"/>
      <c r="Y143" s="24">
        <v>141</v>
      </c>
      <c r="Z143" s="24">
        <f t="shared" si="54"/>
        <v>5839.9346860303567</v>
      </c>
      <c r="AA143" s="24" t="str">
        <f t="shared" si="63"/>
        <v>36693.3918141544i</v>
      </c>
      <c r="AB143" s="24">
        <f t="shared" si="55"/>
        <v>9.0114691425450566</v>
      </c>
      <c r="AD143" s="24" t="str">
        <f t="shared" si="56"/>
        <v>0.446220384854865-0.494537437571656i</v>
      </c>
      <c r="AE143" s="24" t="str">
        <f t="shared" si="57"/>
        <v>0.999961817177009-0.00850212109514755i</v>
      </c>
      <c r="AF143" s="24" t="str">
        <f t="shared" si="71"/>
        <v>3.68343163610303-4.15272588225321i</v>
      </c>
      <c r="AG143" s="24">
        <f t="shared" si="58"/>
        <v>5.5509279288223832</v>
      </c>
      <c r="AH143" s="24">
        <f t="shared" si="64"/>
        <v>-0.84521503038633772</v>
      </c>
      <c r="AI143" s="24">
        <f t="shared" si="53"/>
        <v>-48.427254022158785</v>
      </c>
      <c r="AJ143" s="24">
        <f t="shared" si="65"/>
        <v>14.887311773018272</v>
      </c>
      <c r="AL143" s="24" t="str">
        <f t="shared" si="66"/>
        <v>0.00346762197108639-0.0587843309815807i</v>
      </c>
      <c r="AM143" s="24" t="str">
        <f t="shared" si="67"/>
        <v>1.00034963256871+0.0778471297782382i</v>
      </c>
      <c r="AN143" s="24" t="str">
        <f t="shared" si="68"/>
        <v>-2.70449803741942+19.6777030594413i</v>
      </c>
      <c r="AO143" s="24">
        <f t="shared" si="59"/>
        <v>19.862686306991584</v>
      </c>
      <c r="AP143" s="24">
        <f t="shared" si="60"/>
        <v>1.7073803292560532</v>
      </c>
      <c r="AQ143" s="24">
        <f t="shared" si="61"/>
        <v>97.82568689002872</v>
      </c>
      <c r="AR143" s="24">
        <f t="shared" si="62"/>
        <v>25.96075967614652</v>
      </c>
      <c r="AS143" s="24">
        <f t="shared" si="69"/>
        <v>40.848071449164792</v>
      </c>
      <c r="AT143" s="24">
        <f t="shared" si="70"/>
        <v>49.398432867869936</v>
      </c>
    </row>
    <row r="144" spans="4:46">
      <c r="D144" s="13"/>
      <c r="R144" s="12"/>
      <c r="S144" s="12"/>
      <c r="T144" s="12"/>
      <c r="U144" s="12"/>
      <c r="V144" s="12"/>
      <c r="W144" s="12"/>
      <c r="X144" s="12"/>
      <c r="Y144" s="24">
        <v>142</v>
      </c>
      <c r="Z144" s="24">
        <f t="shared" si="54"/>
        <v>6210.4075822572904</v>
      </c>
      <c r="AA144" s="24" t="str">
        <f t="shared" si="63"/>
        <v>39021.1416724357i</v>
      </c>
      <c r="AB144" s="24">
        <f t="shared" si="55"/>
        <v>9.0114691425450566</v>
      </c>
      <c r="AD144" s="24" t="str">
        <f t="shared" si="56"/>
        <v>0.416242106719953-0.490210784750736i</v>
      </c>
      <c r="AE144" s="24" t="str">
        <f t="shared" si="57"/>
        <v>0.999956818894093-0.00904147254332735i</v>
      </c>
      <c r="AF144" s="24" t="str">
        <f t="shared" si="71"/>
        <v>3.43170065996315-4.11639717500583i</v>
      </c>
      <c r="AG144" s="24">
        <f t="shared" si="58"/>
        <v>5.3592252352357335</v>
      </c>
      <c r="AH144" s="24">
        <f t="shared" si="64"/>
        <v>-0.87586171290179948</v>
      </c>
      <c r="AI144" s="24">
        <f t="shared" si="53"/>
        <v>-50.183179586372113</v>
      </c>
      <c r="AJ144" s="24">
        <f t="shared" si="65"/>
        <v>14.582040195413924</v>
      </c>
      <c r="AL144" s="24" t="str">
        <f t="shared" si="66"/>
        <v>0.00306748090512544-0.0552998324230926i</v>
      </c>
      <c r="AM144" s="24" t="str">
        <f t="shared" si="67"/>
        <v>1.00039539844865+0.0827853656750164i</v>
      </c>
      <c r="AN144" s="24" t="str">
        <f t="shared" si="68"/>
        <v>-2.57059633986011+18.5121390367928i</v>
      </c>
      <c r="AO144" s="24">
        <f t="shared" si="59"/>
        <v>18.689763435101312</v>
      </c>
      <c r="AP144" s="24">
        <f t="shared" si="60"/>
        <v>1.7087740459736775</v>
      </c>
      <c r="AQ144" s="24">
        <f t="shared" si="61"/>
        <v>97.905540975785414</v>
      </c>
      <c r="AR144" s="24">
        <f t="shared" si="62"/>
        <v>25.432076086987752</v>
      </c>
      <c r="AS144" s="24">
        <f t="shared" si="69"/>
        <v>40.014116282401673</v>
      </c>
      <c r="AT144" s="24">
        <f t="shared" si="70"/>
        <v>47.722361389413301</v>
      </c>
    </row>
    <row r="145" spans="4:46">
      <c r="D145" s="13"/>
      <c r="R145" s="12"/>
      <c r="S145" s="12"/>
      <c r="T145" s="12"/>
      <c r="U145" s="12"/>
      <c r="V145" s="12"/>
      <c r="W145" s="12"/>
      <c r="X145" s="12"/>
      <c r="Y145" s="24">
        <v>143</v>
      </c>
      <c r="Z145" s="24">
        <f t="shared" si="54"/>
        <v>6604.3824822253073</v>
      </c>
      <c r="AA145" s="24" t="str">
        <f t="shared" si="63"/>
        <v>41496.5589753123i</v>
      </c>
      <c r="AB145" s="24">
        <f t="shared" si="55"/>
        <v>9.0114691425450566</v>
      </c>
      <c r="AD145" s="24" t="str">
        <f t="shared" si="56"/>
        <v>0.386893931207231-0.484142933431542i</v>
      </c>
      <c r="AE145" s="24" t="str">
        <f t="shared" si="57"/>
        <v>0.999951166294053-0.00961503830852996i</v>
      </c>
      <c r="AF145" s="24" t="str">
        <f t="shared" si="71"/>
        <v>3.1852607024197-4.06544760569742i</v>
      </c>
      <c r="AG145" s="24">
        <f t="shared" si="58"/>
        <v>5.1646635879842284</v>
      </c>
      <c r="AH145" s="24">
        <f t="shared" si="64"/>
        <v>-0.90620031477984564</v>
      </c>
      <c r="AI145" s="24">
        <f t="shared" si="53"/>
        <v>-51.921453430311836</v>
      </c>
      <c r="AJ145" s="24">
        <f t="shared" si="65"/>
        <v>14.260840760519057</v>
      </c>
      <c r="AL145" s="24" t="str">
        <f t="shared" si="66"/>
        <v>0.00271338779766173-0.0520194706270761i</v>
      </c>
      <c r="AM145" s="24" t="str">
        <f t="shared" si="67"/>
        <v>1.00044715479377+0.0880368283428654i</v>
      </c>
      <c r="AN145" s="24" t="str">
        <f t="shared" si="68"/>
        <v>-2.4521029546397+17.4149123950226i</v>
      </c>
      <c r="AO145" s="24">
        <f t="shared" si="59"/>
        <v>17.586699025867947</v>
      </c>
      <c r="AP145" s="24">
        <f t="shared" si="60"/>
        <v>1.7106814930324639</v>
      </c>
      <c r="AQ145" s="24">
        <f t="shared" si="61"/>
        <v>98.01482964189853</v>
      </c>
      <c r="AR145" s="24">
        <f t="shared" si="62"/>
        <v>24.903686624984466</v>
      </c>
      <c r="AS145" s="24">
        <f t="shared" si="69"/>
        <v>39.164527385503526</v>
      </c>
      <c r="AT145" s="24">
        <f t="shared" si="70"/>
        <v>46.093376211586694</v>
      </c>
    </row>
    <row r="146" spans="4:46">
      <c r="D146" s="13"/>
      <c r="R146" s="12"/>
      <c r="S146" s="12"/>
      <c r="T146" s="12"/>
      <c r="U146" s="12"/>
      <c r="V146" s="12"/>
      <c r="W146" s="12"/>
      <c r="X146" s="12"/>
      <c r="Y146" s="24">
        <v>144</v>
      </c>
      <c r="Z146" s="24">
        <f t="shared" si="54"/>
        <v>7023.3503025047467</v>
      </c>
      <c r="AA146" s="24" t="str">
        <f t="shared" si="63"/>
        <v>44129.0114278731i</v>
      </c>
      <c r="AB146" s="24">
        <f t="shared" si="55"/>
        <v>9.0114691425450566</v>
      </c>
      <c r="AD146" s="24" t="str">
        <f t="shared" si="56"/>
        <v>0.358370041505976-0.476442508275702i</v>
      </c>
      <c r="AE146" s="24" t="str">
        <f t="shared" si="57"/>
        <v>0.999944773715138-0.0102249886749232i</v>
      </c>
      <c r="AF146" s="24" t="str">
        <f t="shared" si="71"/>
        <v>2.94574233783412-4.0007893179069i</v>
      </c>
      <c r="AG146" s="24">
        <f t="shared" si="58"/>
        <v>4.9682706334484621</v>
      </c>
      <c r="AH146" s="24">
        <f t="shared" si="64"/>
        <v>-0.93612732361750128</v>
      </c>
      <c r="AI146" s="24">
        <f t="shared" si="53"/>
        <v>-53.636144730160218</v>
      </c>
      <c r="AJ146" s="24">
        <f t="shared" si="65"/>
        <v>13.924104897203136</v>
      </c>
      <c r="AL146" s="24" t="str">
        <f t="shared" si="66"/>
        <v>0.00240007084535162-0.0489316922381488i</v>
      </c>
      <c r="AM146" s="24" t="str">
        <f t="shared" si="67"/>
        <v>1.00050568567512+0.0936213792393219i</v>
      </c>
      <c r="AN146" s="24" t="str">
        <f t="shared" si="68"/>
        <v>-2.34725372923023+16.3821588499641i</v>
      </c>
      <c r="AO146" s="24">
        <f t="shared" si="59"/>
        <v>16.549463092645702</v>
      </c>
      <c r="AP146" s="24">
        <f t="shared" si="60"/>
        <v>1.7131088340483749</v>
      </c>
      <c r="AQ146" s="24">
        <f t="shared" si="61"/>
        <v>98.15390603754922</v>
      </c>
      <c r="AR146" s="24">
        <f t="shared" si="62"/>
        <v>24.375678174097423</v>
      </c>
      <c r="AS146" s="24">
        <f t="shared" si="69"/>
        <v>38.29978307130056</v>
      </c>
      <c r="AT146" s="24">
        <f t="shared" si="70"/>
        <v>44.517761307389002</v>
      </c>
    </row>
    <row r="147" spans="4:46">
      <c r="D147" s="13"/>
      <c r="R147" s="12"/>
      <c r="S147" s="12"/>
      <c r="T147" s="12"/>
      <c r="U147" s="12"/>
      <c r="V147" s="12"/>
      <c r="W147" s="12"/>
      <c r="X147" s="12"/>
      <c r="Y147" s="24">
        <v>145</v>
      </c>
      <c r="Z147" s="24">
        <f t="shared" si="54"/>
        <v>7468.8965402065769</v>
      </c>
      <c r="AA147" s="24" t="str">
        <f t="shared" si="63"/>
        <v>46928.4610022704i</v>
      </c>
      <c r="AB147" s="24">
        <f t="shared" si="55"/>
        <v>9.0114691425450566</v>
      </c>
      <c r="AD147" s="24" t="str">
        <f t="shared" si="56"/>
        <v>0.330841850162737-0.467242702470383i</v>
      </c>
      <c r="AE147" s="24" t="str">
        <f t="shared" si="57"/>
        <v>0.999937544279234-0.0108736315645478i</v>
      </c>
      <c r="AF147" s="24" t="str">
        <f t="shared" si="71"/>
        <v>2.71458493268289-3.92354076042285i</v>
      </c>
      <c r="AG147" s="24">
        <f t="shared" si="58"/>
        <v>4.7710736166452605</v>
      </c>
      <c r="AH147" s="24">
        <f t="shared" si="64"/>
        <v>-0.96554677873581618</v>
      </c>
      <c r="AI147" s="24">
        <f t="shared" si="53"/>
        <v>-55.321755344014207</v>
      </c>
      <c r="AJ147" s="24">
        <f t="shared" si="65"/>
        <v>13.572322353631492</v>
      </c>
      <c r="AL147" s="24" t="str">
        <f t="shared" si="66"/>
        <v>0.00212285582812681-0.0460255289079854i</v>
      </c>
      <c r="AM147" s="24" t="str">
        <f t="shared" si="67"/>
        <v>1.00057187777599+0.0995601379715227i</v>
      </c>
      <c r="AN147" s="24" t="str">
        <f t="shared" si="68"/>
        <v>-2.25448446888742+15.4102099881293i</v>
      </c>
      <c r="AO147" s="24">
        <f t="shared" si="59"/>
        <v>15.574250290100471</v>
      </c>
      <c r="AP147" s="24">
        <f t="shared" si="60"/>
        <v>1.7160638846612184</v>
      </c>
      <c r="AQ147" s="24">
        <f t="shared" si="61"/>
        <v>98.323217965912704</v>
      </c>
      <c r="AR147" s="24">
        <f t="shared" si="62"/>
        <v>23.848142997206519</v>
      </c>
      <c r="AS147" s="24">
        <f t="shared" si="69"/>
        <v>37.420465350838015</v>
      </c>
      <c r="AT147" s="24">
        <f t="shared" si="70"/>
        <v>43.001462621898497</v>
      </c>
    </row>
    <row r="148" spans="4:46">
      <c r="D148" s="13"/>
      <c r="R148" s="12"/>
      <c r="S148" s="12"/>
      <c r="T148" s="12"/>
      <c r="U148" s="12"/>
      <c r="V148" s="12"/>
      <c r="W148" s="12"/>
      <c r="X148" s="12"/>
      <c r="Y148" s="24">
        <v>146</v>
      </c>
      <c r="Z148" s="24">
        <f t="shared" si="54"/>
        <v>7942.7072729684578</v>
      </c>
      <c r="AA148" s="24" t="str">
        <f t="shared" si="63"/>
        <v>49905.5016367439i</v>
      </c>
      <c r="AB148" s="24">
        <f t="shared" si="55"/>
        <v>9.0114691425450566</v>
      </c>
      <c r="AD148" s="24" t="str">
        <f t="shared" si="56"/>
        <v>0.30445458949243-0.456695919594897i</v>
      </c>
      <c r="AE148" s="24" t="str">
        <f t="shared" si="57"/>
        <v>0.999929368422738-0.0115634212605828i</v>
      </c>
      <c r="AF148" s="24" t="str">
        <f t="shared" si="71"/>
        <v>2.49300801482724-3.83498169446261i</v>
      </c>
      <c r="AG148" s="24">
        <f t="shared" si="58"/>
        <v>4.5740762519722136</v>
      </c>
      <c r="AH148" s="24">
        <f t="shared" si="64"/>
        <v>-0.99437163016154284</v>
      </c>
      <c r="AI148" s="24">
        <f t="shared" si="53"/>
        <v>-56.973297675799998</v>
      </c>
      <c r="AJ148" s="24">
        <f t="shared" si="65"/>
        <v>13.206068004429621</v>
      </c>
      <c r="AL148" s="24" t="str">
        <f t="shared" si="66"/>
        <v>0.00187759967107194-0.0432905796975176i</v>
      </c>
      <c r="AM148" s="24" t="str">
        <f t="shared" si="67"/>
        <v>1.00064673381762+0.105875561742063i</v>
      </c>
      <c r="AN148" s="24" t="str">
        <f t="shared" si="68"/>
        <v>-2.17240870352878+14.4955873851055i</v>
      </c>
      <c r="AO148" s="24">
        <f t="shared" si="59"/>
        <v>14.657469536533148</v>
      </c>
      <c r="AP148" s="24">
        <f t="shared" si="60"/>
        <v>1.7195560979104207</v>
      </c>
      <c r="AQ148" s="24">
        <f t="shared" si="61"/>
        <v>98.523307046251659</v>
      </c>
      <c r="AR148" s="24">
        <f t="shared" si="62"/>
        <v>23.321180004768554</v>
      </c>
      <c r="AS148" s="24">
        <f t="shared" si="69"/>
        <v>36.527248009198175</v>
      </c>
      <c r="AT148" s="24">
        <f t="shared" si="70"/>
        <v>41.550009370451662</v>
      </c>
    </row>
    <row r="149" spans="4:46">
      <c r="D149" s="13"/>
      <c r="R149" s="12"/>
      <c r="S149" s="12"/>
      <c r="T149" s="12"/>
      <c r="U149" s="12"/>
      <c r="V149" s="12"/>
      <c r="W149" s="12"/>
      <c r="X149" s="12"/>
      <c r="Y149" s="24">
        <v>147</v>
      </c>
      <c r="Z149" s="24">
        <f t="shared" si="54"/>
        <v>8446.5755395671058</v>
      </c>
      <c r="AA149" s="24" t="str">
        <f t="shared" si="63"/>
        <v>53071.3993261905i</v>
      </c>
      <c r="AB149" s="24">
        <f t="shared" si="55"/>
        <v>9.0114691425450566</v>
      </c>
      <c r="AD149" s="24" t="str">
        <f t="shared" si="56"/>
        <v>0.279325277498867-0.444968039456469i</v>
      </c>
      <c r="AE149" s="24" t="str">
        <f t="shared" si="57"/>
        <v>0.999920122234872-0.0122969676823304i</v>
      </c>
      <c r="AF149" s="24" t="str">
        <f t="shared" si="71"/>
        <v>2.28199419307714-3.73650504332224i</v>
      </c>
      <c r="AG149" s="24">
        <f t="shared" si="58"/>
        <v>4.3782379373453795</v>
      </c>
      <c r="AH149" s="24">
        <f t="shared" si="64"/>
        <v>-1.0225247531755739</v>
      </c>
      <c r="AI149" s="24">
        <f t="shared" si="53"/>
        <v>-58.58635280461661</v>
      </c>
      <c r="AJ149" s="24">
        <f t="shared" si="65"/>
        <v>12.825987196114708</v>
      </c>
      <c r="AL149" s="24" t="str">
        <f t="shared" si="66"/>
        <v>0.00166063110724426-0.0407169916812368i</v>
      </c>
      <c r="AM149" s="24" t="str">
        <f t="shared" si="67"/>
        <v>1.00073138774049+0.112591529760095i</v>
      </c>
      <c r="AN149" s="24" t="str">
        <f t="shared" si="68"/>
        <v>-2.09979783061562+13.6349961227701i</v>
      </c>
      <c r="AO149" s="24">
        <f t="shared" si="59"/>
        <v>13.795733767995587</v>
      </c>
      <c r="AP149" s="24">
        <f t="shared" si="60"/>
        <v>1.7235965445063606</v>
      </c>
      <c r="AQ149" s="24">
        <f t="shared" si="61"/>
        <v>98.754807583547006</v>
      </c>
      <c r="AR149" s="24">
        <f t="shared" si="62"/>
        <v>22.794896094008436</v>
      </c>
      <c r="AS149" s="24">
        <f t="shared" si="69"/>
        <v>35.620883290123146</v>
      </c>
      <c r="AT149" s="24">
        <f t="shared" si="70"/>
        <v>40.168454778930396</v>
      </c>
    </row>
    <row r="150" spans="4:46">
      <c r="D150" s="13"/>
      <c r="R150" s="12"/>
      <c r="S150" s="12"/>
      <c r="T150" s="12"/>
      <c r="U150" s="12"/>
      <c r="V150" s="12"/>
      <c r="W150" s="12"/>
      <c r="X150" s="12"/>
      <c r="Y150" s="24">
        <v>148</v>
      </c>
      <c r="Z150" s="24">
        <f t="shared" si="54"/>
        <v>8982.4081253027471</v>
      </c>
      <c r="AA150" s="24" t="str">
        <f t="shared" si="63"/>
        <v>56438.1347559928i</v>
      </c>
      <c r="AB150" s="24">
        <f t="shared" si="55"/>
        <v>9.0114691425450566</v>
      </c>
      <c r="AD150" s="24" t="str">
        <f t="shared" si="56"/>
        <v>0.255542035055645-0.432232676379633i</v>
      </c>
      <c r="AE150" s="24" t="str">
        <f t="shared" si="57"/>
        <v>0.999909665578165-0.0130770462465782i</v>
      </c>
      <c r="AF150" s="24" t="str">
        <f t="shared" si="71"/>
        <v>2.08228342342658-3.62956867866099i</v>
      </c>
      <c r="AG150" s="24">
        <f t="shared" si="58"/>
        <v>4.1844561233921427</v>
      </c>
      <c r="AH150" s="24">
        <f t="shared" si="64"/>
        <v>-1.0499396067479267</v>
      </c>
      <c r="AI150" s="24">
        <f t="shared" si="53"/>
        <v>-60.157108210281571</v>
      </c>
      <c r="AJ150" s="24">
        <f t="shared" si="65"/>
        <v>12.432780367449446</v>
      </c>
      <c r="AL150" s="24" t="str">
        <f t="shared" si="66"/>
        <v>0.00146869774601139-0.0382954393230089i</v>
      </c>
      <c r="AM150" s="24" t="str">
        <f t="shared" si="67"/>
        <v>1.00082712187051+0.119733432917527i</v>
      </c>
      <c r="AN150" s="24" t="str">
        <f t="shared" si="68"/>
        <v>-2.03556340131103+12.8253178958889i</v>
      </c>
      <c r="AO150" s="24">
        <f t="shared" si="59"/>
        <v>12.985849894841886</v>
      </c>
      <c r="AP150" s="24">
        <f t="shared" si="60"/>
        <v>1.7281978863493206</v>
      </c>
      <c r="AQ150" s="24">
        <f t="shared" si="61"/>
        <v>99.018445051245578</v>
      </c>
      <c r="AR150" s="24">
        <f t="shared" si="62"/>
        <v>22.269407569966774</v>
      </c>
      <c r="AS150" s="24">
        <f t="shared" si="69"/>
        <v>34.70218793741622</v>
      </c>
      <c r="AT150" s="24">
        <f t="shared" si="70"/>
        <v>38.861336840964007</v>
      </c>
    </row>
    <row r="151" spans="4:46">
      <c r="D151" s="13"/>
      <c r="R151" s="12"/>
      <c r="S151" s="12"/>
      <c r="T151" s="12"/>
      <c r="U151" s="12"/>
      <c r="V151" s="12"/>
      <c r="W151" s="12"/>
      <c r="X151" s="12"/>
      <c r="Y151" s="24">
        <v>149</v>
      </c>
      <c r="Z151" s="24">
        <f t="shared" si="54"/>
        <v>9552.2327778341514</v>
      </c>
      <c r="AA151" s="24" t="str">
        <f t="shared" si="63"/>
        <v>60018.4486404468i</v>
      </c>
      <c r="AB151" s="24">
        <f t="shared" si="55"/>
        <v>9.0114691425450566</v>
      </c>
      <c r="AD151" s="24" t="str">
        <f t="shared" si="56"/>
        <v>0.233164632130012-0.418665753070328i</v>
      </c>
      <c r="AE151" s="24" t="str">
        <f t="shared" si="57"/>
        <v>0.999897839962488-0.0139066083521289i</v>
      </c>
      <c r="AF151" s="24" t="str">
        <f t="shared" si="71"/>
        <v>1.89437759568687-3.5156498567025i</v>
      </c>
      <c r="AG151" s="24">
        <f t="shared" si="58"/>
        <v>3.9935523522263576</v>
      </c>
      <c r="AH151" s="24">
        <f t="shared" si="64"/>
        <v>-1.0765605456979128</v>
      </c>
      <c r="AI151" s="24">
        <f t="shared" si="53"/>
        <v>-61.682375658791202</v>
      </c>
      <c r="AJ151" s="24">
        <f t="shared" si="65"/>
        <v>12.027187641071542</v>
      </c>
      <c r="AL151" s="24" t="str">
        <f t="shared" si="66"/>
        <v>0.00129891890500053-0.0360171030856003i</v>
      </c>
      <c r="AM151" s="24" t="str">
        <f t="shared" si="67"/>
        <v>1.00093538632957+0.127328269046159i</v>
      </c>
      <c r="AN151" s="24" t="str">
        <f t="shared" si="68"/>
        <v>-1.97874133509272+12.0636038627937i</v>
      </c>
      <c r="AO151" s="24">
        <f t="shared" si="59"/>
        <v>12.224809014034355</v>
      </c>
      <c r="AP151" s="24">
        <f t="shared" si="60"/>
        <v>1.7333743412976372</v>
      </c>
      <c r="AQ151" s="24">
        <f t="shared" si="61"/>
        <v>99.315034072623732</v>
      </c>
      <c r="AR151" s="24">
        <f t="shared" si="62"/>
        <v>21.744841658900626</v>
      </c>
      <c r="AS151" s="24">
        <f t="shared" si="69"/>
        <v>33.772029299972168</v>
      </c>
      <c r="AT151" s="24">
        <f t="shared" si="70"/>
        <v>37.63265841383253</v>
      </c>
    </row>
    <row r="152" spans="4:46">
      <c r="D152" s="13"/>
      <c r="R152" s="12"/>
      <c r="S152" s="12"/>
      <c r="T152" s="12"/>
      <c r="U152" s="12"/>
      <c r="V152" s="12"/>
      <c r="W152" s="12"/>
      <c r="X152" s="12"/>
      <c r="Y152" s="24">
        <v>150</v>
      </c>
      <c r="Z152" s="24">
        <f t="shared" si="54"/>
        <v>10158.205880770249</v>
      </c>
      <c r="AA152" s="24" t="str">
        <f t="shared" si="63"/>
        <v>63825.8899373609i</v>
      </c>
      <c r="AB152" s="24">
        <f t="shared" si="55"/>
        <v>9.0114691425450566</v>
      </c>
      <c r="AD152" s="24" t="str">
        <f t="shared" si="56"/>
        <v>0.212226068824252-0.404440644308506i</v>
      </c>
      <c r="AE152" s="24" t="str">
        <f t="shared" si="57"/>
        <v>0.999884466140278-0.014788792526534i</v>
      </c>
      <c r="AF152" s="24" t="str">
        <f t="shared" si="71"/>
        <v>1.71855380958484-3.39620443934945i</v>
      </c>
      <c r="AG152" s="24">
        <f t="shared" si="58"/>
        <v>3.806262180971705</v>
      </c>
      <c r="AH152" s="24">
        <f t="shared" si="64"/>
        <v>-1.1023428143483553</v>
      </c>
      <c r="AI152" s="24">
        <f t="shared" si="53"/>
        <v>-63.159590838734005</v>
      </c>
      <c r="AJ152" s="24">
        <f t="shared" si="65"/>
        <v>11.609973996558811</v>
      </c>
      <c r="AL152" s="24" t="str">
        <f t="shared" si="66"/>
        <v>0.00114874361677074-0.0338736476464178i</v>
      </c>
      <c r="AM152" s="24" t="str">
        <f t="shared" si="67"/>
        <v>1.00105782098308+0.135404744087951i</v>
      </c>
      <c r="AN152" s="24" t="str">
        <f t="shared" si="68"/>
        <v>-1.9284778657368+11.3470673648144i</v>
      </c>
      <c r="AO152" s="24">
        <f t="shared" si="59"/>
        <v>11.50977691618186</v>
      </c>
      <c r="AP152" s="24">
        <f t="shared" si="60"/>
        <v>1.7391416368006503</v>
      </c>
      <c r="AQ152" s="24">
        <f t="shared" si="61"/>
        <v>99.645475764151158</v>
      </c>
      <c r="AR152" s="24">
        <f t="shared" si="62"/>
        <v>21.221338123316727</v>
      </c>
      <c r="AS152" s="24">
        <f t="shared" si="69"/>
        <v>32.831312119875534</v>
      </c>
      <c r="AT152" s="24">
        <f t="shared" si="70"/>
        <v>36.485884925417153</v>
      </c>
    </row>
    <row r="153" spans="4:46">
      <c r="D153" s="13"/>
      <c r="R153" s="12"/>
      <c r="S153" s="12"/>
      <c r="T153" s="12"/>
      <c r="U153" s="12"/>
      <c r="V153" s="12"/>
      <c r="W153" s="12"/>
      <c r="X153" s="12"/>
      <c r="Y153" s="24">
        <v>151</v>
      </c>
      <c r="Z153" s="24">
        <f t="shared" si="54"/>
        <v>10802.620614058389</v>
      </c>
      <c r="AA153" s="24" t="str">
        <f t="shared" si="63"/>
        <v>67874.867121287i</v>
      </c>
      <c r="AB153" s="24">
        <f t="shared" si="55"/>
        <v>9.0114691425450566</v>
      </c>
      <c r="AD153" s="24" t="str">
        <f t="shared" si="56"/>
        <v>0.192734954657805-0.389724064230772i</v>
      </c>
      <c r="AE153" s="24" t="str">
        <f t="shared" si="57"/>
        <v>0.999869341386306-0.0157269362764421i</v>
      </c>
      <c r="AF153" s="24" t="str">
        <f t="shared" si="71"/>
        <v>1.55488435376437-3.27263235930567i</v>
      </c>
      <c r="AG153" s="24">
        <f t="shared" si="58"/>
        <v>3.6232289346321798</v>
      </c>
      <c r="AH153" s="24">
        <f t="shared" si="64"/>
        <v>-1.1272522626974959</v>
      </c>
      <c r="AI153" s="24">
        <f t="shared" si="53"/>
        <v>-64.586797099138877</v>
      </c>
      <c r="AJ153" s="24">
        <f t="shared" si="65"/>
        <v>11.181915518153103</v>
      </c>
      <c r="AL153" s="24" t="str">
        <f t="shared" si="66"/>
        <v>0.00101591327271424-0.0318572000172105i</v>
      </c>
      <c r="AM153" s="24" t="str">
        <f t="shared" si="67"/>
        <v>1.00119628025581+0.143993379527242i</v>
      </c>
      <c r="AN153" s="24" t="str">
        <f t="shared" si="68"/>
        <v>-1.88401703878357+10.6730766141319i</v>
      </c>
      <c r="AO153" s="24">
        <f t="shared" si="59"/>
        <v>10.838084914483556</v>
      </c>
      <c r="AP153" s="24">
        <f t="shared" si="60"/>
        <v>1.7455169495890266</v>
      </c>
      <c r="AQ153" s="24">
        <f t="shared" si="61"/>
        <v>100.01075428000091</v>
      </c>
      <c r="AR153" s="24">
        <f t="shared" si="62"/>
        <v>20.699050986207226</v>
      </c>
      <c r="AS153" s="24">
        <f t="shared" si="69"/>
        <v>31.88096650436033</v>
      </c>
      <c r="AT153" s="24">
        <f t="shared" si="70"/>
        <v>35.423957180862033</v>
      </c>
    </row>
    <row r="154" spans="4:46">
      <c r="D154" s="13"/>
      <c r="R154" s="12"/>
      <c r="S154" s="12"/>
      <c r="T154" s="12"/>
      <c r="U154" s="12"/>
      <c r="V154" s="12"/>
      <c r="W154" s="12"/>
      <c r="X154" s="12"/>
      <c r="Y154" s="24">
        <v>152</v>
      </c>
      <c r="Z154" s="24">
        <f t="shared" si="54"/>
        <v>11487.915632049675</v>
      </c>
      <c r="AA154" s="24" t="str">
        <f t="shared" si="63"/>
        <v>72180.7027094132i</v>
      </c>
      <c r="AB154" s="24">
        <f t="shared" si="55"/>
        <v>9.0114691425450566</v>
      </c>
      <c r="AD154" s="24" t="str">
        <f t="shared" si="56"/>
        <v>0.174678435792474-0.374672789944201i</v>
      </c>
      <c r="AE154" s="24" t="str">
        <f t="shared" si="57"/>
        <v>0.999852236420498-0.0167245886854803i</v>
      </c>
      <c r="AF154" s="24" t="str">
        <f t="shared" si="71"/>
        <v>1.40326128591338-3.14625010796308i</v>
      </c>
      <c r="AG154" s="24">
        <f t="shared" si="58"/>
        <v>3.4450010128301805</v>
      </c>
      <c r="AH154" s="24">
        <f t="shared" si="64"/>
        <v>-1.1512648343450675</v>
      </c>
      <c r="AI154" s="24">
        <f t="shared" si="53"/>
        <v>-65.962616109800237</v>
      </c>
      <c r="AJ154" s="24">
        <f t="shared" si="65"/>
        <v>10.743787078524523</v>
      </c>
      <c r="AL154" s="24" t="str">
        <f t="shared" si="66"/>
        <v>0.000898428415703618-0.0299603278033715i</v>
      </c>
      <c r="AM154" s="24" t="str">
        <f t="shared" si="67"/>
        <v>1.00135286119009+0.153126626450595i</v>
      </c>
      <c r="AN154" s="24" t="str">
        <f t="shared" si="68"/>
        <v>-1.84468959699302+10.0391474289358i</v>
      </c>
      <c r="AO154" s="24">
        <f t="shared" si="59"/>
        <v>10.207221013045743</v>
      </c>
      <c r="AP154" s="24">
        <f t="shared" si="60"/>
        <v>1.7525188281558393</v>
      </c>
      <c r="AQ154" s="24">
        <f t="shared" si="61"/>
        <v>100.41193237054237</v>
      </c>
      <c r="AR154" s="24">
        <f t="shared" si="62"/>
        <v>20.17815036969532</v>
      </c>
      <c r="AS154" s="24">
        <f t="shared" si="69"/>
        <v>30.921937448219843</v>
      </c>
      <c r="AT154" s="24">
        <f t="shared" si="70"/>
        <v>34.449316260742137</v>
      </c>
    </row>
    <row r="155" spans="4:46">
      <c r="D155" s="13"/>
      <c r="R155" s="12"/>
      <c r="S155" s="12"/>
      <c r="T155" s="12"/>
      <c r="U155" s="12"/>
      <c r="V155" s="12"/>
      <c r="W155" s="12"/>
      <c r="X155" s="12"/>
      <c r="Y155" s="24">
        <v>153</v>
      </c>
      <c r="Z155" s="24">
        <f t="shared" si="54"/>
        <v>12216.684292082227</v>
      </c>
      <c r="AA155" s="24" t="str">
        <f t="shared" si="63"/>
        <v>76759.6912464627i</v>
      </c>
      <c r="AB155" s="24">
        <f t="shared" si="55"/>
        <v>9.0114691425450566</v>
      </c>
      <c r="AD155" s="24" t="str">
        <f t="shared" si="56"/>
        <v>0.158025430276292-0.359431241416381i</v>
      </c>
      <c r="AE155" s="24" t="str">
        <f t="shared" si="57"/>
        <v>0.999832891926862-0.0177855238062163i</v>
      </c>
      <c r="AF155" s="24" t="str">
        <f t="shared" si="71"/>
        <v>1.26342359934412-3.01827041353399i</v>
      </c>
      <c r="AG155" s="24">
        <f t="shared" si="58"/>
        <v>3.2720323165571412</v>
      </c>
      <c r="AH155" s="24">
        <f t="shared" si="64"/>
        <v>-1.1743658788323637</v>
      </c>
      <c r="AI155" s="24">
        <f t="shared" si="53"/>
        <v>-67.286208461266256</v>
      </c>
      <c r="AJ155" s="24">
        <f t="shared" si="65"/>
        <v>10.296351687474289</v>
      </c>
      <c r="AL155" s="24" t="str">
        <f t="shared" si="66"/>
        <v>0.000794519239157893-0.0281760177870561i</v>
      </c>
      <c r="AM155" s="24" t="str">
        <f t="shared" si="67"/>
        <v>1.00152993516908+0.162838986616707i</v>
      </c>
      <c r="AN155" s="24" t="str">
        <f t="shared" si="68"/>
        <v>-1.80990310573792+9.44293607756364i</v>
      </c>
      <c r="AO155" s="24">
        <f t="shared" si="59"/>
        <v>9.6148214240885821</v>
      </c>
      <c r="AP155" s="24">
        <f t="shared" si="60"/>
        <v>1.7601670942706258</v>
      </c>
      <c r="AQ155" s="24">
        <f t="shared" si="61"/>
        <v>100.85014573951256</v>
      </c>
      <c r="AR155" s="24">
        <f t="shared" si="62"/>
        <v>19.658824450110593</v>
      </c>
      <c r="AS155" s="24">
        <f t="shared" si="69"/>
        <v>29.955176137584882</v>
      </c>
      <c r="AT155" s="24">
        <f t="shared" si="70"/>
        <v>33.5639372782463</v>
      </c>
    </row>
    <row r="156" spans="4:46">
      <c r="D156" s="13"/>
      <c r="R156" s="12"/>
      <c r="S156" s="12"/>
      <c r="T156" s="12"/>
      <c r="U156" s="12"/>
      <c r="V156" s="12"/>
      <c r="W156" s="12"/>
      <c r="X156" s="12"/>
      <c r="Y156" s="24">
        <v>154</v>
      </c>
      <c r="Z156" s="24">
        <f t="shared" si="54"/>
        <v>12991.684468506162</v>
      </c>
      <c r="AA156" s="24" t="str">
        <f t="shared" si="63"/>
        <v>81629.1609680312i</v>
      </c>
      <c r="AB156" s="24">
        <f t="shared" si="55"/>
        <v>9.0114691425450566</v>
      </c>
      <c r="AD156" s="24" t="str">
        <f t="shared" si="56"/>
        <v>0.142729959343849-0.344129878669632i</v>
      </c>
      <c r="AE156" s="24" t="str">
        <f t="shared" si="57"/>
        <v>0.999811014615339-0.0189137548955301i</v>
      </c>
      <c r="AF156" s="24" t="str">
        <f t="shared" si="71"/>
        <v>1.13498519615542-2.88978878217637i</v>
      </c>
      <c r="AG156" s="24">
        <f t="shared" si="58"/>
        <v>3.1046852660268716</v>
      </c>
      <c r="AH156" s="24">
        <f t="shared" si="64"/>
        <v>-1.196549340389701</v>
      </c>
      <c r="AI156" s="24">
        <f t="shared" si="53"/>
        <v>-68.557227183492401</v>
      </c>
      <c r="AJ156" s="24">
        <f t="shared" si="65"/>
        <v>9.8403516125977433</v>
      </c>
      <c r="AL156" s="24" t="str">
        <f t="shared" si="66"/>
        <v>0.000702619393234622-0.0264976549759195i</v>
      </c>
      <c r="AM156" s="24" t="str">
        <f t="shared" si="67"/>
        <v>1.00173018378283+0.173167140935432i</v>
      </c>
      <c r="AN156" s="24" t="str">
        <f t="shared" si="68"/>
        <v>-1.77913318467845+8.88223227910903i</v>
      </c>
      <c r="AO156" s="24">
        <f t="shared" si="59"/>
        <v>9.0586624370748279</v>
      </c>
      <c r="AP156" s="24">
        <f t="shared" si="60"/>
        <v>1.7684827192542367</v>
      </c>
      <c r="AQ156" s="24">
        <f t="shared" si="61"/>
        <v>101.32659595508701</v>
      </c>
      <c r="AR156" s="24">
        <f t="shared" si="62"/>
        <v>19.141281527307122</v>
      </c>
      <c r="AS156" s="24">
        <f t="shared" si="69"/>
        <v>28.981633139904865</v>
      </c>
      <c r="AT156" s="24">
        <f t="shared" si="70"/>
        <v>32.769368771594614</v>
      </c>
    </row>
    <row r="157" spans="4:46">
      <c r="D157" s="13"/>
      <c r="R157" s="12"/>
      <c r="S157" s="12"/>
      <c r="T157" s="12"/>
      <c r="U157" s="12"/>
      <c r="V157" s="12"/>
      <c r="W157" s="12"/>
      <c r="X157" s="12"/>
      <c r="Y157" s="24">
        <v>155</v>
      </c>
      <c r="Z157" s="24">
        <f t="shared" si="54"/>
        <v>13815.848989288772</v>
      </c>
      <c r="AA157" s="24" t="str">
        <f t="shared" si="63"/>
        <v>86807.5393757111i</v>
      </c>
      <c r="AB157" s="24">
        <f t="shared" si="55"/>
        <v>9.0114691425450566</v>
      </c>
      <c r="AD157" s="24" t="str">
        <f t="shared" si="56"/>
        <v>0.128734401352337-0.328884334808814i</v>
      </c>
      <c r="AE157" s="24" t="str">
        <f t="shared" si="57"/>
        <v>0.999786272766338-0.0201135495456247i</v>
      </c>
      <c r="AF157" s="24" t="str">
        <f t="shared" si="71"/>
        <v>1.01746221074264-2.76177621799435i</v>
      </c>
      <c r="AG157" s="24">
        <f t="shared" si="58"/>
        <v>2.9432358431781296</v>
      </c>
      <c r="AH157" s="24">
        <f t="shared" si="64"/>
        <v>-1.2178168712793722</v>
      </c>
      <c r="AI157" s="24">
        <f t="shared" si="53"/>
        <v>-69.775766944134659</v>
      </c>
      <c r="AJ157" s="24">
        <f t="shared" si="65"/>
        <v>9.3765012752035268</v>
      </c>
      <c r="AL157" s="24" t="str">
        <f t="shared" si="66"/>
        <v>0.000621342738659343-0.0249190022244162i</v>
      </c>
      <c r="AM157" s="24" t="str">
        <f t="shared" si="67"/>
        <v>1.00195663937656+0.184150085771023i</v>
      </c>
      <c r="AN157" s="24" t="str">
        <f t="shared" si="68"/>
        <v>-1.75191572537589+8.35495239632036i</v>
      </c>
      <c r="AO157" s="24">
        <f t="shared" si="59"/>
        <v>8.5366526375154006</v>
      </c>
      <c r="AP157" s="24">
        <f t="shared" si="60"/>
        <v>1.777487670219551</v>
      </c>
      <c r="AQ157" s="24">
        <f t="shared" si="61"/>
        <v>101.84254164012178</v>
      </c>
      <c r="AR157" s="24">
        <f t="shared" si="62"/>
        <v>18.625752200579434</v>
      </c>
      <c r="AS157" s="24">
        <f t="shared" si="69"/>
        <v>28.002253475782961</v>
      </c>
      <c r="AT157" s="24">
        <f t="shared" si="70"/>
        <v>32.066774695987121</v>
      </c>
    </row>
    <row r="158" spans="4:46">
      <c r="D158" s="13"/>
      <c r="R158" s="12"/>
      <c r="S158" s="12"/>
      <c r="T158" s="12"/>
      <c r="U158" s="12"/>
      <c r="V158" s="12"/>
      <c r="W158" s="12"/>
      <c r="X158" s="12"/>
      <c r="Y158" s="24">
        <v>156</v>
      </c>
      <c r="Z158" s="24">
        <f t="shared" si="54"/>
        <v>14692.296734695852</v>
      </c>
      <c r="AA158" s="24" t="str">
        <f t="shared" si="63"/>
        <v>92314.4229721636i</v>
      </c>
      <c r="AB158" s="24">
        <f t="shared" si="55"/>
        <v>9.0114691425450566</v>
      </c>
      <c r="AD158" s="24" t="str">
        <f t="shared" si="56"/>
        <v>0.115972537669214-0.313795177265173i</v>
      </c>
      <c r="AE158" s="24" t="str">
        <f t="shared" si="57"/>
        <v>0.999758291189768-0.0213894457659609i</v>
      </c>
      <c r="AF158" s="24" t="str">
        <f t="shared" si="71"/>
        <v>0.910298586284731-2.63507721823783i</v>
      </c>
      <c r="AG158" s="24">
        <f t="shared" si="58"/>
        <v>2.787880101845845</v>
      </c>
      <c r="AH158" s="24">
        <f t="shared" si="64"/>
        <v>-1.2381769120024955</v>
      </c>
      <c r="AI158" s="24">
        <f t="shared" si="53"/>
        <v>-70.942311348284107</v>
      </c>
      <c r="AJ158" s="24">
        <f t="shared" si="65"/>
        <v>8.905481843136128</v>
      </c>
      <c r="AL158" s="24" t="str">
        <f t="shared" si="66"/>
        <v>0.00054946272527785-0.0234341805060766i</v>
      </c>
      <c r="AM158" s="24" t="str">
        <f t="shared" si="67"/>
        <v>1.00221273089062+0.195829277499958i</v>
      </c>
      <c r="AN158" s="24" t="str">
        <f t="shared" si="68"/>
        <v>-1.7278399867354+7.85913284706928i</v>
      </c>
      <c r="AO158" s="24">
        <f t="shared" si="59"/>
        <v>8.046825468943954</v>
      </c>
      <c r="AP158" s="24">
        <f t="shared" si="60"/>
        <v>1.7872047209748325</v>
      </c>
      <c r="AQ158" s="24">
        <f t="shared" si="61"/>
        <v>102.39928763771383</v>
      </c>
      <c r="AR158" s="24">
        <f t="shared" si="62"/>
        <v>18.112491636588647</v>
      </c>
      <c r="AS158" s="24">
        <f t="shared" si="69"/>
        <v>27.017973479724773</v>
      </c>
      <c r="AT158" s="24">
        <f t="shared" si="70"/>
        <v>31.456976289429718</v>
      </c>
    </row>
    <row r="159" spans="4:46">
      <c r="D159" s="13"/>
      <c r="R159" s="12"/>
      <c r="S159" s="12"/>
      <c r="T159" s="12"/>
      <c r="U159" s="12"/>
      <c r="V159" s="12"/>
      <c r="W159" s="12"/>
      <c r="X159" s="12"/>
      <c r="Y159" s="24">
        <v>157</v>
      </c>
      <c r="Z159" s="24">
        <f t="shared" si="54"/>
        <v>15624.344440049217</v>
      </c>
      <c r="AA159" s="24" t="str">
        <f t="shared" si="63"/>
        <v>98170.6514200303i</v>
      </c>
      <c r="AB159" s="24">
        <f t="shared" si="55"/>
        <v>9.0114691425450566</v>
      </c>
      <c r="AD159" s="24" t="str">
        <f t="shared" si="56"/>
        <v>0.104372301685266-0.298948177941393i</v>
      </c>
      <c r="AE159" s="24" t="str">
        <f t="shared" si="57"/>
        <v>0.999726645521263-0.02274626907458i</v>
      </c>
      <c r="AF159" s="24" t="str">
        <f t="shared" si="71"/>
        <v>0.812889158322889-2.51041204180124i</v>
      </c>
      <c r="AG159" s="24">
        <f t="shared" si="58"/>
        <v>2.6387416325475228</v>
      </c>
      <c r="AH159" s="24">
        <f t="shared" si="64"/>
        <v>-1.2576437735623973</v>
      </c>
      <c r="AI159" s="24">
        <f t="shared" si="53"/>
        <v>-72.057680356031952</v>
      </c>
      <c r="AJ159" s="24">
        <f t="shared" si="65"/>
        <v>8.4279373833927966</v>
      </c>
      <c r="AL159" s="24" t="str">
        <f t="shared" si="66"/>
        <v>0.000485894105841833-0.0220376498919404i</v>
      </c>
      <c r="AM159" s="24" t="str">
        <f t="shared" si="67"/>
        <v>1.00250233568024+0.208248785767663i</v>
      </c>
      <c r="AN159" s="24" t="str">
        <f t="shared" si="68"/>
        <v>-1.70654247134623+7.39292375289197i</v>
      </c>
      <c r="AO159" s="24">
        <f t="shared" si="59"/>
        <v>7.5873321281319157</v>
      </c>
      <c r="AP159" s="24">
        <f t="shared" si="60"/>
        <v>1.7976572218258007</v>
      </c>
      <c r="AQ159" s="24">
        <f t="shared" si="61"/>
        <v>102.99817182183121</v>
      </c>
      <c r="AR159" s="24">
        <f t="shared" si="62"/>
        <v>17.601781906028716</v>
      </c>
      <c r="AS159" s="24">
        <f t="shared" si="69"/>
        <v>26.029719289421514</v>
      </c>
      <c r="AT159" s="24">
        <f t="shared" si="70"/>
        <v>30.940491465799255</v>
      </c>
    </row>
    <row r="160" spans="4:46">
      <c r="D160" s="13"/>
      <c r="R160" s="12"/>
      <c r="S160" s="12"/>
      <c r="T160" s="12"/>
      <c r="U160" s="12"/>
      <c r="V160" s="12"/>
      <c r="W160" s="12"/>
      <c r="X160" s="12"/>
      <c r="Y160" s="24">
        <v>158</v>
      </c>
      <c r="Z160" s="24">
        <f t="shared" si="54"/>
        <v>16615.519247226184</v>
      </c>
      <c r="AA160" s="24" t="str">
        <f t="shared" si="63"/>
        <v>104398.386405331i</v>
      </c>
      <c r="AB160" s="24">
        <f t="shared" si="55"/>
        <v>9.0114691425450566</v>
      </c>
      <c r="AD160" s="24" t="str">
        <f t="shared" si="56"/>
        <v>0.0938581796064852-0.284414972769903i</v>
      </c>
      <c r="AE160" s="24" t="str">
        <f t="shared" si="57"/>
        <v>0.999690855768025-0.0241891506605981i</v>
      </c>
      <c r="AF160" s="24" t="str">
        <f t="shared" si="71"/>
        <v>0.724599814265128-2.38838224766792i</v>
      </c>
      <c r="AG160" s="24">
        <f t="shared" si="58"/>
        <v>2.4958795347148315</v>
      </c>
      <c r="AH160" s="24">
        <f t="shared" si="64"/>
        <v>-1.2762367495520468</v>
      </c>
      <c r="AI160" s="24">
        <f t="shared" si="53"/>
        <v>-73.122979408826936</v>
      </c>
      <c r="AJ160" s="24">
        <f t="shared" si="65"/>
        <v>7.9444724000862799</v>
      </c>
      <c r="AL160" s="24" t="str">
        <f t="shared" si="66"/>
        <v>0.00042967672594605-0.0207241912714883i</v>
      </c>
      <c r="AM160" s="24" t="str">
        <f t="shared" si="67"/>
        <v>1.00282983809222+0.221455455900603i</v>
      </c>
      <c r="AN160" s="24" t="str">
        <f t="shared" si="68"/>
        <v>-1.68770149595398+6.95458283680604i</v>
      </c>
      <c r="AO160" s="24">
        <f t="shared" si="59"/>
        <v>7.1564347809116837</v>
      </c>
      <c r="AP160" s="24">
        <f t="shared" si="60"/>
        <v>1.8088688221444758</v>
      </c>
      <c r="AQ160" s="24">
        <f t="shared" si="61"/>
        <v>103.64054920167881</v>
      </c>
      <c r="AR160" s="24">
        <f t="shared" si="62"/>
        <v>17.093934355108509</v>
      </c>
      <c r="AS160" s="24">
        <f t="shared" si="69"/>
        <v>25.038406755194789</v>
      </c>
      <c r="AT160" s="24">
        <f t="shared" si="70"/>
        <v>30.517569792851873</v>
      </c>
    </row>
    <row r="161" spans="4:46">
      <c r="D161" s="13"/>
      <c r="R161" s="12"/>
      <c r="S161" s="12"/>
      <c r="T161" s="12"/>
      <c r="U161" s="12"/>
      <c r="V161" s="12"/>
      <c r="W161" s="12"/>
      <c r="X161" s="12"/>
      <c r="Y161" s="24">
        <v>159</v>
      </c>
      <c r="Z161" s="24">
        <f t="shared" si="54"/>
        <v>17669.572052398642</v>
      </c>
      <c r="AA161" s="24" t="str">
        <f t="shared" si="63"/>
        <v>111021.195503782i</v>
      </c>
      <c r="AB161" s="24">
        <f t="shared" si="55"/>
        <v>9.0114691425450566</v>
      </c>
      <c r="AD161" s="24" t="str">
        <f t="shared" si="56"/>
        <v>0.0843532427963579-0.270253999292046i</v>
      </c>
      <c r="AE161" s="24" t="str">
        <f t="shared" si="57"/>
        <v>0.999650379005021-0.025723546683094i</v>
      </c>
      <c r="AF161" s="24" t="str">
        <f t="shared" si="71"/>
        <v>0.644784558953873-2.26947856792562i</v>
      </c>
      <c r="AG161" s="24">
        <f t="shared" si="58"/>
        <v>2.3592965260303895</v>
      </c>
      <c r="AH161" s="24">
        <f t="shared" si="64"/>
        <v>-1.2939792786694129</v>
      </c>
      <c r="AI161" s="24">
        <f t="shared" si="53"/>
        <v>-74.139551445139986</v>
      </c>
      <c r="AJ161" s="24">
        <f t="shared" si="65"/>
        <v>7.4556505644319202</v>
      </c>
      <c r="AL161" s="24" t="str">
        <f t="shared" si="66"/>
        <v>0.000379961158592782-0.0194888888372514i</v>
      </c>
      <c r="AM161" s="24" t="str">
        <f t="shared" si="67"/>
        <v>1.00320019567553+0.235499080939935i</v>
      </c>
      <c r="AN161" s="24" t="str">
        <f t="shared" si="68"/>
        <v>-1.6710323785134+6.54246957753036i</v>
      </c>
      <c r="AO161" s="24">
        <f t="shared" si="59"/>
        <v>6.7525000838911824</v>
      </c>
      <c r="AP161" s="24">
        <f t="shared" si="60"/>
        <v>1.8208631393582095</v>
      </c>
      <c r="AQ161" s="24">
        <f t="shared" si="61"/>
        <v>104.32777295616687</v>
      </c>
      <c r="AR161" s="24">
        <f t="shared" si="62"/>
        <v>16.589291965100845</v>
      </c>
      <c r="AS161" s="24">
        <f t="shared" si="69"/>
        <v>24.044942529532765</v>
      </c>
      <c r="AT161" s="24">
        <f t="shared" si="70"/>
        <v>30.188221511026882</v>
      </c>
    </row>
    <row r="162" spans="4:46">
      <c r="D162" s="13"/>
      <c r="R162" s="12"/>
      <c r="S162" s="12"/>
      <c r="T162" s="12"/>
      <c r="U162" s="12"/>
      <c r="V162" s="12"/>
      <c r="W162" s="12"/>
      <c r="X162" s="12"/>
      <c r="Y162" s="24">
        <v>160</v>
      </c>
      <c r="Z162" s="24">
        <f t="shared" si="54"/>
        <v>18790.49170052441</v>
      </c>
      <c r="AA162" s="24" t="str">
        <f t="shared" si="63"/>
        <v>118064.141367415i</v>
      </c>
      <c r="AB162" s="24">
        <f t="shared" si="55"/>
        <v>9.0114691425450566</v>
      </c>
      <c r="AD162" s="24" t="str">
        <f t="shared" si="56"/>
        <v>0.0757808154736872-0.256511614148937i</v>
      </c>
      <c r="AE162" s="24" t="str">
        <f t="shared" si="57"/>
        <v>0.999604601108977-0.0273552587751726i</v>
      </c>
      <c r="AF162" s="24" t="str">
        <f t="shared" si="71"/>
        <v>0.572799518245109-2.15409029151906i</v>
      </c>
      <c r="AG162" s="24">
        <f t="shared" si="58"/>
        <v>2.2289468975546498</v>
      </c>
      <c r="AH162" s="24">
        <f t="shared" si="64"/>
        <v>-1.3108981717771813</v>
      </c>
      <c r="AI162" s="24">
        <f t="shared" si="53"/>
        <v>-75.10893261424809</v>
      </c>
      <c r="AJ162" s="24">
        <f t="shared" si="65"/>
        <v>6.9619944393786017</v>
      </c>
      <c r="AL162" s="24" t="str">
        <f t="shared" si="66"/>
        <v>0.000335995976752091-0.0183271133421414i</v>
      </c>
      <c r="AM162" s="24" t="str">
        <f t="shared" si="67"/>
        <v>1.00361901401591+0.250432583769343i</v>
      </c>
      <c r="AN162" s="24" t="str">
        <f t="shared" si="68"/>
        <v>-1.65628317258884+6.1550396231774i</v>
      </c>
      <c r="AO162" s="24">
        <f t="shared" si="59"/>
        <v>6.3739929958139072</v>
      </c>
      <c r="AP162" s="24">
        <f t="shared" si="60"/>
        <v>1.8336633680272909</v>
      </c>
      <c r="AQ162" s="24">
        <f t="shared" si="61"/>
        <v>105.06117203570759</v>
      </c>
      <c r="AR162" s="24">
        <f t="shared" si="62"/>
        <v>16.088231638100865</v>
      </c>
      <c r="AS162" s="24">
        <f t="shared" si="69"/>
        <v>23.050226077479465</v>
      </c>
      <c r="AT162" s="24">
        <f t="shared" si="70"/>
        <v>29.952239421459495</v>
      </c>
    </row>
    <row r="163" spans="4:46">
      <c r="D163" s="13"/>
      <c r="R163" s="12"/>
      <c r="S163" s="12"/>
      <c r="T163" s="12"/>
      <c r="U163" s="12"/>
      <c r="V163" s="12"/>
      <c r="W163" s="12"/>
      <c r="X163" s="12"/>
      <c r="Y163" s="24">
        <v>161</v>
      </c>
      <c r="Z163" s="24">
        <f t="shared" si="54"/>
        <v>19982.5200803064</v>
      </c>
      <c r="AA163" s="24" t="str">
        <f t="shared" si="63"/>
        <v>125553.876569002i</v>
      </c>
      <c r="AB163" s="24">
        <f t="shared" si="55"/>
        <v>9.0114691425450566</v>
      </c>
      <c r="AD163" s="24" t="str">
        <f t="shared" si="56"/>
        <v>0.0680657987171277-0.243223308239824i</v>
      </c>
      <c r="AE163" s="24" t="str">
        <f t="shared" si="57"/>
        <v>0.999552827402511-0.0290904558256342i</v>
      </c>
      <c r="AF163" s="24" t="str">
        <f t="shared" si="71"/>
        <v>0.508014056524557-2.04251546812539i</v>
      </c>
      <c r="AG163" s="24">
        <f t="shared" si="58"/>
        <v>2.1047440982594572</v>
      </c>
      <c r="AH163" s="24">
        <f t="shared" si="64"/>
        <v>-1.3270229120489241</v>
      </c>
      <c r="AI163" s="24">
        <f t="shared" si="53"/>
        <v>-76.032812177563599</v>
      </c>
      <c r="AJ163" s="24">
        <f t="shared" si="65"/>
        <v>6.4639860084718626</v>
      </c>
      <c r="AL163" s="24" t="str">
        <f t="shared" si="66"/>
        <v>0.000297116479710459-0.0172345061289247i</v>
      </c>
      <c r="AM163" s="24" t="str">
        <f t="shared" si="67"/>
        <v>1.00409263131111+0.266312209811873i</v>
      </c>
      <c r="AN163" s="24" t="str">
        <f t="shared" si="68"/>
        <v>-1.64323088736237+5.79083946426572i</v>
      </c>
      <c r="AO163" s="24">
        <f t="shared" si="59"/>
        <v>6.0194708613032599</v>
      </c>
      <c r="AP163" s="24">
        <f t="shared" si="60"/>
        <v>1.8472918230196618</v>
      </c>
      <c r="AQ163" s="24">
        <f t="shared" si="61"/>
        <v>105.84202498805443</v>
      </c>
      <c r="AR163" s="24">
        <f t="shared" si="62"/>
        <v>15.591166329753907</v>
      </c>
      <c r="AS163" s="24">
        <f t="shared" si="69"/>
        <v>22.055152338225771</v>
      </c>
      <c r="AT163" s="24">
        <f t="shared" si="70"/>
        <v>29.809212810490834</v>
      </c>
    </row>
    <row r="164" spans="4:46">
      <c r="D164" s="13"/>
      <c r="R164" s="12"/>
      <c r="S164" s="12"/>
      <c r="T164" s="12"/>
      <c r="U164" s="12"/>
      <c r="V164" s="12"/>
      <c r="W164" s="12"/>
      <c r="X164" s="12"/>
      <c r="Y164" s="24">
        <v>162</v>
      </c>
      <c r="Z164" s="24">
        <f t="shared" si="54"/>
        <v>21250.168176743602</v>
      </c>
      <c r="AA164" s="24" t="str">
        <f t="shared" si="63"/>
        <v>133518.744463211i</v>
      </c>
      <c r="AB164" s="24">
        <f t="shared" si="55"/>
        <v>9.0114691425450566</v>
      </c>
      <c r="AD164" s="24" t="str">
        <f t="shared" si="56"/>
        <v>0.0611356827649117-0.230414953749855i</v>
      </c>
      <c r="AE164" s="24" t="str">
        <f t="shared" si="57"/>
        <v>0.999494272063552-0.0309356971144087i</v>
      </c>
      <c r="AF164" s="24" t="str">
        <f t="shared" si="71"/>
        <v>0.449819276767264-1.93497137963751i</v>
      </c>
      <c r="AG164" s="24">
        <f t="shared" si="58"/>
        <v>1.9865677994389503</v>
      </c>
      <c r="AH164" s="24">
        <f t="shared" ref="AH164:AH195" si="72">IMARGUMENT(AF164)</f>
        <v>-1.3423850321770419</v>
      </c>
      <c r="AI164" s="24">
        <f t="shared" si="53"/>
        <v>-76.912996825277716</v>
      </c>
      <c r="AJ164" s="24">
        <f t="shared" ref="AJ164:AJ195" si="73">20*LOG(AG164,10)</f>
        <v>5.9620678330301953</v>
      </c>
      <c r="AL164" s="24" t="str">
        <f t="shared" ref="AL164:AL195" si="74">IMDIV(1,IMSUM(1,IMDIV(AA164,wp2e)))</f>
        <v>0.000262734709152122-0.016206963923719i</v>
      </c>
      <c r="AM164" s="24" t="str">
        <f t="shared" ref="AM164:AM195" si="75">IMDIV(IMSUM(1,IMDIV(AA164,wz2e)),IMSUM(1,IMDIV(AA164,wp1e)))</f>
        <v>1.0046282139467+0.28319773076736i</v>
      </c>
      <c r="AN164" s="24" t="str">
        <f t="shared" ref="AN164:AN195" si="76">IMPRODUCT($AK$2,AL164,AM164)</f>
        <v>-1.63167813824007+5.44850136337846i</v>
      </c>
      <c r="AO164" s="24">
        <f t="shared" si="59"/>
        <v>5.6875777492309956</v>
      </c>
      <c r="AP164" s="24">
        <f t="shared" si="60"/>
        <v>1.8617694115682668</v>
      </c>
      <c r="AQ164" s="24">
        <f t="shared" si="61"/>
        <v>106.67152970941643</v>
      </c>
      <c r="AR164" s="24">
        <f t="shared" si="62"/>
        <v>15.098546930292216</v>
      </c>
      <c r="AS164" s="24">
        <f t="shared" ref="AS164:AS195" si="77">AR164+AJ164</f>
        <v>21.060614763322413</v>
      </c>
      <c r="AT164" s="24">
        <f t="shared" ref="AT164:AT195" si="78">AQ164+AI164</f>
        <v>29.758532884138717</v>
      </c>
    </row>
    <row r="165" spans="4:46">
      <c r="D165" s="13"/>
      <c r="R165" s="12"/>
      <c r="S165" s="12"/>
      <c r="T165" s="12"/>
      <c r="U165" s="12"/>
      <c r="V165" s="12"/>
      <c r="W165" s="12"/>
      <c r="X165" s="12"/>
      <c r="Y165" s="24">
        <v>163</v>
      </c>
      <c r="Z165" s="24">
        <f t="shared" si="54"/>
        <v>22598.233142021272</v>
      </c>
      <c r="AA165" s="24" t="str">
        <f t="shared" si="63"/>
        <v>141988.886446167i</v>
      </c>
      <c r="AB165" s="24">
        <f t="shared" si="55"/>
        <v>9.0114691425450566</v>
      </c>
      <c r="AD165" s="24" t="str">
        <f t="shared" si="56"/>
        <v>0.0549212855984822-0.218104032884484i</v>
      </c>
      <c r="AE165" s="24" t="str">
        <f t="shared" si="57"/>
        <v>0.999428046135668-0.0328979568816784i</v>
      </c>
      <c r="AF165" s="24" t="str">
        <f t="shared" si="71"/>
        <v>0.397634222131056-1.83160485803176i</v>
      </c>
      <c r="AG165" s="24">
        <f t="shared" si="58"/>
        <v>1.8742703461814987</v>
      </c>
      <c r="AH165" s="24">
        <f t="shared" si="72"/>
        <v>-1.3570175690490225</v>
      </c>
      <c r="AI165" s="24">
        <f t="shared" si="53"/>
        <v>-77.751379431611767</v>
      </c>
      <c r="AJ165" s="24">
        <f t="shared" si="73"/>
        <v>5.4566446807339917</v>
      </c>
      <c r="AL165" s="24" t="str">
        <f t="shared" si="74"/>
        <v>0.000232330608990304-0.0152406243795466i</v>
      </c>
      <c r="AM165" s="24" t="str">
        <f t="shared" si="75"/>
        <v>1.00523386449269+0.301152659851834i</v>
      </c>
      <c r="AN165" s="24" t="str">
        <f t="shared" si="76"/>
        <v>-1.62145017908024+5.12673853683483i</v>
      </c>
      <c r="AO165" s="24">
        <f t="shared" si="59"/>
        <v>5.3770390279694533</v>
      </c>
      <c r="AP165" s="24">
        <f t="shared" si="60"/>
        <v>1.8771150303379591</v>
      </c>
      <c r="AQ165" s="24">
        <f t="shared" si="61"/>
        <v>107.55076889893655</v>
      </c>
      <c r="AR165" s="24">
        <f t="shared" si="62"/>
        <v>14.610863774252298</v>
      </c>
      <c r="AS165" s="24">
        <f t="shared" si="77"/>
        <v>20.067508454986289</v>
      </c>
      <c r="AT165" s="24">
        <f t="shared" si="78"/>
        <v>29.799389467324787</v>
      </c>
    </row>
    <row r="166" spans="4:46">
      <c r="D166" s="13"/>
      <c r="R166" s="12"/>
      <c r="S166" s="12"/>
      <c r="T166" s="12"/>
      <c r="U166" s="12"/>
      <c r="V166" s="12"/>
      <c r="W166" s="12"/>
      <c r="X166" s="12"/>
      <c r="Y166" s="24">
        <v>164</v>
      </c>
      <c r="Z166" s="24">
        <f t="shared" si="54"/>
        <v>24031.816449341983</v>
      </c>
      <c r="AA166" s="24" t="str">
        <f t="shared" si="63"/>
        <v>150996.356019342i</v>
      </c>
      <c r="AB166" s="24">
        <f t="shared" si="55"/>
        <v>9.0114691425450566</v>
      </c>
      <c r="AD166" s="24" t="str">
        <f t="shared" si="56"/>
        <v>0.0493572579110858-0.206300812117371i</v>
      </c>
      <c r="AE166" s="24" t="str">
        <f t="shared" si="57"/>
        <v>0.999353143952569-0.0349846504143819i</v>
      </c>
      <c r="AF166" s="24" t="str">
        <f t="shared" si="71"/>
        <v>0.350910115811223-1.73250214570014i</v>
      </c>
      <c r="AG166" s="24">
        <f t="shared" si="58"/>
        <v>1.7676825490551846</v>
      </c>
      <c r="AH166" s="24">
        <f t="shared" si="72"/>
        <v>-1.3709545936486327</v>
      </c>
      <c r="AI166" s="24">
        <f t="shared" si="53"/>
        <v>-78.549912120139425</v>
      </c>
      <c r="AJ166" s="24">
        <f t="shared" si="73"/>
        <v>4.9480854898717128</v>
      </c>
      <c r="AL166" s="24" t="str">
        <f t="shared" si="74"/>
        <v>0.000205444199145049-0.0143318523515311i</v>
      </c>
      <c r="AM166" s="24" t="str">
        <f t="shared" si="75"/>
        <v>1.00591874372185+0.320244478981568i</v>
      </c>
      <c r="AN166" s="24" t="str">
        <f t="shared" si="76"/>
        <v>-1.61239227246551+4.82434058225274i</v>
      </c>
      <c r="AO166" s="24">
        <f t="shared" si="59"/>
        <v>5.0866561603746314</v>
      </c>
      <c r="AP166" s="24">
        <f t="shared" si="60"/>
        <v>1.893344885669614</v>
      </c>
      <c r="AQ166" s="24">
        <f t="shared" si="61"/>
        <v>108.48067111154826</v>
      </c>
      <c r="AR166" s="24">
        <f t="shared" si="62"/>
        <v>14.1286476376326</v>
      </c>
      <c r="AS166" s="24">
        <f t="shared" si="77"/>
        <v>19.076733127504312</v>
      </c>
      <c r="AT166" s="24">
        <f t="shared" si="78"/>
        <v>29.930758991408837</v>
      </c>
    </row>
    <row r="167" spans="4:46">
      <c r="D167" s="13"/>
      <c r="R167" s="12"/>
      <c r="S167" s="12"/>
      <c r="T167" s="12"/>
      <c r="U167" s="12"/>
      <c r="V167" s="12"/>
      <c r="W167" s="12"/>
      <c r="X167" s="12"/>
      <c r="Y167" s="24">
        <v>165</v>
      </c>
      <c r="Z167" s="24">
        <f t="shared" si="54"/>
        <v>25556.343198396022</v>
      </c>
      <c r="AA167" s="24" t="str">
        <f t="shared" si="63"/>
        <v>160575.240089401i</v>
      </c>
      <c r="AB167" s="24">
        <f t="shared" si="55"/>
        <v>9.0114691425450566</v>
      </c>
      <c r="AD167" s="24" t="str">
        <f t="shared" si="56"/>
        <v>0.0443823938704607-0.195009437636352i</v>
      </c>
      <c r="AE167" s="24" t="str">
        <f t="shared" si="57"/>
        <v>0.99926842776469-0.0372036617374838i</v>
      </c>
      <c r="AF167" s="24" t="str">
        <f t="shared" si="71"/>
        <v>0.309132970073033-1.63769809406562i</v>
      </c>
      <c r="AG167" s="24">
        <f t="shared" si="58"/>
        <v>1.6666188047938073</v>
      </c>
      <c r="AH167" s="24">
        <f t="shared" si="72"/>
        <v>-1.3842308120898112</v>
      </c>
      <c r="AI167" s="24">
        <f t="shared" si="53"/>
        <v>-79.310583404712716</v>
      </c>
      <c r="AJ167" s="24">
        <f t="shared" si="73"/>
        <v>4.4367255549782314</v>
      </c>
      <c r="AL167" s="24" t="str">
        <f t="shared" si="74"/>
        <v>0.000181668647927219-0.0134772268820251i</v>
      </c>
      <c r="AM167" s="24" t="str">
        <f t="shared" si="75"/>
        <v>1.00669320845302+0.340544878314625i</v>
      </c>
      <c r="AN167" s="24" t="str">
        <f t="shared" si="76"/>
        <v>-1.60436735926207+4.54016914477337i</v>
      </c>
      <c r="AO167" s="24">
        <f t="shared" si="59"/>
        <v>4.8153017025538176</v>
      </c>
      <c r="AP167" s="24">
        <f t="shared" si="60"/>
        <v>1.9104717380409193</v>
      </c>
      <c r="AQ167" s="24">
        <f t="shared" si="61"/>
        <v>109.46196746876767</v>
      </c>
      <c r="AR167" s="24">
        <f t="shared" si="62"/>
        <v>13.652470060361402</v>
      </c>
      <c r="AS167" s="24">
        <f t="shared" si="77"/>
        <v>18.089195615339634</v>
      </c>
      <c r="AT167" s="24">
        <f t="shared" si="78"/>
        <v>30.151384064054952</v>
      </c>
    </row>
    <row r="168" spans="4:46">
      <c r="D168" s="13"/>
      <c r="R168" s="12"/>
      <c r="S168" s="12"/>
      <c r="T168" s="12"/>
      <c r="U168" s="12"/>
      <c r="V168" s="12"/>
      <c r="W168" s="12"/>
      <c r="X168" s="12"/>
      <c r="Y168" s="24">
        <v>166</v>
      </c>
      <c r="Z168" s="24">
        <f t="shared" si="54"/>
        <v>27177.582645530147</v>
      </c>
      <c r="AA168" s="24" t="str">
        <f t="shared" si="63"/>
        <v>170761.787963054i</v>
      </c>
      <c r="AB168" s="24">
        <f t="shared" si="55"/>
        <v>9.0114691425450566</v>
      </c>
      <c r="AD168" s="24" t="str">
        <f t="shared" si="56"/>
        <v>0.0399397845262075-0.184228937344899i</v>
      </c>
      <c r="AE168" s="24" t="str">
        <f t="shared" si="57"/>
        <v>0.999172610326698-0.0395633730009688i</v>
      </c>
      <c r="AF168" s="24" t="str">
        <f t="shared" si="71"/>
        <v>0.271824873893486-1.5471845775222i</v>
      </c>
      <c r="AG168" s="24">
        <f t="shared" si="58"/>
        <v>1.5708815610954754</v>
      </c>
      <c r="AH168" s="24">
        <f t="shared" si="72"/>
        <v>-1.3968812325096587</v>
      </c>
      <c r="AI168" s="24">
        <f t="shared" si="53"/>
        <v>-80.035399103836085</v>
      </c>
      <c r="AJ168" s="24">
        <f t="shared" si="73"/>
        <v>3.9228688401791429</v>
      </c>
      <c r="AL168" s="24" t="str">
        <f t="shared" si="74"/>
        <v>0.000160644140598642-0.0126735288715785i</v>
      </c>
      <c r="AM168" s="24" t="str">
        <f t="shared" si="75"/>
        <v>1.00756896725014+0.362130008519821i</v>
      </c>
      <c r="AN168" s="24" t="str">
        <f t="shared" si="76"/>
        <v>-1.59725399300943+4.27315381392024i</v>
      </c>
      <c r="AO168" s="24">
        <f t="shared" si="59"/>
        <v>4.5619144923601613</v>
      </c>
      <c r="AP168" s="24">
        <f t="shared" si="60"/>
        <v>1.9285040755972944</v>
      </c>
      <c r="AQ168" s="24">
        <f t="shared" si="61"/>
        <v>110.49514430550322</v>
      </c>
      <c r="AR168" s="24">
        <f t="shared" si="62"/>
        <v>13.182942813708822</v>
      </c>
      <c r="AS168" s="24">
        <f t="shared" si="77"/>
        <v>17.105811653887965</v>
      </c>
      <c r="AT168" s="24">
        <f t="shared" si="78"/>
        <v>30.459745201667133</v>
      </c>
    </row>
    <row r="169" spans="4:46">
      <c r="D169" s="13"/>
      <c r="R169" s="12"/>
      <c r="S169" s="12"/>
      <c r="T169" s="12"/>
      <c r="U169" s="12"/>
      <c r="V169" s="12"/>
      <c r="W169" s="12"/>
      <c r="X169" s="12"/>
      <c r="Y169" s="24">
        <v>167</v>
      </c>
      <c r="Z169" s="24">
        <f t="shared" si="54"/>
        <v>28901.670036305419</v>
      </c>
      <c r="AA169" s="24" t="str">
        <f t="shared" si="63"/>
        <v>181594.548525067i</v>
      </c>
      <c r="AB169" s="24">
        <f t="shared" si="55"/>
        <v>9.0114691425450566</v>
      </c>
      <c r="AD169" s="24" t="str">
        <f t="shared" si="56"/>
        <v>0.0359768470461123-0.173954122340526i</v>
      </c>
      <c r="AE169" s="24" t="str">
        <f t="shared" si="57"/>
        <v>0.999064235171616-0.0420726956568323i</v>
      </c>
      <c r="AF169" s="24" t="str">
        <f t="shared" si="71"/>
        <v>0.238544237856416-1.46091806325689i</v>
      </c>
      <c r="AG169" s="24">
        <f t="shared" si="58"/>
        <v>1.4802651590052243</v>
      </c>
      <c r="AH169" s="24">
        <f t="shared" si="72"/>
        <v>-1.408940891898903</v>
      </c>
      <c r="AI169" s="24">
        <f t="shared" si="53"/>
        <v>-80.726366689205108</v>
      </c>
      <c r="AJ169" s="24">
        <f t="shared" si="73"/>
        <v>3.4067903454419808</v>
      </c>
      <c r="AL169" s="24" t="str">
        <f t="shared" si="74"/>
        <v>0.000142052453190342-0.011917729410038i</v>
      </c>
      <c r="AM169" s="24" t="str">
        <f t="shared" si="75"/>
        <v>1.00855925626184+0.385080746083329i</v>
      </c>
      <c r="AN169" s="24" t="str">
        <f t="shared" si="76"/>
        <v>-1.5909445085138+4.02228824251644i</v>
      </c>
      <c r="AO169" s="24">
        <f t="shared" si="59"/>
        <v>4.3254950161867267</v>
      </c>
      <c r="AP169" s="24">
        <f t="shared" si="60"/>
        <v>1.947445226427734</v>
      </c>
      <c r="AQ169" s="24">
        <f t="shared" si="61"/>
        <v>111.58039230720813</v>
      </c>
      <c r="AR169" s="24">
        <f t="shared" si="62"/>
        <v>12.72071631923701</v>
      </c>
      <c r="AS169" s="24">
        <f t="shared" si="77"/>
        <v>16.12750666467899</v>
      </c>
      <c r="AT169" s="24">
        <f t="shared" si="78"/>
        <v>30.854025618003021</v>
      </c>
    </row>
    <row r="170" spans="4:46">
      <c r="D170" s="13"/>
      <c r="R170" s="12"/>
      <c r="S170" s="12"/>
      <c r="T170" s="12"/>
      <c r="U170" s="12"/>
      <c r="V170" s="12"/>
      <c r="W170" s="12"/>
      <c r="X170" s="12"/>
      <c r="Y170" s="24">
        <v>168</v>
      </c>
      <c r="Z170" s="24">
        <f t="shared" si="54"/>
        <v>30735.129823066054</v>
      </c>
      <c r="AA170" s="24" t="str">
        <f t="shared" si="63"/>
        <v>193114.516118546i</v>
      </c>
      <c r="AB170" s="24">
        <f t="shared" si="55"/>
        <v>9.0114691425450566</v>
      </c>
      <c r="AD170" s="24" t="str">
        <f t="shared" si="56"/>
        <v>0.0324452587698696-0.164176386465792i</v>
      </c>
      <c r="AE170" s="24" t="str">
        <f t="shared" si="57"/>
        <v>0.998941654259325-0.0447411035232827i</v>
      </c>
      <c r="AF170" s="24" t="str">
        <f t="shared" si="71"/>
        <v>0.208885239711361-1.37882632515684i</v>
      </c>
      <c r="AG170" s="24">
        <f t="shared" si="58"/>
        <v>1.3945590981793452</v>
      </c>
      <c r="AH170" s="24">
        <f t="shared" si="72"/>
        <v>-1.4204446367100463</v>
      </c>
      <c r="AI170" s="24">
        <f t="shared" si="53"/>
        <v>-81.385482715479128</v>
      </c>
      <c r="AJ170" s="24">
        <f t="shared" si="73"/>
        <v>2.8887384676934262</v>
      </c>
      <c r="AL170" s="24" t="str">
        <f t="shared" si="74"/>
        <v>0.000125612150914911-0.0112069787410548i</v>
      </c>
      <c r="AM170" s="24" t="str">
        <f t="shared" si="75"/>
        <v>1.00967903777122+0.409482971883156i</v>
      </c>
      <c r="AN170" s="24" t="str">
        <f t="shared" si="76"/>
        <v>-1.58534339742358+3.78662647873884i</v>
      </c>
      <c r="AO170" s="24">
        <f t="shared" si="59"/>
        <v>4.1051009460475694</v>
      </c>
      <c r="AP170" s="24">
        <f t="shared" si="60"/>
        <v>1.9672924250767039</v>
      </c>
      <c r="AQ170" s="24">
        <f t="shared" si="61"/>
        <v>112.71755302495185</v>
      </c>
      <c r="AR170" s="24">
        <f t="shared" si="62"/>
        <v>12.266476821179346</v>
      </c>
      <c r="AS170" s="24">
        <f t="shared" si="77"/>
        <v>15.155215288872771</v>
      </c>
      <c r="AT170" s="24">
        <f t="shared" si="78"/>
        <v>31.332070309472726</v>
      </c>
    </row>
    <row r="171" spans="4:46">
      <c r="D171" s="13"/>
      <c r="R171" s="12"/>
      <c r="S171" s="12"/>
      <c r="T171" s="12"/>
      <c r="U171" s="12"/>
      <c r="V171" s="12"/>
      <c r="W171" s="12"/>
      <c r="X171" s="12"/>
      <c r="Y171" s="24">
        <v>169</v>
      </c>
      <c r="Z171" s="24">
        <f t="shared" si="54"/>
        <v>32684.900355380338</v>
      </c>
      <c r="AA171" s="24" t="str">
        <f t="shared" si="63"/>
        <v>205365.285679555i</v>
      </c>
      <c r="AB171" s="24">
        <f t="shared" si="55"/>
        <v>9.0114691425450566</v>
      </c>
      <c r="AD171" s="24" t="str">
        <f t="shared" si="56"/>
        <v>0.0293008207587121-0.15488440658973i</v>
      </c>
      <c r="AE171" s="24" t="str">
        <f t="shared" si="57"/>
        <v>0.998803002643673-0.04757866783577i</v>
      </c>
      <c r="AF171" s="24" t="str">
        <f t="shared" si="71"/>
        <v>0.182476677814471-1.30081432411412i</v>
      </c>
      <c r="AG171" s="24">
        <f t="shared" si="58"/>
        <v>1.3135507770035693</v>
      </c>
      <c r="AH171" s="24">
        <f t="shared" si="72"/>
        <v>-1.4314269511472242</v>
      </c>
      <c r="AI171" s="24">
        <f t="shared" si="53"/>
        <v>-82.014722982015016</v>
      </c>
      <c r="AJ171" s="24">
        <f t="shared" si="73"/>
        <v>2.3689373132255591</v>
      </c>
      <c r="AL171" s="24" t="str">
        <f t="shared" si="74"/>
        <v>0.000111074339634933-0.0105385958327477i</v>
      </c>
      <c r="AM171" s="24" t="str">
        <f t="shared" si="75"/>
        <v>1.01094522434323+0.435427863156958i</v>
      </c>
      <c r="AN171" s="24" t="str">
        <f t="shared" si="76"/>
        <v>-1.58036586659151+3.565279502201i</v>
      </c>
      <c r="AO171" s="24">
        <f t="shared" si="59"/>
        <v>3.8998428431287002</v>
      </c>
      <c r="AP171" s="24">
        <f t="shared" si="60"/>
        <v>1.988035855469473</v>
      </c>
      <c r="AQ171" s="24">
        <f t="shared" si="61"/>
        <v>113.90606403908092</v>
      </c>
      <c r="AR171" s="24">
        <f t="shared" si="62"/>
        <v>11.820942121364823</v>
      </c>
      <c r="AS171" s="24">
        <f t="shared" si="77"/>
        <v>14.189879434590381</v>
      </c>
      <c r="AT171" s="24">
        <f t="shared" si="78"/>
        <v>31.891341057065901</v>
      </c>
    </row>
    <row r="172" spans="4:46">
      <c r="D172" s="13"/>
      <c r="R172" s="12"/>
      <c r="S172" s="12"/>
      <c r="T172" s="12"/>
      <c r="U172" s="12"/>
      <c r="V172" s="12"/>
      <c r="W172" s="12"/>
      <c r="X172" s="12"/>
      <c r="Y172" s="24">
        <v>170</v>
      </c>
      <c r="Z172" s="24">
        <f t="shared" si="54"/>
        <v>34758.360136790499</v>
      </c>
      <c r="AA172" s="24" t="str">
        <f t="shared" si="63"/>
        <v>218393.217713139i</v>
      </c>
      <c r="AB172" s="24">
        <f t="shared" si="55"/>
        <v>9.0114691425450566</v>
      </c>
      <c r="AD172" s="24" t="str">
        <f t="shared" si="56"/>
        <v>0.0265032713742133-0.146064749019352i</v>
      </c>
      <c r="AE172" s="24" t="str">
        <f t="shared" si="57"/>
        <v>0.998646169752643-0.0505960943860644i</v>
      </c>
      <c r="AF172" s="24" t="str">
        <f t="shared" si="71"/>
        <v>0.158980404860646-1.22676930006327i</v>
      </c>
      <c r="AG172" s="24">
        <f t="shared" si="58"/>
        <v>1.2370277623026009</v>
      </c>
      <c r="AH172" s="24">
        <f t="shared" si="72"/>
        <v>-1.4419218273172554</v>
      </c>
      <c r="AI172" s="24">
        <f t="shared" si="53"/>
        <v>-82.616035093070224</v>
      </c>
      <c r="AJ172" s="24">
        <f t="shared" si="73"/>
        <v>1.8475889300040333</v>
      </c>
      <c r="AL172" s="24" t="str">
        <f t="shared" si="74"/>
        <v>0.0000982189069648271-0.00991005852712999i</v>
      </c>
      <c r="AM172" s="24" t="str">
        <f t="shared" si="75"/>
        <v>1.01237693181124+0.463012198853442i</v>
      </c>
      <c r="AN172" s="24" t="str">
        <f t="shared" si="76"/>
        <v>-1.57593655771167+3.35741195489766i</v>
      </c>
      <c r="AO172" s="24">
        <f t="shared" si="59"/>
        <v>3.7088800289065476</v>
      </c>
      <c r="AP172" s="24">
        <f t="shared" si="60"/>
        <v>2.0096576997063638</v>
      </c>
      <c r="AQ172" s="24">
        <f t="shared" si="61"/>
        <v>115.14490445914402</v>
      </c>
      <c r="AR172" s="24">
        <f t="shared" si="62"/>
        <v>11.38485570875851</v>
      </c>
      <c r="AS172" s="24">
        <f t="shared" si="77"/>
        <v>13.232444638762543</v>
      </c>
      <c r="AT172" s="24">
        <f t="shared" si="78"/>
        <v>32.528869366073792</v>
      </c>
    </row>
    <row r="173" spans="4:46">
      <c r="D173" s="13"/>
      <c r="R173" s="12"/>
      <c r="S173" s="12"/>
      <c r="T173" s="12"/>
      <c r="U173" s="12"/>
      <c r="V173" s="12"/>
      <c r="W173" s="12"/>
      <c r="X173" s="12"/>
      <c r="Y173" s="24">
        <v>171</v>
      </c>
      <c r="Z173" s="24">
        <f t="shared" si="54"/>
        <v>36963.355747234389</v>
      </c>
      <c r="AA173" s="24" t="str">
        <f t="shared" si="63"/>
        <v>232247.613735075i</v>
      </c>
      <c r="AB173" s="24">
        <f t="shared" si="55"/>
        <v>9.0114691425450566</v>
      </c>
      <c r="AD173" s="24" t="str">
        <f t="shared" si="56"/>
        <v>0.0240160666099344-0.137702389139948i</v>
      </c>
      <c r="AE173" s="24" t="str">
        <f t="shared" si="57"/>
        <v>0.998468766818626-0.0538047628511489i</v>
      </c>
      <c r="AF173" s="24" t="str">
        <f t="shared" si="71"/>
        <v>0.13808948232511-1.15656513535232i</v>
      </c>
      <c r="AG173" s="24">
        <f t="shared" si="58"/>
        <v>1.1647796432979705</v>
      </c>
      <c r="AH173" s="24">
        <f t="shared" si="72"/>
        <v>-1.4519626718364744</v>
      </c>
      <c r="AI173" s="24">
        <f t="shared" si="53"/>
        <v>-83.191333106768539</v>
      </c>
      <c r="AJ173" s="24">
        <f t="shared" si="73"/>
        <v>1.3248754385444947</v>
      </c>
      <c r="AL173" s="24" t="str">
        <f t="shared" si="74"/>
        <v>0.0000868511967954237-0.00931899424106694i</v>
      </c>
      <c r="AM173" s="24" t="str">
        <f t="shared" si="75"/>
        <v>1.01399576473855+0.492338678185673i</v>
      </c>
      <c r="AN173" s="24" t="str">
        <f t="shared" si="76"/>
        <v>-1.5719884090979+3.16223905788179i</v>
      </c>
      <c r="AO173" s="24">
        <f t="shared" si="59"/>
        <v>3.5314166304092831</v>
      </c>
      <c r="AP173" s="24">
        <f t="shared" si="60"/>
        <v>2.0321312295910627</v>
      </c>
      <c r="AQ173" s="24">
        <f t="shared" si="61"/>
        <v>116.4325428722984</v>
      </c>
      <c r="AR173" s="24">
        <f t="shared" si="62"/>
        <v>10.958979157910564</v>
      </c>
      <c r="AS173" s="24">
        <f t="shared" si="77"/>
        <v>12.283854596455059</v>
      </c>
      <c r="AT173" s="24">
        <f t="shared" si="78"/>
        <v>33.24120976552986</v>
      </c>
    </row>
    <row r="174" spans="4:46">
      <c r="D174" s="13"/>
      <c r="R174" s="12"/>
      <c r="S174" s="12"/>
      <c r="T174" s="12"/>
      <c r="U174" s="12"/>
      <c r="V174" s="12"/>
      <c r="W174" s="12"/>
      <c r="X174" s="12"/>
      <c r="Y174" s="24">
        <v>172</v>
      </c>
      <c r="Z174" s="24">
        <f t="shared" si="54"/>
        <v>39308.231536804677</v>
      </c>
      <c r="AA174" s="24" t="str">
        <f t="shared" si="63"/>
        <v>246980.902843264i</v>
      </c>
      <c r="AB174" s="24">
        <f t="shared" si="55"/>
        <v>9.0114691425450566</v>
      </c>
      <c r="AD174" s="24" t="str">
        <f t="shared" si="56"/>
        <v>0.0218061405158752-0.129781152286293i</v>
      </c>
      <c r="AE174" s="24" t="str">
        <f t="shared" si="57"/>
        <v>0.99826808992997-0.0572167684127545i</v>
      </c>
      <c r="AF174" s="24" t="str">
        <f t="shared" si="71"/>
        <v>0.119526167617973-1.09006605663204i</v>
      </c>
      <c r="AG174" s="24">
        <f t="shared" si="58"/>
        <v>1.0965995224177172</v>
      </c>
      <c r="AH174" s="24">
        <f t="shared" si="72"/>
        <v>-1.4615822439863317</v>
      </c>
      <c r="AI174" s="24">
        <f t="shared" si="53"/>
        <v>-83.742493991676952</v>
      </c>
      <c r="AJ174" s="24">
        <f t="shared" si="73"/>
        <v>0.80096104814064728</v>
      </c>
      <c r="AL174" s="24" t="str">
        <f t="shared" si="74"/>
        <v>0.0000767990674359383-0.00876317119193613i</v>
      </c>
      <c r="AM174" s="24" t="str">
        <f t="shared" si="75"/>
        <v>1.01582613842806+0.523516251987872i</v>
      </c>
      <c r="AN174" s="24" t="str">
        <f t="shared" si="76"/>
        <v>-1.56846164257475+2.97902370466176i</v>
      </c>
      <c r="AO174" s="24">
        <f t="shared" si="59"/>
        <v>3.3666978119761448</v>
      </c>
      <c r="AP174" s="24">
        <f t="shared" si="60"/>
        <v>2.0554199846382071</v>
      </c>
      <c r="AQ174" s="24">
        <f t="shared" si="61"/>
        <v>117.76689024661377</v>
      </c>
      <c r="AR174" s="24">
        <f t="shared" si="62"/>
        <v>10.544082734765411</v>
      </c>
      <c r="AS174" s="24">
        <f t="shared" si="77"/>
        <v>11.345043782906059</v>
      </c>
      <c r="AT174" s="24">
        <f t="shared" si="78"/>
        <v>34.024396254936818</v>
      </c>
    </row>
    <row r="175" spans="4:46">
      <c r="D175" s="13"/>
      <c r="R175" s="12"/>
      <c r="S175" s="12"/>
      <c r="T175" s="12"/>
      <c r="U175" s="12"/>
      <c r="V175" s="12"/>
      <c r="W175" s="12"/>
      <c r="X175" s="12"/>
      <c r="Y175" s="24">
        <v>173</v>
      </c>
      <c r="Z175" s="24">
        <f t="shared" si="54"/>
        <v>41801.861203217486</v>
      </c>
      <c r="AA175" s="24" t="str">
        <f t="shared" si="63"/>
        <v>262648.840124816i</v>
      </c>
      <c r="AB175" s="24">
        <f t="shared" si="55"/>
        <v>9.0114691425450566</v>
      </c>
      <c r="AD175" s="24" t="str">
        <f t="shared" si="56"/>
        <v>0.0198436561307304-0.122284084164965i</v>
      </c>
      <c r="AE175" s="24" t="str">
        <f t="shared" si="57"/>
        <v>0.998041078098906-0.0608449657654712i</v>
      </c>
      <c r="AF175" s="24" t="str">
        <f t="shared" si="71"/>
        <v>0.103039821392502-1.02712974511765i</v>
      </c>
      <c r="AG175" s="24">
        <f t="shared" si="58"/>
        <v>1.0322851922303484</v>
      </c>
      <c r="AH175" s="24">
        <f t="shared" si="72"/>
        <v>-1.4708126210513335</v>
      </c>
      <c r="AI175" s="24">
        <f t="shared" si="53"/>
        <v>-84.271355640815898</v>
      </c>
      <c r="AJ175" s="24">
        <f t="shared" si="73"/>
        <v>0.27599395165979268</v>
      </c>
      <c r="AL175" s="24" t="str">
        <f t="shared" si="74"/>
        <v>0.0000679102892538225-0.00824049012173645i</v>
      </c>
      <c r="AM175" s="24" t="str">
        <f t="shared" si="75"/>
        <v>1.01789564203701+0.556660466206794i</v>
      </c>
      <c r="AN175" s="24" t="str">
        <f t="shared" si="76"/>
        <v>-1.56530286031115+2.80707372247309i</v>
      </c>
      <c r="AO175" s="24">
        <f t="shared" si="59"/>
        <v>3.2140062115523671</v>
      </c>
      <c r="AP175" s="24">
        <f t="shared" si="60"/>
        <v>2.0794770858083105</v>
      </c>
      <c r="AQ175" s="24">
        <f t="shared" si="61"/>
        <v>119.14526061097992</v>
      </c>
      <c r="AR175" s="24">
        <f t="shared" si="62"/>
        <v>10.140934235356161</v>
      </c>
      <c r="AS175" s="24">
        <f t="shared" si="77"/>
        <v>10.416928187015953</v>
      </c>
      <c r="AT175" s="24">
        <f t="shared" si="78"/>
        <v>34.87390497016402</v>
      </c>
    </row>
    <row r="176" spans="4:46">
      <c r="D176" s="13"/>
      <c r="R176" s="12"/>
      <c r="S176" s="12"/>
      <c r="T176" s="12"/>
      <c r="U176" s="12"/>
      <c r="V176" s="12"/>
      <c r="W176" s="12"/>
      <c r="X176" s="12"/>
      <c r="Y176" s="24">
        <v>174</v>
      </c>
      <c r="Z176" s="24">
        <f t="shared" si="54"/>
        <v>44453.681372487059</v>
      </c>
      <c r="AA176" s="24" t="str">
        <f t="shared" si="63"/>
        <v>279310.717649654i</v>
      </c>
      <c r="AB176" s="24">
        <f t="shared" si="55"/>
        <v>9.0114691425450566</v>
      </c>
      <c r="AD176" s="24" t="str">
        <f t="shared" si="56"/>
        <v>0.0181017548652208-0.115193759052554i</v>
      </c>
      <c r="AE176" s="24" t="str">
        <f t="shared" si="57"/>
        <v>0.997784265653147-0.0647030156058229i</v>
      </c>
      <c r="AF176" s="24" t="str">
        <f t="shared" si="71"/>
        <v>0.0884048016908663-0.967609924272851i</v>
      </c>
      <c r="AG176" s="24">
        <f t="shared" si="58"/>
        <v>0.97164004369587087</v>
      </c>
      <c r="AH176" s="24">
        <f t="shared" si="72"/>
        <v>-1.4796851870252645</v>
      </c>
      <c r="AI176" s="24">
        <f t="shared" si="53"/>
        <v>-84.779716224573534</v>
      </c>
      <c r="AJ176" s="24">
        <f t="shared" si="73"/>
        <v>-0.249891902908567</v>
      </c>
      <c r="AL176" s="24" t="str">
        <f t="shared" si="74"/>
        <v>0.000060050242738012-0.00774897649411579i</v>
      </c>
      <c r="AM176" s="24" t="str">
        <f t="shared" si="75"/>
        <v>1.02023544788785+0.591893816522993i</v>
      </c>
      <c r="AN176" s="24" t="str">
        <f t="shared" si="76"/>
        <v>-1.56246423806823+2.645739292793i</v>
      </c>
      <c r="AO176" s="24">
        <f t="shared" si="59"/>
        <v>3.0726586046404405</v>
      </c>
      <c r="AP176" s="24">
        <f t="shared" si="60"/>
        <v>2.1042447373580329</v>
      </c>
      <c r="AQ176" s="24">
        <f t="shared" si="61"/>
        <v>120.56434251322968</v>
      </c>
      <c r="AR176" s="24">
        <f t="shared" si="62"/>
        <v>9.7502861914130392</v>
      </c>
      <c r="AS176" s="24">
        <f t="shared" si="77"/>
        <v>9.5003942885044719</v>
      </c>
      <c r="AT176" s="24">
        <f t="shared" si="78"/>
        <v>35.784626288656142</v>
      </c>
    </row>
    <row r="177" spans="4:46">
      <c r="D177" s="13"/>
      <c r="R177" s="12"/>
      <c r="S177" s="12"/>
      <c r="T177" s="12"/>
      <c r="U177" s="12"/>
      <c r="V177" s="12"/>
      <c r="W177" s="12"/>
      <c r="X177" s="12"/>
      <c r="Y177" s="24">
        <v>175</v>
      </c>
      <c r="Z177" s="24">
        <f t="shared" si="54"/>
        <v>47273.727309885995</v>
      </c>
      <c r="AA177" s="24" t="str">
        <f t="shared" si="63"/>
        <v>297029.58884909i</v>
      </c>
      <c r="AB177" s="24">
        <f t="shared" si="55"/>
        <v>9.0114691425450566</v>
      </c>
      <c r="AD177" s="24" t="str">
        <f t="shared" si="56"/>
        <v>0.016556310231891-0.108492533621939i</v>
      </c>
      <c r="AE177" s="24" t="str">
        <f t="shared" si="57"/>
        <v>0.997493728156829-0.0688054336856487i</v>
      </c>
      <c r="AF177" s="24" t="str">
        <f t="shared" si="71"/>
        <v>0.0754183944130089-0.911358490834679i</v>
      </c>
      <c r="AG177" s="24">
        <f t="shared" si="58"/>
        <v>0.91447374649702207</v>
      </c>
      <c r="AH177" s="24">
        <f t="shared" si="72"/>
        <v>-1.4882306414164528</v>
      </c>
      <c r="AI177" s="24">
        <f t="shared" si="53"/>
        <v>-85.269334695210162</v>
      </c>
      <c r="AJ177" s="24">
        <f t="shared" si="73"/>
        <v>-0.77657516220154443</v>
      </c>
      <c r="AL177" s="24" t="str">
        <f t="shared" si="74"/>
        <v>0.0000530998823854965-0.00728677313959939i</v>
      </c>
      <c r="AM177" s="24" t="str">
        <f t="shared" si="75"/>
        <v>1.02288077265232+0.629346112683429i</v>
      </c>
      <c r="AN177" s="24" t="str">
        <f t="shared" si="76"/>
        <v>-1.55990280277734+2.49441052269947i</v>
      </c>
      <c r="AO177" s="24">
        <f t="shared" si="59"/>
        <v>2.9420028228855331</v>
      </c>
      <c r="AP177" s="24">
        <f t="shared" si="60"/>
        <v>2.1296539689514082</v>
      </c>
      <c r="AQ177" s="24">
        <f t="shared" si="61"/>
        <v>122.02018424420055</v>
      </c>
      <c r="AR177" s="24">
        <f t="shared" si="62"/>
        <v>9.3728617020451939</v>
      </c>
      <c r="AS177" s="24">
        <f t="shared" si="77"/>
        <v>8.5962865398436499</v>
      </c>
      <c r="AT177" s="24">
        <f t="shared" si="78"/>
        <v>36.750849548990388</v>
      </c>
    </row>
    <row r="178" spans="4:46">
      <c r="D178" s="13"/>
      <c r="R178" s="12"/>
      <c r="S178" s="12"/>
      <c r="T178" s="12"/>
      <c r="U178" s="12"/>
      <c r="V178" s="12"/>
      <c r="W178" s="12"/>
      <c r="X178" s="12"/>
      <c r="Y178" s="24">
        <v>176</v>
      </c>
      <c r="Z178" s="24">
        <f t="shared" si="54"/>
        <v>50272.670896332245</v>
      </c>
      <c r="AA178" s="24" t="str">
        <f t="shared" si="63"/>
        <v>315872.50712851i</v>
      </c>
      <c r="AB178" s="24">
        <f t="shared" si="55"/>
        <v>9.0114691425450566</v>
      </c>
      <c r="AD178" s="24" t="str">
        <f t="shared" si="56"/>
        <v>0.0151856901502499-0.102162753703427i</v>
      </c>
      <c r="AE178" s="24" t="str">
        <f t="shared" si="57"/>
        <v>0.997165020948614-0.0731676424994592i</v>
      </c>
      <c r="AF178" s="24" t="str">
        <f t="shared" si="71"/>
        <v>0.0638988155985829-0.858227250514223i</v>
      </c>
      <c r="AG178" s="24">
        <f t="shared" si="58"/>
        <v>0.86060273771357731</v>
      </c>
      <c r="AH178" s="24">
        <f t="shared" si="72"/>
        <v>-1.4964790254070353</v>
      </c>
      <c r="AI178" s="24">
        <f t="shared" si="53"/>
        <v>-85.741932285673812</v>
      </c>
      <c r="AJ178" s="24">
        <f t="shared" si="73"/>
        <v>-1.3039455338350456</v>
      </c>
      <c r="AL178" s="24" t="str">
        <f t="shared" si="74"/>
        <v>0.0000469539357782625-0.00685213332518986i</v>
      </c>
      <c r="AM178" s="24" t="str">
        <f t="shared" si="75"/>
        <v>1.02587139672744+0.669154850619108i</v>
      </c>
      <c r="AN178" s="24" t="str">
        <f t="shared" si="76"/>
        <v>-1.55757978363467+2.35251515892972i</v>
      </c>
      <c r="AO178" s="24">
        <f t="shared" si="59"/>
        <v>2.8214149562553805</v>
      </c>
      <c r="AP178" s="24">
        <f t="shared" si="60"/>
        <v>2.1556246656447873</v>
      </c>
      <c r="AQ178" s="24">
        <f t="shared" si="61"/>
        <v>123.50819555574553</v>
      </c>
      <c r="AR178" s="24">
        <f t="shared" si="62"/>
        <v>9.0093392839649731</v>
      </c>
      <c r="AS178" s="24">
        <f t="shared" si="77"/>
        <v>7.705393750129927</v>
      </c>
      <c r="AT178" s="24">
        <f t="shared" si="78"/>
        <v>37.766263270071718</v>
      </c>
    </row>
    <row r="179" spans="4:46">
      <c r="D179" s="13"/>
      <c r="R179" s="12"/>
      <c r="S179" s="12"/>
      <c r="T179" s="12"/>
      <c r="U179" s="12"/>
      <c r="V179" s="12"/>
      <c r="W179" s="12"/>
      <c r="X179" s="12"/>
      <c r="Y179" s="24">
        <v>177</v>
      </c>
      <c r="Z179" s="24">
        <f t="shared" si="54"/>
        <v>53461.861013916772</v>
      </c>
      <c r="AA179" s="24" t="str">
        <f t="shared" si="63"/>
        <v>335910.779617119i</v>
      </c>
      <c r="AB179" s="24">
        <f t="shared" si="55"/>
        <v>9.0114691425450566</v>
      </c>
      <c r="AD179" s="24" t="str">
        <f t="shared" si="56"/>
        <v>0.0139705307228719-0.096186920647628i</v>
      </c>
      <c r="AE179" s="24" t="str">
        <f t="shared" si="57"/>
        <v>0.996793109247817-0.0778060256555977i</v>
      </c>
      <c r="AF179" s="24" t="str">
        <f t="shared" si="71"/>
        <v>0.0536833098143156-0.808069314330484i</v>
      </c>
      <c r="AG179" s="24">
        <f t="shared" si="58"/>
        <v>0.80985055072844059</v>
      </c>
      <c r="AH179" s="24">
        <f t="shared" si="72"/>
        <v>-1.5044597631186889</v>
      </c>
      <c r="AI179" s="24">
        <f t="shared" si="53"/>
        <v>-86.199194873952464</v>
      </c>
      <c r="AJ179" s="24">
        <f t="shared" si="73"/>
        <v>-1.8319023627320952</v>
      </c>
      <c r="AL179" s="24" t="str">
        <f t="shared" si="74"/>
        <v>0.0000415193107337904-0.00644341422544187i</v>
      </c>
      <c r="AM179" s="24" t="str">
        <f t="shared" si="75"/>
        <v>1.02925224881916+0.711465589801216i</v>
      </c>
      <c r="AN179" s="24" t="str">
        <f t="shared" si="76"/>
        <v>-1.55546002701361+2.21951643674934i</v>
      </c>
      <c r="AO179" s="24">
        <f t="shared" si="59"/>
        <v>2.7102968672523069</v>
      </c>
      <c r="AP179" s="24">
        <f t="shared" si="60"/>
        <v>2.182065923927853</v>
      </c>
      <c r="AQ179" s="24">
        <f t="shared" si="61"/>
        <v>125.02316806038054</v>
      </c>
      <c r="AR179" s="24">
        <f t="shared" si="62"/>
        <v>8.6603372621253456</v>
      </c>
      <c r="AS179" s="24">
        <f t="shared" si="77"/>
        <v>6.8284348993932502</v>
      </c>
      <c r="AT179" s="24">
        <f t="shared" si="78"/>
        <v>38.823973186428077</v>
      </c>
    </row>
    <row r="180" spans="4:46">
      <c r="D180" s="13"/>
      <c r="R180" s="12"/>
      <c r="S180" s="12"/>
      <c r="T180" s="12"/>
      <c r="U180" s="12"/>
      <c r="V180" s="12"/>
      <c r="W180" s="12"/>
      <c r="X180" s="12"/>
      <c r="Y180" s="24">
        <v>178</v>
      </c>
      <c r="Z180" s="24">
        <f t="shared" si="54"/>
        <v>56853.366493401947</v>
      </c>
      <c r="AA180" s="24" t="str">
        <f t="shared" si="63"/>
        <v>357220.237015039i</v>
      </c>
      <c r="AB180" s="24">
        <f t="shared" si="55"/>
        <v>9.0114691425450566</v>
      </c>
      <c r="AD180" s="24" t="str">
        <f t="shared" si="56"/>
        <v>0.0128935233293075-0.090547823278525i</v>
      </c>
      <c r="AE180" s="24" t="str">
        <f t="shared" si="57"/>
        <v>0.996372288619931-0.082737984953136i</v>
      </c>
      <c r="AF180" s="24" t="str">
        <f t="shared" si="71"/>
        <v>0.044626360130552-0.760740205832652i</v>
      </c>
      <c r="AG180" s="24">
        <f t="shared" si="58"/>
        <v>0.76204801212837459</v>
      </c>
      <c r="AH180" s="24">
        <f t="shared" si="72"/>
        <v>-1.5122017162054961</v>
      </c>
      <c r="AI180" s="24">
        <f t="shared" si="53"/>
        <v>-86.642776111014797</v>
      </c>
      <c r="AJ180" s="24">
        <f t="shared" si="73"/>
        <v>-2.3603533095454683</v>
      </c>
      <c r="AL180" s="24" t="str">
        <f t="shared" si="74"/>
        <v>0.0000367136865278919-0.00605907077307349i</v>
      </c>
      <c r="AM180" s="24" t="str">
        <f t="shared" si="75"/>
        <v>1.03307406350276+0.756432332535158i</v>
      </c>
      <c r="AN180" s="24" t="str">
        <f t="shared" si="76"/>
        <v>-1.55351146647119+2.09491105599674i</v>
      </c>
      <c r="AO180" s="24">
        <f t="shared" si="59"/>
        <v>2.6080740420844735</v>
      </c>
      <c r="AP180" s="24">
        <f t="shared" si="60"/>
        <v>2.2088767575596928</v>
      </c>
      <c r="AQ180" s="24">
        <f t="shared" si="61"/>
        <v>126.55931567271237</v>
      </c>
      <c r="AR180" s="24">
        <f t="shared" si="62"/>
        <v>8.3263983333162308</v>
      </c>
      <c r="AS180" s="24">
        <f t="shared" si="77"/>
        <v>5.9660450237707625</v>
      </c>
      <c r="AT180" s="24">
        <f t="shared" si="78"/>
        <v>39.916539561697576</v>
      </c>
    </row>
    <row r="181" spans="4:46">
      <c r="D181" s="13"/>
      <c r="R181" s="12"/>
      <c r="S181" s="12"/>
      <c r="T181" s="12"/>
      <c r="U181" s="12"/>
      <c r="V181" s="12"/>
      <c r="W181" s="12"/>
      <c r="X181" s="12"/>
      <c r="Y181" s="24">
        <v>179</v>
      </c>
      <c r="Z181" s="24">
        <f t="shared" si="54"/>
        <v>60460.02178621637</v>
      </c>
      <c r="AA181" s="24" t="str">
        <f t="shared" si="63"/>
        <v>379881.520558912i</v>
      </c>
      <c r="AB181" s="24">
        <f t="shared" si="55"/>
        <v>9.0114691425450566</v>
      </c>
      <c r="AD181" s="24" t="str">
        <f t="shared" si="56"/>
        <v>0.0119392160741138-0.0852286407477544i</v>
      </c>
      <c r="AE181" s="24" t="str">
        <f t="shared" si="57"/>
        <v>0.995896094406814-0.0879820001478082i</v>
      </c>
      <c r="AF181" s="24" t="str">
        <f t="shared" si="71"/>
        <v>0.0365980183624709-0.716098723771204i</v>
      </c>
      <c r="AG181" s="24">
        <f t="shared" si="58"/>
        <v>0.71703333056058627</v>
      </c>
      <c r="AH181" s="24">
        <f t="shared" si="72"/>
        <v>-1.5197332504347507</v>
      </c>
      <c r="AI181" s="24">
        <f t="shared" si="53"/>
        <v>-87.074301235609397</v>
      </c>
      <c r="AJ181" s="24">
        <f t="shared" si="73"/>
        <v>-2.8892131225686306</v>
      </c>
      <c r="AL181" s="24" t="str">
        <f t="shared" si="74"/>
        <v>0.0000324642679486877-0.00569764986814689i</v>
      </c>
      <c r="AM181" s="24" t="str">
        <f t="shared" si="75"/>
        <v>1.0373941203359+0.804217900977905i</v>
      </c>
      <c r="AN181" s="24" t="str">
        <f t="shared" si="76"/>
        <v>-1.55170463997689+1.97822727691156i</v>
      </c>
      <c r="AO181" s="24">
        <f t="shared" si="59"/>
        <v>2.5141937969939261</v>
      </c>
      <c r="AP181" s="24">
        <f t="shared" si="60"/>
        <v>2.2359471580201107</v>
      </c>
      <c r="AQ181" s="24">
        <f t="shared" si="61"/>
        <v>128.11033536882329</v>
      </c>
      <c r="AR181" s="24">
        <f t="shared" si="62"/>
        <v>8.0079750113203474</v>
      </c>
      <c r="AS181" s="24">
        <f t="shared" si="77"/>
        <v>5.1187618887517168</v>
      </c>
      <c r="AT181" s="24">
        <f t="shared" si="78"/>
        <v>41.036034133213889</v>
      </c>
    </row>
    <row r="182" spans="4:46">
      <c r="D182" s="13"/>
      <c r="R182" s="12"/>
      <c r="S182" s="12"/>
      <c r="T182" s="12"/>
      <c r="U182" s="12"/>
      <c r="V182" s="12"/>
      <c r="W182" s="12"/>
      <c r="X182" s="12"/>
      <c r="Y182" s="24">
        <v>180</v>
      </c>
      <c r="Z182" s="24">
        <f t="shared" si="54"/>
        <v>64295.47553378361</v>
      </c>
      <c r="AA182" s="24" t="str">
        <f t="shared" si="63"/>
        <v>403980.387191994i</v>
      </c>
      <c r="AB182" s="24">
        <f t="shared" si="55"/>
        <v>9.0114691425450566</v>
      </c>
      <c r="AD182" s="24" t="str">
        <f t="shared" si="56"/>
        <v>0.0110938300109001-0.0802130209504301i</v>
      </c>
      <c r="AE182" s="24" t="str">
        <f t="shared" si="57"/>
        <v>0.995357198509092-0.0935576913375863i</v>
      </c>
      <c r="AF182" s="24" t="str">
        <f t="shared" si="71"/>
        <v>0.0294823590901816-0.674007599306764i</v>
      </c>
      <c r="AG182" s="24">
        <f t="shared" si="58"/>
        <v>0.67465209806298654</v>
      </c>
      <c r="AH182" s="24">
        <f t="shared" si="72"/>
        <v>-1.5270823133319686</v>
      </c>
      <c r="AI182" s="24">
        <f t="shared" si="53"/>
        <v>-87.49537152299618</v>
      </c>
      <c r="AJ182" s="24">
        <f t="shared" si="73"/>
        <v>-3.4184024942544484</v>
      </c>
      <c r="AL182" s="24" t="str">
        <f t="shared" si="74"/>
        <v>0.0000287066833850058-0.00535778492581914i</v>
      </c>
      <c r="AM182" s="24" t="str">
        <f t="shared" si="75"/>
        <v>1.0422770739558+0.854994306560919i</v>
      </c>
      <c r="AN182" s="24" t="str">
        <f t="shared" si="76"/>
        <v>-1.55001224723348+1.86902312858091i</v>
      </c>
      <c r="AO182" s="24">
        <f t="shared" si="59"/>
        <v>2.4281238481066314</v>
      </c>
      <c r="AP182" s="24">
        <f t="shared" si="60"/>
        <v>2.263159492267766</v>
      </c>
      <c r="AQ182" s="24">
        <f t="shared" si="61"/>
        <v>129.66948727191325</v>
      </c>
      <c r="AR182" s="24">
        <f t="shared" si="62"/>
        <v>7.7054166890658085</v>
      </c>
      <c r="AS182" s="24">
        <f t="shared" si="77"/>
        <v>4.28701419481136</v>
      </c>
      <c r="AT182" s="24">
        <f t="shared" si="78"/>
        <v>42.174115748917075</v>
      </c>
    </row>
    <row r="183" spans="4:46">
      <c r="D183" s="13"/>
      <c r="R183" s="12"/>
      <c r="S183" s="12"/>
      <c r="T183" s="12"/>
      <c r="U183" s="12"/>
      <c r="V183" s="12"/>
      <c r="W183" s="12"/>
      <c r="X183" s="12"/>
      <c r="Y183" s="24">
        <v>181</v>
      </c>
      <c r="Z183" s="24">
        <f t="shared" si="54"/>
        <v>68374.242217984312</v>
      </c>
      <c r="AA183" s="24" t="str">
        <f t="shared" si="63"/>
        <v>429608.034093577i</v>
      </c>
      <c r="AB183" s="24">
        <f t="shared" si="55"/>
        <v>9.0114691425450566</v>
      </c>
      <c r="AD183" s="24" t="str">
        <f t="shared" si="56"/>
        <v>0.0103450901089793-0.0754851385552065i</v>
      </c>
      <c r="AE183" s="24" t="str">
        <f t="shared" si="57"/>
        <v>0.994747291653245-0.0994858838271424i</v>
      </c>
      <c r="AF183" s="24" t="str">
        <f t="shared" si="71"/>
        <v>0.0231760571468526-0.634333981734116i</v>
      </c>
      <c r="AG183" s="24">
        <f t="shared" si="58"/>
        <v>0.63475722131184298</v>
      </c>
      <c r="AH183" s="24">
        <f t="shared" si="72"/>
        <v>-1.5342765223618353</v>
      </c>
      <c r="AI183" s="24">
        <f t="shared" si="53"/>
        <v>-87.907569337342437</v>
      </c>
      <c r="AJ183" s="24">
        <f t="shared" si="73"/>
        <v>-3.9478469935496756</v>
      </c>
      <c r="AL183" s="24" t="str">
        <f t="shared" si="74"/>
        <v>0.0000253840103171212-0.00503819074362428i</v>
      </c>
      <c r="AM183" s="24" t="str">
        <f t="shared" si="75"/>
        <v>1.04779588548721+0.908943105173338i</v>
      </c>
      <c r="AN183" s="24" t="str">
        <f t="shared" si="76"/>
        <v>-1.54840874060467+1.76688472304034i</v>
      </c>
      <c r="AO183" s="24">
        <f t="shared" si="59"/>
        <v>2.3493512407671777</v>
      </c>
      <c r="AP183" s="24">
        <f t="shared" si="60"/>
        <v>2.2903901971006193</v>
      </c>
      <c r="AQ183" s="24">
        <f t="shared" si="61"/>
        <v>131.22969173200227</v>
      </c>
      <c r="AR183" s="24">
        <f t="shared" si="62"/>
        <v>7.4189590202989297</v>
      </c>
      <c r="AS183" s="24">
        <f t="shared" si="77"/>
        <v>3.4711120267492541</v>
      </c>
      <c r="AT183" s="24">
        <f t="shared" si="78"/>
        <v>43.322122394659829</v>
      </c>
    </row>
    <row r="184" spans="4:46">
      <c r="D184" s="13"/>
      <c r="R184" s="12"/>
      <c r="S184" s="12"/>
      <c r="T184" s="12"/>
      <c r="U184" s="12"/>
      <c r="V184" s="12"/>
      <c r="W184" s="12"/>
      <c r="X184" s="12"/>
      <c r="Y184" s="24">
        <v>182</v>
      </c>
      <c r="Z184" s="24">
        <f t="shared" si="54"/>
        <v>72711.757088212587</v>
      </c>
      <c r="AA184" s="24" t="str">
        <f t="shared" si="63"/>
        <v>456861.443795868i</v>
      </c>
      <c r="AB184" s="24">
        <f t="shared" si="55"/>
        <v>9.0114691425450566</v>
      </c>
      <c r="AD184" s="24" t="str">
        <f t="shared" si="56"/>
        <v>0.00968207060111332-0.0710297361454362i</v>
      </c>
      <c r="AE184" s="24" t="str">
        <f t="shared" si="57"/>
        <v>0.994056948976333-0.105788675234487i</v>
      </c>
      <c r="AF184" s="24" t="str">
        <f t="shared" si="71"/>
        <v>0.0175870855074416-0.596949782020324i</v>
      </c>
      <c r="AG184" s="24">
        <f t="shared" si="58"/>
        <v>0.59720879751621081</v>
      </c>
      <c r="AH184" s="24">
        <f t="shared" si="72"/>
        <v>-1.5413432634987834</v>
      </c>
      <c r="AI184" s="24">
        <f t="shared" si="53"/>
        <v>-88.312463779401043</v>
      </c>
      <c r="AJ184" s="24">
        <f t="shared" si="73"/>
        <v>-4.4774760656715538</v>
      </c>
      <c r="AL184" s="24" t="str">
        <f t="shared" si="74"/>
        <v>0.0000224459134942343-0.00473765867018739i</v>
      </c>
      <c r="AM184" s="24" t="str">
        <f t="shared" si="75"/>
        <v>1.05403286650962+0.966255729868419i</v>
      </c>
      <c r="AN184" s="24" t="str">
        <f t="shared" si="76"/>
        <v>-1.54686994372306+1.67142466823962i</v>
      </c>
      <c r="AO184" s="24">
        <f t="shared" si="59"/>
        <v>2.2773816202809987</v>
      </c>
      <c r="AP184" s="24">
        <f t="shared" si="60"/>
        <v>2.3175117071696434</v>
      </c>
      <c r="AQ184" s="24">
        <f t="shared" si="61"/>
        <v>132.7836397929789</v>
      </c>
      <c r="AR184" s="24">
        <f t="shared" si="62"/>
        <v>7.1487162266665694</v>
      </c>
      <c r="AS184" s="24">
        <f t="shared" si="77"/>
        <v>2.6712401609950156</v>
      </c>
      <c r="AT184" s="24">
        <f t="shared" si="78"/>
        <v>44.47117601357786</v>
      </c>
    </row>
    <row r="185" spans="4:46">
      <c r="D185" s="13"/>
      <c r="R185" s="12"/>
      <c r="S185" s="12"/>
      <c r="T185" s="12"/>
      <c r="U185" s="12"/>
      <c r="V185" s="12"/>
      <c r="W185" s="12"/>
      <c r="X185" s="12"/>
      <c r="Y185" s="24">
        <v>183</v>
      </c>
      <c r="Z185" s="24">
        <f t="shared" si="54"/>
        <v>77324.434572886516</v>
      </c>
      <c r="AA185" s="24" t="str">
        <f t="shared" si="63"/>
        <v>485843.75119433i</v>
      </c>
      <c r="AB185" s="24">
        <f t="shared" si="55"/>
        <v>9.0114691425450566</v>
      </c>
      <c r="AD185" s="24" t="str">
        <f t="shared" si="56"/>
        <v>0.00909505412311326-0.0668321514681244i</v>
      </c>
      <c r="AE185" s="24" t="str">
        <f t="shared" si="57"/>
        <v>0.993275476409074-0.112489504474538i</v>
      </c>
      <c r="AF185" s="24" t="str">
        <f t="shared" si="71"/>
        <v>0.0126335285973863-0.561731899242819i</v>
      </c>
      <c r="AG185" s="24">
        <f t="shared" si="58"/>
        <v>0.56187394731537921</v>
      </c>
      <c r="AH185" s="24">
        <f t="shared" si="72"/>
        <v>-1.548309800416023</v>
      </c>
      <c r="AI185" s="24">
        <f t="shared" si="53"/>
        <v>-88.711616942580946</v>
      </c>
      <c r="AJ185" s="24">
        <f t="shared" si="73"/>
        <v>-5.0072220916659429</v>
      </c>
      <c r="AL185" s="24" t="str">
        <f t="shared" si="74"/>
        <v>0.0000198478827796316-0.00445505205818976i</v>
      </c>
      <c r="AM185" s="24" t="str">
        <f t="shared" si="75"/>
        <v>1.06108084775861+1.02713379095407i</v>
      </c>
      <c r="AN185" s="24" t="str">
        <f t="shared" si="76"/>
        <v>-1.54537269233729+1.58228057322059i</v>
      </c>
      <c r="AO185" s="24">
        <f t="shared" si="59"/>
        <v>2.2117388115718102</v>
      </c>
      <c r="AP185" s="24">
        <f t="shared" si="60"/>
        <v>2.3443945351688469</v>
      </c>
      <c r="AQ185" s="24">
        <f t="shared" si="61"/>
        <v>134.32391237870937</v>
      </c>
      <c r="AR185" s="24">
        <f t="shared" si="62"/>
        <v>6.8946767800440165</v>
      </c>
      <c r="AS185" s="24">
        <f t="shared" si="77"/>
        <v>1.8874546883780736</v>
      </c>
      <c r="AT185" s="24">
        <f t="shared" si="78"/>
        <v>45.61229543612842</v>
      </c>
    </row>
    <row r="186" spans="4:46">
      <c r="D186" s="13"/>
      <c r="R186" s="12"/>
      <c r="S186" s="12"/>
      <c r="T186" s="12"/>
      <c r="U186" s="12"/>
      <c r="V186" s="12"/>
      <c r="W186" s="12"/>
      <c r="X186" s="12"/>
      <c r="Y186" s="24">
        <v>184</v>
      </c>
      <c r="Z186" s="24">
        <f t="shared" si="54"/>
        <v>82229.730396460247</v>
      </c>
      <c r="AA186" s="24" t="str">
        <f t="shared" si="63"/>
        <v>516664.633840378i</v>
      </c>
      <c r="AB186" s="24">
        <f t="shared" si="55"/>
        <v>9.0114691425450566</v>
      </c>
      <c r="AD186" s="24" t="str">
        <f t="shared" si="56"/>
        <v>0.00857540390639348-0.0628783333430033i</v>
      </c>
      <c r="AE186" s="24" t="str">
        <f t="shared" si="57"/>
        <v>0.992390734923191-0.119613222082733i</v>
      </c>
      <c r="AF186" s="24" t="str">
        <f t="shared" si="71"/>
        <v>0.00824250478380043-0.52856235126597i</v>
      </c>
      <c r="AG186" s="24">
        <f t="shared" si="58"/>
        <v>0.52862661497594088</v>
      </c>
      <c r="AH186" s="24">
        <f t="shared" si="72"/>
        <v>-1.5552033948976498</v>
      </c>
      <c r="AI186" s="24">
        <f t="shared" si="53"/>
        <v>-89.106590812052843</v>
      </c>
      <c r="AJ186" s="24">
        <f t="shared" si="73"/>
        <v>-5.537019501112046</v>
      </c>
      <c r="AL186" s="24" t="str">
        <f t="shared" si="74"/>
        <v>0.000017550559146118-0.0041893019852944i</v>
      </c>
      <c r="AM186" s="24" t="str">
        <f t="shared" si="75"/>
        <v>1.06904448563968+1.0917893310634i</v>
      </c>
      <c r="AN186" s="24" t="str">
        <f t="shared" si="76"/>
        <v>-1.54389449237938+1.49911363895083i</v>
      </c>
      <c r="AO186" s="24">
        <f t="shared" si="59"/>
        <v>2.1519646619049726</v>
      </c>
      <c r="AP186" s="24">
        <f t="shared" si="60"/>
        <v>2.3709094102101362</v>
      </c>
      <c r="AQ186" s="24">
        <f t="shared" si="61"/>
        <v>135.84310281289203</v>
      </c>
      <c r="AR186" s="24">
        <f t="shared" si="62"/>
        <v>6.6567027073063549</v>
      </c>
      <c r="AS186" s="24">
        <f t="shared" si="77"/>
        <v>1.1196832061943089</v>
      </c>
      <c r="AT186" s="24">
        <f t="shared" si="78"/>
        <v>46.736512000839184</v>
      </c>
    </row>
    <row r="187" spans="4:46">
      <c r="D187" s="13"/>
      <c r="R187" s="12"/>
      <c r="S187" s="12"/>
      <c r="T187" s="12"/>
      <c r="U187" s="12"/>
      <c r="V187" s="12"/>
      <c r="W187" s="12"/>
      <c r="X187" s="12"/>
      <c r="Y187" s="24">
        <v>185</v>
      </c>
      <c r="Z187" s="24">
        <f t="shared" si="54"/>
        <v>87446.207637003507</v>
      </c>
      <c r="AA187" s="24" t="str">
        <f t="shared" si="63"/>
        <v>549440.726993396i</v>
      </c>
      <c r="AB187" s="24">
        <f t="shared" si="55"/>
        <v>9.0114691425450566</v>
      </c>
      <c r="AD187" s="24" t="str">
        <f t="shared" si="56"/>
        <v>0.00811544819477215-0.0591548483935047i</v>
      </c>
      <c r="AE187" s="24" t="str">
        <f t="shared" si="57"/>
        <v>0.991388939220005-0.127186161112973i</v>
      </c>
      <c r="AF187" s="24" t="str">
        <f t="shared" si="71"/>
        <v>0.00434919105873505-0.497328327696125i</v>
      </c>
      <c r="AG187" s="24">
        <f t="shared" si="58"/>
        <v>0.49734734441021167</v>
      </c>
      <c r="AH187" s="24">
        <f t="shared" si="72"/>
        <v>-1.5620514394626011</v>
      </c>
      <c r="AI187" s="24">
        <f t="shared" si="53"/>
        <v>-89.498954863542053</v>
      </c>
      <c r="AJ187" s="24">
        <f t="shared" si="73"/>
        <v>-6.0668039326926158</v>
      </c>
      <c r="AL187" s="24" t="str">
        <f t="shared" si="74"/>
        <v>0.0000155191386332939-0.00393940322760059i</v>
      </c>
      <c r="AM187" s="24" t="str">
        <f t="shared" si="75"/>
        <v>1.07804172047166+1.16044502011426i</v>
      </c>
      <c r="AN187" s="24" t="str">
        <f t="shared" si="76"/>
        <v>-1.54241319060292+1.42160732830504i</v>
      </c>
      <c r="AO187" s="24">
        <f t="shared" si="59"/>
        <v>2.0976190899294545</v>
      </c>
      <c r="AP187" s="24">
        <f t="shared" si="60"/>
        <v>2.3969293755174683</v>
      </c>
      <c r="AQ187" s="24">
        <f t="shared" si="61"/>
        <v>137.33393700807898</v>
      </c>
      <c r="AR187" s="24">
        <f t="shared" si="62"/>
        <v>6.4345325354832648</v>
      </c>
      <c r="AS187" s="24">
        <f t="shared" si="77"/>
        <v>0.36772860279064901</v>
      </c>
      <c r="AT187" s="24">
        <f t="shared" si="78"/>
        <v>47.834982144536923</v>
      </c>
    </row>
    <row r="188" spans="4:46">
      <c r="D188" s="13"/>
      <c r="R188" s="12"/>
      <c r="S188" s="12"/>
      <c r="T188" s="12"/>
      <c r="U188" s="12"/>
      <c r="V188" s="12"/>
      <c r="W188" s="12"/>
      <c r="X188" s="12"/>
      <c r="Y188" s="24">
        <v>186</v>
      </c>
      <c r="Z188" s="24">
        <f t="shared" si="54"/>
        <v>92993.606974334747</v>
      </c>
      <c r="AA188" s="24" t="str">
        <f t="shared" si="63"/>
        <v>584296.065002773i</v>
      </c>
      <c r="AB188" s="24">
        <f t="shared" si="55"/>
        <v>9.0114691425450566</v>
      </c>
      <c r="AD188" s="24" t="str">
        <f t="shared" si="56"/>
        <v>0.00770837601212709-0.0556488804211034i</v>
      </c>
      <c r="AE188" s="24" t="str">
        <f t="shared" si="57"/>
        <v>0.99025442686074-0.135236207539578i</v>
      </c>
      <c r="AF188" s="24" t="str">
        <f t="shared" si="71"/>
        <v>0.000895942551755458-0.467922180274718i</v>
      </c>
      <c r="AG188" s="24">
        <f t="shared" si="58"/>
        <v>0.46792303801597729</v>
      </c>
      <c r="AH188" s="24">
        <f t="shared" si="72"/>
        <v>-1.5688816035895592</v>
      </c>
      <c r="AI188" s="24">
        <f t="shared" si="53"/>
        <v>-89.89029444139841</v>
      </c>
      <c r="AJ188" s="24">
        <f t="shared" si="73"/>
        <v>-6.5965114390969504</v>
      </c>
      <c r="AL188" s="24" t="str">
        <f t="shared" si="74"/>
        <v>0.000013722845254308-0.00370441047102317i</v>
      </c>
      <c r="AM188" s="24" t="str">
        <f t="shared" si="75"/>
        <v>1.08820540109651+1.2333342718921i</v>
      </c>
      <c r="AN188" s="24" t="str">
        <f t="shared" si="76"/>
        <v>-1.54090665347253+1.34946610867993i</v>
      </c>
      <c r="AO188" s="24">
        <f t="shared" si="59"/>
        <v>2.0482802770108548</v>
      </c>
      <c r="AP188" s="24">
        <f t="shared" si="60"/>
        <v>2.4223317499949211</v>
      </c>
      <c r="AQ188" s="24">
        <f t="shared" si="61"/>
        <v>138.78938585524784</v>
      </c>
      <c r="AR188" s="24">
        <f t="shared" si="62"/>
        <v>6.2277876635646763</v>
      </c>
      <c r="AS188" s="24">
        <f t="shared" si="77"/>
        <v>-0.36872377553227409</v>
      </c>
      <c r="AT188" s="24">
        <f t="shared" si="78"/>
        <v>48.899091413849433</v>
      </c>
    </row>
    <row r="189" spans="4:46">
      <c r="D189" s="13"/>
      <c r="R189" s="12"/>
      <c r="S189" s="12"/>
      <c r="T189" s="12"/>
      <c r="U189" s="12"/>
      <c r="V189" s="12"/>
      <c r="W189" s="12"/>
      <c r="X189" s="12"/>
      <c r="Y189" s="24">
        <v>187</v>
      </c>
      <c r="Z189" s="24">
        <f t="shared" si="54"/>
        <v>98892.921394542427</v>
      </c>
      <c r="AA189" s="24" t="str">
        <f t="shared" si="63"/>
        <v>621362.550690255i</v>
      </c>
      <c r="AB189" s="24">
        <f t="shared" si="55"/>
        <v>9.0114691425450566</v>
      </c>
      <c r="AD189" s="24" t="str">
        <f t="shared" si="56"/>
        <v>0.0073481433962093-0.0523482239502293i</v>
      </c>
      <c r="AE189" s="24" t="str">
        <f t="shared" si="57"/>
        <v>0.988969393159379-0.143792868687567i</v>
      </c>
      <c r="AF189" s="24" t="str">
        <f t="shared" si="71"/>
        <v>-0.00216850058040156-0.440241363370629i</v>
      </c>
      <c r="AG189" s="24">
        <f t="shared" si="58"/>
        <v>0.4402467040389938</v>
      </c>
      <c r="AH189" s="24">
        <f t="shared" si="72"/>
        <v>-1.5757219953559585</v>
      </c>
      <c r="AI189" s="24">
        <f t="shared" si="53"/>
        <v>-90.282220019829126</v>
      </c>
      <c r="AJ189" s="24">
        <f t="shared" si="73"/>
        <v>-7.1260777349495763</v>
      </c>
      <c r="AL189" s="24" t="str">
        <f t="shared" si="74"/>
        <v>0.0000121344648803613-0.00348343474678705i</v>
      </c>
      <c r="AM189" s="24" t="str">
        <f t="shared" si="75"/>
        <v>1.09968509101971+1.31070126025601i</v>
      </c>
      <c r="AN189" s="24" t="str">
        <f t="shared" si="76"/>
        <v>-1.5393524502861+1.28241426066158i</v>
      </c>
      <c r="AO189" s="24">
        <f t="shared" si="59"/>
        <v>2.0035449338984157</v>
      </c>
      <c r="AP189" s="24">
        <f t="shared" si="60"/>
        <v>2.4469998694932107</v>
      </c>
      <c r="AQ189" s="24">
        <f t="shared" si="61"/>
        <v>140.20276499102422</v>
      </c>
      <c r="AR189" s="24">
        <f t="shared" si="62"/>
        <v>6.0359817377232847</v>
      </c>
      <c r="AS189" s="24">
        <f t="shared" si="77"/>
        <v>-1.0900959972262916</v>
      </c>
      <c r="AT189" s="24">
        <f t="shared" si="78"/>
        <v>49.920544971195099</v>
      </c>
    </row>
    <row r="190" spans="4:46">
      <c r="D190" s="13"/>
      <c r="R190" s="12"/>
      <c r="S190" s="12"/>
      <c r="T190" s="12"/>
      <c r="U190" s="12"/>
      <c r="V190" s="12"/>
      <c r="W190" s="12"/>
      <c r="X190" s="12"/>
      <c r="Y190" s="24">
        <v>188</v>
      </c>
      <c r="Z190" s="24">
        <f t="shared" si="54"/>
        <v>105166.47563360249</v>
      </c>
      <c r="AA190" s="24" t="str">
        <f t="shared" si="63"/>
        <v>660780.454508911i</v>
      </c>
      <c r="AB190" s="24">
        <f t="shared" si="55"/>
        <v>9.0114691425450566</v>
      </c>
      <c r="AD190" s="24" t="str">
        <f t="shared" si="56"/>
        <v>0.00702938922670508-0.0492412732180659i</v>
      </c>
      <c r="AE190" s="24" t="str">
        <f t="shared" si="57"/>
        <v>0.987513586358854-0.152887337676482i</v>
      </c>
      <c r="AF190" s="24" t="str">
        <f t="shared" si="71"/>
        <v>-0.00488972622298189-0.414188335076923i</v>
      </c>
      <c r="AG190" s="24">
        <f t="shared" si="58"/>
        <v>0.41421719705527582</v>
      </c>
      <c r="AH190" s="24">
        <f t="shared" si="72"/>
        <v>-1.582601340759288</v>
      </c>
      <c r="AI190" s="24">
        <f t="shared" si="53"/>
        <v>-90.676377477252629</v>
      </c>
      <c r="AJ190" s="24">
        <f t="shared" si="73"/>
        <v>-7.655437489287225</v>
      </c>
      <c r="AL190" s="24" t="str">
        <f t="shared" si="74"/>
        <v>0.000010729933051968-0.00327564007798548i</v>
      </c>
      <c r="AM190" s="24" t="str">
        <f t="shared" si="75"/>
        <v>1.11264907148458+1.39280080859627i</v>
      </c>
      <c r="AN190" s="24" t="str">
        <f t="shared" si="76"/>
        <v>-1.53772753679802+1.22019474602861i</v>
      </c>
      <c r="AO190" s="24">
        <f t="shared" si="59"/>
        <v>1.9630285773932914</v>
      </c>
      <c r="AP190" s="24">
        <f t="shared" si="60"/>
        <v>2.4708245412632475</v>
      </c>
      <c r="AQ190" s="24">
        <f t="shared" si="61"/>
        <v>141.5678181317318</v>
      </c>
      <c r="AR190" s="24">
        <f t="shared" si="62"/>
        <v>5.8585324404349137</v>
      </c>
      <c r="AS190" s="24">
        <f t="shared" si="77"/>
        <v>-1.7969050488523113</v>
      </c>
      <c r="AT190" s="24">
        <f t="shared" si="78"/>
        <v>50.891440654479169</v>
      </c>
    </row>
    <row r="191" spans="4:46">
      <c r="D191" s="13"/>
      <c r="R191" s="12"/>
      <c r="S191" s="12"/>
      <c r="T191" s="12"/>
      <c r="U191" s="12"/>
      <c r="V191" s="12"/>
      <c r="W191" s="12"/>
      <c r="X191" s="12"/>
      <c r="Y191" s="24">
        <v>189</v>
      </c>
      <c r="Z191" s="24">
        <f t="shared" si="54"/>
        <v>111838.01066072512</v>
      </c>
      <c r="AA191" s="24" t="str">
        <f t="shared" si="63"/>
        <v>702698.945367662i</v>
      </c>
      <c r="AB191" s="24">
        <f t="shared" si="55"/>
        <v>9.0114691425450566</v>
      </c>
      <c r="AD191" s="24" t="str">
        <f t="shared" si="56"/>
        <v>0.00674735980528659-0.0463170076674895i</v>
      </c>
      <c r="AE191" s="24" t="str">
        <f t="shared" si="57"/>
        <v>0.985863956671646-0.162552551145911i</v>
      </c>
      <c r="AF191" s="24" t="str">
        <f t="shared" si="71"/>
        <v>-0.00730829040425129-0.389670427563856i</v>
      </c>
      <c r="AG191" s="24">
        <f t="shared" si="58"/>
        <v>0.38973895523341162</v>
      </c>
      <c r="AH191" s="24">
        <f t="shared" si="72"/>
        <v>-1.5895491834809425</v>
      </c>
      <c r="AI191" s="24">
        <f t="shared" si="53"/>
        <v>-91.074459541924114</v>
      </c>
      <c r="AJ191" s="24">
        <f t="shared" si="73"/>
        <v>-8.1845236677034592</v>
      </c>
      <c r="AL191" s="24" t="str">
        <f t="shared" si="74"/>
        <v>0.0000094879704805779-0.0030802403248763i</v>
      </c>
      <c r="AM191" s="24" t="str">
        <f t="shared" si="75"/>
        <v>1.12728655670983+1.47989812108291i</v>
      </c>
      <c r="AN191" s="24" t="str">
        <f t="shared" si="76"/>
        <v>-1.5360079358999+1.16256812816399i</v>
      </c>
      <c r="AO191" s="24">
        <f t="shared" si="59"/>
        <v>1.9263657575263828</v>
      </c>
      <c r="AP191" s="24">
        <f t="shared" si="60"/>
        <v>2.4937051669478372</v>
      </c>
      <c r="AQ191" s="24">
        <f t="shared" si="61"/>
        <v>142.8787814160774</v>
      </c>
      <c r="AR191" s="24">
        <f t="shared" si="62"/>
        <v>5.6947749952764557</v>
      </c>
      <c r="AS191" s="24">
        <f t="shared" si="77"/>
        <v>-2.4897486724270035</v>
      </c>
      <c r="AT191" s="24">
        <f t="shared" si="78"/>
        <v>51.804321874153288</v>
      </c>
    </row>
    <row r="192" spans="4:46">
      <c r="D192" s="13"/>
      <c r="R192" s="12"/>
      <c r="S192" s="12"/>
      <c r="T192" s="12"/>
      <c r="U192" s="12"/>
      <c r="V192" s="12"/>
      <c r="W192" s="12"/>
      <c r="X192" s="12"/>
      <c r="Y192" s="24">
        <v>190</v>
      </c>
      <c r="Z192" s="24">
        <f t="shared" si="54"/>
        <v>118932.77352114675</v>
      </c>
      <c r="AA192" s="24" t="str">
        <f t="shared" si="63"/>
        <v>747276.655130187i</v>
      </c>
      <c r="AB192" s="24">
        <f t="shared" si="55"/>
        <v>9.0114691425450566</v>
      </c>
      <c r="AD192" s="24" t="str">
        <f t="shared" si="56"/>
        <v>0.0064978413863065-0.0435649748176678i</v>
      </c>
      <c r="AE192" s="24" t="str">
        <f t="shared" si="57"/>
        <v>0.983994251666674-0.17282323657744i</v>
      </c>
      <c r="AF192" s="24" t="str">
        <f t="shared" si="71"/>
        <v>-0.00946029113741526-0.366599693751063i</v>
      </c>
      <c r="AG192" s="24">
        <f t="shared" si="58"/>
        <v>0.36672173724334617</v>
      </c>
      <c r="AH192" s="24">
        <f t="shared" si="72"/>
        <v>-1.5965961083867182</v>
      </c>
      <c r="AI192" s="24">
        <f t="shared" si="53"/>
        <v>-91.478218597570702</v>
      </c>
      <c r="AJ192" s="24">
        <f t="shared" si="73"/>
        <v>-8.7132669338642952</v>
      </c>
      <c r="AL192" s="24" t="str">
        <f t="shared" si="74"/>
        <v>8.38976072480764E-06-0.00289649621728091i</v>
      </c>
      <c r="AM192" s="24" t="str">
        <f t="shared" si="75"/>
        <v>1.14381013577302+1.57226831835873i</v>
      </c>
      <c r="AN192" s="24" t="str">
        <f t="shared" si="76"/>
        <v>-1.53416841222299+1.10931153765474i</v>
      </c>
      <c r="AO192" s="24">
        <f t="shared" si="59"/>
        <v>1.8932101850129408</v>
      </c>
      <c r="AP192" s="24">
        <f t="shared" si="60"/>
        <v>2.5155505129815836</v>
      </c>
      <c r="AQ192" s="24">
        <f t="shared" si="61"/>
        <v>144.13042754581394</v>
      </c>
      <c r="AR192" s="24">
        <f t="shared" si="62"/>
        <v>5.543976644030475</v>
      </c>
      <c r="AS192" s="24">
        <f t="shared" si="77"/>
        <v>-3.1692902898338202</v>
      </c>
      <c r="AT192" s="24">
        <f t="shared" si="78"/>
        <v>52.652208948243242</v>
      </c>
    </row>
    <row r="193" spans="4:46">
      <c r="D193" s="13"/>
      <c r="R193" s="12"/>
      <c r="S193" s="12"/>
      <c r="T193" s="12"/>
      <c r="U193" s="12"/>
      <c r="V193" s="12"/>
      <c r="W193" s="12"/>
      <c r="X193" s="12"/>
      <c r="Y193" s="24">
        <v>191</v>
      </c>
      <c r="Z193" s="24">
        <f t="shared" si="54"/>
        <v>126477.61287835392</v>
      </c>
      <c r="AA193" s="24" t="str">
        <f t="shared" si="63"/>
        <v>794682.278924421i</v>
      </c>
      <c r="AB193" s="24">
        <f t="shared" si="55"/>
        <v>9.0114691425450566</v>
      </c>
      <c r="AD193" s="24" t="str">
        <f t="shared" si="56"/>
        <v>0.00627709990472552-0.0409752712313208i</v>
      </c>
      <c r="AE193" s="24" t="str">
        <f t="shared" si="57"/>
        <v>0.981874549206222-0.183735944259864i</v>
      </c>
      <c r="AF193" s="24" t="str">
        <f t="shared" si="71"/>
        <v>-0.0113778822802946-0.344892736001292i</v>
      </c>
      <c r="AG193" s="24">
        <f t="shared" si="58"/>
        <v>0.34508036100543471</v>
      </c>
      <c r="AH193" s="24">
        <f t="shared" si="72"/>
        <v>-1.6037739926352161</v>
      </c>
      <c r="AI193" s="24">
        <f t="shared" si="53"/>
        <v>-91.889481070843061</v>
      </c>
      <c r="AJ193" s="24">
        <f t="shared" si="73"/>
        <v>-9.2415951259446345</v>
      </c>
      <c r="AL193" s="24" t="str">
        <f t="shared" si="74"/>
        <v>7.41866516302253E-06-0.00272371256310752i</v>
      </c>
      <c r="AM193" s="24" t="str">
        <f t="shared" si="75"/>
        <v>1.16245845410081+1.67019573357092i</v>
      </c>
      <c r="AN193" s="24" t="str">
        <f t="shared" si="76"/>
        <v>-1.53218213787487+1.0602176754768i</v>
      </c>
      <c r="AO193" s="24">
        <f t="shared" si="59"/>
        <v>1.8632347203227606</v>
      </c>
      <c r="AP193" s="24">
        <f t="shared" si="60"/>
        <v>2.5362791299712812</v>
      </c>
      <c r="AQ193" s="24">
        <f t="shared" si="61"/>
        <v>145.31808981446679</v>
      </c>
      <c r="AR193" s="24">
        <f t="shared" si="62"/>
        <v>5.4053513686700017</v>
      </c>
      <c r="AS193" s="24">
        <f t="shared" si="77"/>
        <v>-3.8362437572746328</v>
      </c>
      <c r="AT193" s="24">
        <f t="shared" si="78"/>
        <v>53.428608743623727</v>
      </c>
    </row>
    <row r="194" spans="4:46">
      <c r="D194" s="13"/>
      <c r="R194" s="12"/>
      <c r="S194" s="12"/>
      <c r="T194" s="12"/>
      <c r="U194" s="12"/>
      <c r="V194" s="12"/>
      <c r="W194" s="12"/>
      <c r="X194" s="12"/>
      <c r="Y194" s="24">
        <v>192</v>
      </c>
      <c r="Z194" s="24">
        <f t="shared" si="54"/>
        <v>134501.0806172993</v>
      </c>
      <c r="AA194" s="24" t="str">
        <f t="shared" si="63"/>
        <v>845095.213534392i</v>
      </c>
      <c r="AB194" s="24">
        <f t="shared" si="55"/>
        <v>9.0114691425450566</v>
      </c>
      <c r="AD194" s="24" t="str">
        <f t="shared" si="56"/>
        <v>0.00608182719960906-0.0385385221665081i</v>
      </c>
      <c r="AE194" s="24" t="str">
        <f t="shared" si="57"/>
        <v>0.979470717663498-0.195329057259035i</v>
      </c>
      <c r="AF194" s="24" t="str">
        <f t="shared" si="71"/>
        <v>-0.0130897332131361-0.324470521372697i</v>
      </c>
      <c r="AG194" s="24">
        <f t="shared" si="58"/>
        <v>0.32473444590228007</v>
      </c>
      <c r="AH194" s="24">
        <f t="shared" si="72"/>
        <v>-1.6111162888837021</v>
      </c>
      <c r="AI194" s="24">
        <f t="shared" ref="AI194:AI202" si="79">AH194/(PI())*180</f>
        <v>-92.310163657816048</v>
      </c>
      <c r="AJ194" s="24">
        <f t="shared" si="73"/>
        <v>-9.769432831000751</v>
      </c>
      <c r="AL194" s="24" t="str">
        <f t="shared" si="74"/>
        <v>6.55997094792323E-06-0.00256123562264474i</v>
      </c>
      <c r="AM194" s="24" t="str">
        <f t="shared" si="75"/>
        <v>1.18349914497638+1.77397291694385i</v>
      </c>
      <c r="AN194" s="24" t="str">
        <f t="shared" si="76"/>
        <v>-1.5300203469397+1.01509384568578i</v>
      </c>
      <c r="AO194" s="24">
        <f t="shared" si="59"/>
        <v>1.8361311983620958</v>
      </c>
      <c r="AP194" s="24">
        <f t="shared" si="60"/>
        <v>2.5558194424664626</v>
      </c>
      <c r="AQ194" s="24">
        <f t="shared" si="61"/>
        <v>146.43766725080744</v>
      </c>
      <c r="AR194" s="24">
        <f t="shared" si="62"/>
        <v>5.2780741984044095</v>
      </c>
      <c r="AS194" s="24">
        <f t="shared" si="77"/>
        <v>-4.4913586325963415</v>
      </c>
      <c r="AT194" s="24">
        <f t="shared" si="78"/>
        <v>54.127503592991388</v>
      </c>
    </row>
    <row r="195" spans="4:46">
      <c r="D195" s="13"/>
      <c r="R195" s="12"/>
      <c r="S195" s="12"/>
      <c r="T195" s="12"/>
      <c r="U195" s="12"/>
      <c r="V195" s="12"/>
      <c r="W195" s="12"/>
      <c r="X195" s="12"/>
      <c r="Y195" s="24">
        <v>193</v>
      </c>
      <c r="Z195" s="24">
        <f t="shared" ref="Z195:Z202" si="80">10^(LOG($G$6/$G$5,10)*Y195/200)</f>
        <v>143033.53989310883</v>
      </c>
      <c r="AA195" s="24" t="str">
        <f t="shared" si="63"/>
        <v>898706.236290267i</v>
      </c>
      <c r="AB195" s="24">
        <f t="shared" ref="AB195:AB202" si="81">$B$23/$G$3</f>
        <v>9.0114691425450566</v>
      </c>
      <c r="AD195" s="24" t="str">
        <f t="shared" ref="AD195:AD202" si="82">IMDIV(IMSUM(1,IMDIV(AA195,$G$12)),IMSUM(1,IMDIV(AA195,$G$14)))</f>
        <v>0.00590909308473754-0.0362458603906766i</v>
      </c>
      <c r="AE195" s="24" t="str">
        <f t="shared" ref="AE195:AE202" si="83">IMDIV(1,IMSUM(1,IMDIV(AA195,IMPRODUCT($G$10*$G$11)),IMDIV(IMPRODUCT(AA195,AA195),$G$10*$G$10)))</f>
        <v>0.976743791475143-0.207642770514226i</v>
      </c>
      <c r="AF195" s="24" t="str">
        <f t="shared" si="71"/>
        <v>-0.0146214396295516-0.305258186966937i</v>
      </c>
      <c r="AG195" s="24">
        <f t="shared" ref="AG195:AG202" si="84">IMABS(AF195)</f>
        <v>0.30560815958868326</v>
      </c>
      <c r="AH195" s="24">
        <f t="shared" si="72"/>
        <v>-1.6186583457312944</v>
      </c>
      <c r="AI195" s="24">
        <f t="shared" si="79"/>
        <v>-92.742291684030832</v>
      </c>
      <c r="AJ195" s="24">
        <f t="shared" si="73"/>
        <v>-10.29670108981751</v>
      </c>
      <c r="AL195" s="24" t="str">
        <f t="shared" si="74"/>
        <v>5.80066812759028E-06-0.00240845063886299i</v>
      </c>
      <c r="AM195" s="24" t="str">
        <f t="shared" si="75"/>
        <v>1.20723201758039+1.88389928843067i</v>
      </c>
      <c r="AN195" s="24" t="str">
        <f t="shared" si="76"/>
        <v>-1.52765197688446+0.973761008960465i</v>
      </c>
      <c r="AO195" s="24">
        <f t="shared" ref="AO195:AO202" si="85">IMABS(AN195)</f>
        <v>1.811610075333735</v>
      </c>
      <c r="AP195" s="24">
        <f t="shared" ref="AP195:AP202" si="86">IMARGUMENT(AN195)</f>
        <v>2.5741095461021199</v>
      </c>
      <c r="AQ195" s="24">
        <f t="shared" ref="AQ195:AQ202" si="87">AP195/(PI())*180</f>
        <v>147.48561299598748</v>
      </c>
      <c r="AR195" s="24">
        <f t="shared" ref="AR195:AR202" si="88">20*LOG(AO195,10)</f>
        <v>5.1612945472362401</v>
      </c>
      <c r="AS195" s="24">
        <f t="shared" si="77"/>
        <v>-5.1354065425812703</v>
      </c>
      <c r="AT195" s="24">
        <f t="shared" si="78"/>
        <v>54.743321311956649</v>
      </c>
    </row>
    <row r="196" spans="4:46">
      <c r="D196" s="13"/>
      <c r="R196" s="12"/>
      <c r="S196" s="12"/>
      <c r="T196" s="12"/>
      <c r="U196" s="12"/>
      <c r="V196" s="12"/>
      <c r="W196" s="12"/>
      <c r="X196" s="12"/>
      <c r="Y196" s="24">
        <v>194</v>
      </c>
      <c r="Z196" s="24">
        <f t="shared" si="80"/>
        <v>152107.28003416685</v>
      </c>
      <c r="AA196" s="24" t="str">
        <f t="shared" ref="AA196:AA202" si="89">IMPRODUCT(COMPLEX(0,1),2*PI()*Z196)</f>
        <v>955718.227025728i</v>
      </c>
      <c r="AB196" s="24">
        <f t="shared" si="81"/>
        <v>9.0114691425450566</v>
      </c>
      <c r="AD196" s="24" t="str">
        <f t="shared" si="82"/>
        <v>0.00575630267083304-0.0340889045425103i</v>
      </c>
      <c r="AE196" s="24" t="str">
        <f t="shared" si="83"/>
        <v>0.973649248210438-0.220719027209527i</v>
      </c>
      <c r="AF196" s="24" t="str">
        <f t="shared" si="71"/>
        <v>-0.0159958902098475-0.287184838049633i</v>
      </c>
      <c r="AG196" s="24">
        <f t="shared" si="84"/>
        <v>0.28762997011646657</v>
      </c>
      <c r="AH196" s="24">
        <f t="shared" ref="AH196:AH202" si="90">IMARGUMENT(AF196)</f>
        <v>-1.6264377712029632</v>
      </c>
      <c r="AI196" s="24">
        <f t="shared" si="79"/>
        <v>-93.188019930594024</v>
      </c>
      <c r="AJ196" s="24">
        <f t="shared" ref="AJ196:AJ202" si="91">20*LOG(AG196,10)</f>
        <v>-10.823317276904467</v>
      </c>
      <c r="AL196" s="24" t="str">
        <f t="shared" ref="AL196:AL202" si="92">IMDIV(1,IMSUM(1,IMDIV(AA196,wp2e)))</f>
        <v>5.12925255863385E-06-0.00226477951452278i</v>
      </c>
      <c r="AM196" s="24" t="str">
        <f t="shared" ref="AM196:AM202" si="93">IMDIV(IMSUM(1,IMDIV(AA196,wz2e)),IMSUM(1,IMDIV(AA196,wp1e)))</f>
        <v>1.23399250246039+2.00027936834812i</v>
      </c>
      <c r="AN196" s="24" t="str">
        <f t="shared" ref="AN196:AN202" si="94">IMPRODUCT($AK$2,AL196,AM196)</f>
        <v>-1.52504329566247+0.936052847675464i</v>
      </c>
      <c r="AO196" s="24">
        <f t="shared" si="85"/>
        <v>1.7893998958551423</v>
      </c>
      <c r="AP196" s="24">
        <f t="shared" si="86"/>
        <v>2.5910967597338184</v>
      </c>
      <c r="AQ196" s="24">
        <f t="shared" si="87"/>
        <v>148.45890864277089</v>
      </c>
      <c r="AR196" s="24">
        <f t="shared" si="88"/>
        <v>5.0541481546182148</v>
      </c>
      <c r="AS196" s="24">
        <f t="shared" ref="AS196:AS202" si="95">AR196+AJ196</f>
        <v>-5.769169122286252</v>
      </c>
      <c r="AT196" s="24">
        <f t="shared" ref="AT196:AT202" si="96">AQ196+AI196</f>
        <v>55.27088871217687</v>
      </c>
    </row>
    <row r="197" spans="4:46">
      <c r="D197" s="13"/>
      <c r="R197" s="12"/>
      <c r="S197" s="12"/>
      <c r="T197" s="12"/>
      <c r="U197" s="12"/>
      <c r="V197" s="12"/>
      <c r="W197" s="12"/>
      <c r="X197" s="12"/>
      <c r="Y197" s="24">
        <v>195</v>
      </c>
      <c r="Z197" s="24">
        <f t="shared" si="80"/>
        <v>161756.63873440344</v>
      </c>
      <c r="AA197" s="24" t="str">
        <f t="shared" si="89"/>
        <v>1016346.93583476i</v>
      </c>
      <c r="AB197" s="24">
        <f t="shared" si="81"/>
        <v>9.0114691425450566</v>
      </c>
      <c r="AD197" s="24" t="str">
        <f t="shared" si="82"/>
        <v>0.00562115839541465-0.0320597373502412i</v>
      </c>
      <c r="AE197" s="24" t="str">
        <f t="shared" si="83"/>
        <v>0.970136171304558-0.234601396626285i</v>
      </c>
      <c r="AF197" s="24" t="str">
        <f t="shared" si="71"/>
        <v>-0.0172335934024467-0.270183340875562i</v>
      </c>
      <c r="AG197" s="24">
        <f t="shared" si="84"/>
        <v>0.27073240372781571</v>
      </c>
      <c r="AH197" s="24">
        <f t="shared" si="90"/>
        <v>-1.6344948457216353</v>
      </c>
      <c r="AI197" s="24">
        <f t="shared" si="79"/>
        <v>-93.649656295736321</v>
      </c>
      <c r="AJ197" s="24">
        <f t="shared" si="91"/>
        <v>-11.349195215733454</v>
      </c>
      <c r="AL197" s="24" t="str">
        <f t="shared" si="92"/>
        <v>4.53555162731708E-06-0.00212967862741976i</v>
      </c>
      <c r="AM197" s="24" t="str">
        <f t="shared" si="93"/>
        <v>1.2641553475108+2.12342050535652i</v>
      </c>
      <c r="AN197" s="24" t="str">
        <f t="shared" si="94"/>
        <v>-1.5221575141318+0.901814832418232i</v>
      </c>
      <c r="AO197" s="24">
        <f t="shared" si="85"/>
        <v>1.7692465881830675</v>
      </c>
      <c r="AP197" s="24">
        <f t="shared" si="86"/>
        <v>2.606736985893539</v>
      </c>
      <c r="AQ197" s="24">
        <f t="shared" si="87"/>
        <v>149.355027592353</v>
      </c>
      <c r="AR197" s="24">
        <f t="shared" si="88"/>
        <v>4.9557673356835865</v>
      </c>
      <c r="AS197" s="24">
        <f t="shared" si="95"/>
        <v>-6.3934278800498676</v>
      </c>
      <c r="AT197" s="24">
        <f t="shared" si="96"/>
        <v>55.705371296616676</v>
      </c>
    </row>
    <row r="198" spans="4:46">
      <c r="D198" s="13"/>
      <c r="R198" s="12"/>
      <c r="S198" s="12"/>
      <c r="T198" s="12"/>
      <c r="U198" s="12"/>
      <c r="V198" s="12"/>
      <c r="W198" s="12"/>
      <c r="X198" s="12"/>
      <c r="Y198" s="24">
        <v>196</v>
      </c>
      <c r="Z198" s="24">
        <f t="shared" si="80"/>
        <v>172018.13199719929</v>
      </c>
      <c r="AA198" s="24" t="str">
        <f t="shared" si="89"/>
        <v>1080821.79953328i</v>
      </c>
      <c r="AB198" s="24">
        <f t="shared" si="81"/>
        <v>9.0114691425450566</v>
      </c>
      <c r="AD198" s="24" t="str">
        <f t="shared" si="82"/>
        <v>0.00550162626554755-0.0301508839511591i</v>
      </c>
      <c r="AE198" s="24" t="str">
        <f t="shared" si="83"/>
        <v>0.966146280486391-0.24933487246483i</v>
      </c>
      <c r="AF198" s="24" t="str">
        <f t="shared" si="71"/>
        <v>-0.0183529679744136-0.254190111504183i</v>
      </c>
      <c r="AG198" s="24">
        <f t="shared" si="84"/>
        <v>0.25485180835140026</v>
      </c>
      <c r="AH198" s="24">
        <f t="shared" si="90"/>
        <v>-1.6428729915855622</v>
      </c>
      <c r="AI198" s="24">
        <f t="shared" si="79"/>
        <v>-94.129688693884333</v>
      </c>
      <c r="AJ198" s="24">
        <f t="shared" si="91"/>
        <v>-11.874245608839333</v>
      </c>
      <c r="AL198" s="24" t="str">
        <f t="shared" si="92"/>
        <v>4.01057013965434E-06-0.00200263677559898i</v>
      </c>
      <c r="AM198" s="24" t="str">
        <f t="shared" si="93"/>
        <v>1.29813854698963+2.25363000984762i</v>
      </c>
      <c r="AN198" s="24" t="str">
        <f t="shared" si="94"/>
        <v>-1.51895438446227+0.87090327902663i</v>
      </c>
      <c r="AO198" s="24">
        <f t="shared" si="85"/>
        <v>1.7509126030434785</v>
      </c>
      <c r="AP198" s="24">
        <f t="shared" si="86"/>
        <v>2.6209939342052206</v>
      </c>
      <c r="AQ198" s="24">
        <f t="shared" si="87"/>
        <v>150.17189055934853</v>
      </c>
      <c r="AR198" s="24">
        <f t="shared" si="88"/>
        <v>4.8652893755441289</v>
      </c>
      <c r="AS198" s="24">
        <f t="shared" si="95"/>
        <v>-7.008956233295204</v>
      </c>
      <c r="AT198" s="24">
        <f t="shared" si="96"/>
        <v>56.042201865464193</v>
      </c>
    </row>
    <row r="199" spans="4:46">
      <c r="D199" s="13"/>
      <c r="R199" s="12"/>
      <c r="S199" s="12"/>
      <c r="T199" s="12"/>
      <c r="U199" s="12"/>
      <c r="V199" s="12"/>
      <c r="W199" s="12"/>
      <c r="X199" s="12"/>
      <c r="Y199" s="24">
        <v>197</v>
      </c>
      <c r="Z199" s="24">
        <f t="shared" si="80"/>
        <v>182930.59232265301</v>
      </c>
      <c r="AA199" s="24" t="str">
        <f t="shared" si="89"/>
        <v>1149386.80991535i</v>
      </c>
      <c r="AB199" s="24">
        <f t="shared" si="81"/>
        <v>9.0114691425450566</v>
      </c>
      <c r="AD199" s="24" t="str">
        <f t="shared" si="82"/>
        <v>0.00539590586522332-0.0283552905041128i</v>
      </c>
      <c r="AE199" s="24" t="str">
        <f t="shared" si="83"/>
        <v>0.961612809886311-0.26496556373655i</v>
      </c>
      <c r="AF199" s="24" t="str">
        <f t="shared" si="71"/>
        <v>-0.0193706003974831-0.239144901327411i</v>
      </c>
      <c r="AG199" s="24">
        <f t="shared" si="84"/>
        <v>0.23992812255060081</v>
      </c>
      <c r="AH199" s="24">
        <f t="shared" si="90"/>
        <v>-1.6516193063799469</v>
      </c>
      <c r="AI199" s="24">
        <f t="shared" si="79"/>
        <v>-94.630815617895394</v>
      </c>
      <c r="AJ199" s="24">
        <f t="shared" si="91"/>
        <v>-12.398376887018541</v>
      </c>
      <c r="AL199" s="24" t="str">
        <f t="shared" si="92"/>
        <v>3.54635404672976E-06-0.00188317324484571i</v>
      </c>
      <c r="AM199" s="24" t="str">
        <f t="shared" si="93"/>
        <v>1.33640747216046+2.39121158901841i</v>
      </c>
      <c r="AN199" s="24" t="str">
        <f t="shared" si="94"/>
        <v>-1.51538978654836+0.843184384332953i</v>
      </c>
      <c r="AO199" s="24">
        <f t="shared" si="85"/>
        <v>1.7341759170159252</v>
      </c>
      <c r="AP199" s="24">
        <f t="shared" si="86"/>
        <v>2.6338382601785888</v>
      </c>
      <c r="AQ199" s="24">
        <f t="shared" si="87"/>
        <v>150.90781622831278</v>
      </c>
      <c r="AR199" s="24">
        <f t="shared" si="88"/>
        <v>4.781863015215734</v>
      </c>
      <c r="AS199" s="24">
        <f t="shared" si="95"/>
        <v>-7.6165138718028071</v>
      </c>
      <c r="AT199" s="24">
        <f t="shared" si="96"/>
        <v>56.277000610417389</v>
      </c>
    </row>
    <row r="200" spans="4:46">
      <c r="D200" s="13"/>
      <c r="R200" s="12"/>
      <c r="S200" s="12"/>
      <c r="T200" s="12"/>
      <c r="U200" s="12"/>
      <c r="V200" s="12"/>
      <c r="W200" s="12"/>
      <c r="X200" s="12"/>
      <c r="Y200" s="24">
        <v>198</v>
      </c>
      <c r="Z200" s="24">
        <f t="shared" si="80"/>
        <v>194535.31566115122</v>
      </c>
      <c r="AA200" s="24" t="str">
        <f t="shared" si="89"/>
        <v>1222301.43708969i</v>
      </c>
      <c r="AB200" s="24">
        <f t="shared" si="81"/>
        <v>9.0114691425450566</v>
      </c>
      <c r="AD200" s="24" t="str">
        <f t="shared" si="82"/>
        <v>0.0053024037225136-0.0266663032430849i</v>
      </c>
      <c r="AE200" s="24" t="str">
        <f t="shared" si="83"/>
        <v>0.956459212106125-0.281540241270223i</v>
      </c>
      <c r="AF200" s="24" t="str">
        <f t="shared" si="71"/>
        <v>-0.0203014714967865-0.224990579541545i</v>
      </c>
      <c r="AG200" s="24">
        <f t="shared" si="84"/>
        <v>0.22590464941513513</v>
      </c>
      <c r="AH200" s="24">
        <f t="shared" si="90"/>
        <v>-1.6607851678788195</v>
      </c>
      <c r="AI200" s="24">
        <f t="shared" si="79"/>
        <v>-95.155980797382256</v>
      </c>
      <c r="AJ200" s="24">
        <f t="shared" si="91"/>
        <v>-12.921496612707564</v>
      </c>
      <c r="AL200" s="24" t="str">
        <f t="shared" si="92"/>
        <v>0.0000031358699414414-0.00177083599120898i</v>
      </c>
      <c r="AM200" s="24" t="str">
        <f t="shared" si="93"/>
        <v>1.37947915409682+2.53646096808475i</v>
      </c>
      <c r="AN200" s="24" t="str">
        <f t="shared" si="94"/>
        <v>-1.51141530614399+0.818533227896541i</v>
      </c>
      <c r="AO200" s="24">
        <f t="shared" si="85"/>
        <v>1.7188289248255808</v>
      </c>
      <c r="AP200" s="24">
        <f t="shared" si="86"/>
        <v>2.6452466670628279</v>
      </c>
      <c r="AQ200" s="24">
        <f t="shared" si="87"/>
        <v>151.56146979374768</v>
      </c>
      <c r="AR200" s="24">
        <f t="shared" si="88"/>
        <v>4.7046530695000763</v>
      </c>
      <c r="AS200" s="24">
        <f t="shared" si="95"/>
        <v>-8.2168435432074887</v>
      </c>
      <c r="AT200" s="24">
        <f t="shared" si="96"/>
        <v>56.40548899636542</v>
      </c>
    </row>
    <row r="201" spans="4:46">
      <c r="D201" s="13"/>
      <c r="R201" s="12"/>
      <c r="S201" s="12"/>
      <c r="T201" s="12"/>
      <c r="U201" s="12"/>
      <c r="V201" s="12"/>
      <c r="W201" s="12"/>
      <c r="X201" s="12"/>
      <c r="Y201" s="24">
        <v>199</v>
      </c>
      <c r="Z201" s="24">
        <f t="shared" si="80"/>
        <v>206876.21768935499</v>
      </c>
      <c r="AA201" s="24" t="str">
        <f t="shared" si="89"/>
        <v>1299841.61139064i</v>
      </c>
      <c r="AB201" s="24">
        <f t="shared" si="81"/>
        <v>9.0114691425450566</v>
      </c>
      <c r="AD201" s="24" t="str">
        <f t="shared" si="82"/>
        <v>0.0052197096718343-0.0250776480839825i</v>
      </c>
      <c r="AE201" s="24" t="str">
        <f t="shared" si="83"/>
        <v>0.950597665624027-0.299105691024943i</v>
      </c>
      <c r="AF201" s="24" t="str">
        <f t="shared" si="71"/>
        <v>-0.0211591540848254-0.211672912376462i</v>
      </c>
      <c r="AG201" s="24">
        <f t="shared" si="84"/>
        <v>0.2127278346515066</v>
      </c>
      <c r="AH201" s="24">
        <f t="shared" si="90"/>
        <v>-1.6704269176487823</v>
      </c>
      <c r="AI201" s="24">
        <f t="shared" si="79"/>
        <v>-95.708412366322349</v>
      </c>
      <c r="AJ201" s="24">
        <f t="shared" si="91"/>
        <v>-13.443513611004473</v>
      </c>
      <c r="AL201" s="24" t="str">
        <f t="shared" si="92"/>
        <v>2.77289850162493E-06-0.00166519993173758i</v>
      </c>
      <c r="AM201" s="24" t="str">
        <f t="shared" si="93"/>
        <v>1.42792664622102+2.68966057089336i</v>
      </c>
      <c r="AN201" s="24" t="str">
        <f t="shared" si="94"/>
        <v>-1.50697781056095+0.796832726151837i</v>
      </c>
      <c r="AO201" s="24">
        <f t="shared" si="85"/>
        <v>1.7046772465747417</v>
      </c>
      <c r="AP201" s="24">
        <f t="shared" si="86"/>
        <v>2.6552010121868794</v>
      </c>
      <c r="AQ201" s="24">
        <f t="shared" si="87"/>
        <v>152.13181175717247</v>
      </c>
      <c r="AR201" s="24">
        <f t="shared" si="88"/>
        <v>4.6328432876818058</v>
      </c>
      <c r="AS201" s="24">
        <f t="shared" si="95"/>
        <v>-8.8106703233226682</v>
      </c>
      <c r="AT201" s="24">
        <f t="shared" si="96"/>
        <v>56.423399390850122</v>
      </c>
    </row>
    <row r="202" spans="4:46">
      <c r="D202" s="13"/>
      <c r="R202" s="12"/>
      <c r="S202" s="12"/>
      <c r="T202" s="12"/>
      <c r="U202" s="12"/>
      <c r="V202" s="12"/>
      <c r="W202" s="12"/>
      <c r="X202" s="12"/>
      <c r="Y202" s="24">
        <v>200</v>
      </c>
      <c r="Z202" s="24">
        <f t="shared" si="80"/>
        <v>219999.99999999985</v>
      </c>
      <c r="AA202" s="24" t="str">
        <f t="shared" si="89"/>
        <v>1382300.76757951i</v>
      </c>
      <c r="AB202" s="24">
        <f t="shared" si="81"/>
        <v>9.0114691425450566</v>
      </c>
      <c r="AD202" s="24" t="str">
        <f t="shared" si="82"/>
        <v>0.00514657588363434-0.0235834108673449i</v>
      </c>
      <c r="AE202" s="24" t="str">
        <f t="shared" si="83"/>
        <v>0.943927363518184-0.317707809998766i</v>
      </c>
      <c r="AF202" s="24" t="str">
        <f t="shared" si="71"/>
        <v>-0.0219559825055876-0.199140338554533i</v>
      </c>
      <c r="AG202" s="24">
        <f t="shared" si="84"/>
        <v>0.20034704791286465</v>
      </c>
      <c r="AH202" s="24">
        <f t="shared" si="90"/>
        <v>-1.680606629481056</v>
      </c>
      <c r="AI202" s="24">
        <f t="shared" si="79"/>
        <v>-96.291666890971015</v>
      </c>
      <c r="AJ202" s="24">
        <f t="shared" si="91"/>
        <v>-13.964341049112628</v>
      </c>
      <c r="AL202" s="24" t="str">
        <f t="shared" si="92"/>
        <v>2.45194026565389E-06-0.00156586533700789i</v>
      </c>
      <c r="AM202" s="24" t="str">
        <f t="shared" si="93"/>
        <v>1.482383365421+2.85107312359091i</v>
      </c>
      <c r="AN202" s="24" t="str">
        <f t="shared" si="94"/>
        <v>-1.50201903040222+0.777972524677214i</v>
      </c>
      <c r="AO202" s="24">
        <f t="shared" si="85"/>
        <v>1.6915384763117463</v>
      </c>
      <c r="AP202" s="24">
        <f t="shared" si="86"/>
        <v>2.6636874523173679</v>
      </c>
      <c r="AQ202" s="24">
        <f t="shared" si="87"/>
        <v>152.61804895973989</v>
      </c>
      <c r="AR202" s="24">
        <f t="shared" si="88"/>
        <v>4.5656376169384876</v>
      </c>
      <c r="AS202" s="24">
        <f t="shared" si="95"/>
        <v>-9.3987034321741412</v>
      </c>
      <c r="AT202" s="24">
        <f t="shared" si="96"/>
        <v>56.326382068768879</v>
      </c>
    </row>
    <row r="203" spans="4:46">
      <c r="D203" s="13"/>
      <c r="R203" s="12"/>
      <c r="S203" s="12"/>
      <c r="T203" s="12"/>
      <c r="U203" s="12"/>
      <c r="V203" s="12"/>
      <c r="W203" s="12"/>
      <c r="X203" s="12"/>
    </row>
    <row r="204" spans="4:46">
      <c r="D204" s="13"/>
    </row>
    <row r="205" spans="4:46">
      <c r="D205" s="13"/>
    </row>
    <row r="206" spans="4:46">
      <c r="D206" s="13"/>
    </row>
    <row r="207" spans="4:46">
      <c r="D207" s="13"/>
    </row>
    <row r="208" spans="4:46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</sheetData>
  <sheetProtection password="F725" sheet="1" objects="1" scenarios="1" selectLockedCells="1"/>
  <mergeCells count="2">
    <mergeCell ref="A49:D49"/>
    <mergeCell ref="A26:E26"/>
  </mergeCells>
  <conditionalFormatting sqref="E5">
    <cfRule type="notContainsBlanks" dxfId="0" priority="1">
      <formula>LEN(TRIM(E5))&gt;0</formula>
    </cfRule>
  </conditionalFormatting>
  <pageMargins left="0.7" right="0.7" top="0.75" bottom="0.75" header="0.3" footer="0.3"/>
  <ignoredErrors>
    <ignoredError sqref="B17:B18 B20 B23 B29 B37:B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9"/>
  <sheetViews>
    <sheetView zoomScale="80" zoomScaleNormal="80" workbookViewId="0">
      <selection activeCell="H5" sqref="H5"/>
    </sheetView>
  </sheetViews>
  <sheetFormatPr defaultRowHeight="15"/>
  <cols>
    <col min="1" max="1" width="2.85546875" style="75" customWidth="1"/>
    <col min="2" max="2" width="12.85546875" style="75" customWidth="1"/>
    <col min="3" max="3" width="18" style="75" customWidth="1"/>
    <col min="4" max="4" width="9.85546875" style="75" customWidth="1"/>
    <col min="5" max="5" width="11" style="75" hidden="1" customWidth="1"/>
    <col min="6" max="8" width="7.5703125" style="75" customWidth="1"/>
    <col min="9" max="9" width="6.7109375" style="75" bestFit="1" customWidth="1"/>
    <col min="10" max="18" width="6" style="75" bestFit="1" customWidth="1"/>
    <col min="19" max="256" width="9.140625" style="75"/>
    <col min="257" max="257" width="2.85546875" style="75" customWidth="1"/>
    <col min="258" max="258" width="12.85546875" style="75" customWidth="1"/>
    <col min="259" max="259" width="18" style="75" customWidth="1"/>
    <col min="260" max="260" width="9.85546875" style="75" customWidth="1"/>
    <col min="261" max="261" width="0" style="75" hidden="1" customWidth="1"/>
    <col min="262" max="264" width="7.5703125" style="75" customWidth="1"/>
    <col min="265" max="265" width="6.7109375" style="75" bestFit="1" customWidth="1"/>
    <col min="266" max="274" width="6" style="75" bestFit="1" customWidth="1"/>
    <col min="275" max="512" width="9.140625" style="75"/>
    <col min="513" max="513" width="2.85546875" style="75" customWidth="1"/>
    <col min="514" max="514" width="12.85546875" style="75" customWidth="1"/>
    <col min="515" max="515" width="18" style="75" customWidth="1"/>
    <col min="516" max="516" width="9.85546875" style="75" customWidth="1"/>
    <col min="517" max="517" width="0" style="75" hidden="1" customWidth="1"/>
    <col min="518" max="520" width="7.5703125" style="75" customWidth="1"/>
    <col min="521" max="521" width="6.7109375" style="75" bestFit="1" customWidth="1"/>
    <col min="522" max="530" width="6" style="75" bestFit="1" customWidth="1"/>
    <col min="531" max="768" width="9.140625" style="75"/>
    <col min="769" max="769" width="2.85546875" style="75" customWidth="1"/>
    <col min="770" max="770" width="12.85546875" style="75" customWidth="1"/>
    <col min="771" max="771" width="18" style="75" customWidth="1"/>
    <col min="772" max="772" width="9.85546875" style="75" customWidth="1"/>
    <col min="773" max="773" width="0" style="75" hidden="1" customWidth="1"/>
    <col min="774" max="776" width="7.5703125" style="75" customWidth="1"/>
    <col min="777" max="777" width="6.7109375" style="75" bestFit="1" customWidth="1"/>
    <col min="778" max="786" width="6" style="75" bestFit="1" customWidth="1"/>
    <col min="787" max="1024" width="9.140625" style="75"/>
    <col min="1025" max="1025" width="2.85546875" style="75" customWidth="1"/>
    <col min="1026" max="1026" width="12.85546875" style="75" customWidth="1"/>
    <col min="1027" max="1027" width="18" style="75" customWidth="1"/>
    <col min="1028" max="1028" width="9.85546875" style="75" customWidth="1"/>
    <col min="1029" max="1029" width="0" style="75" hidden="1" customWidth="1"/>
    <col min="1030" max="1032" width="7.5703125" style="75" customWidth="1"/>
    <col min="1033" max="1033" width="6.7109375" style="75" bestFit="1" customWidth="1"/>
    <col min="1034" max="1042" width="6" style="75" bestFit="1" customWidth="1"/>
    <col min="1043" max="1280" width="9.140625" style="75"/>
    <col min="1281" max="1281" width="2.85546875" style="75" customWidth="1"/>
    <col min="1282" max="1282" width="12.85546875" style="75" customWidth="1"/>
    <col min="1283" max="1283" width="18" style="75" customWidth="1"/>
    <col min="1284" max="1284" width="9.85546875" style="75" customWidth="1"/>
    <col min="1285" max="1285" width="0" style="75" hidden="1" customWidth="1"/>
    <col min="1286" max="1288" width="7.5703125" style="75" customWidth="1"/>
    <col min="1289" max="1289" width="6.7109375" style="75" bestFit="1" customWidth="1"/>
    <col min="1290" max="1298" width="6" style="75" bestFit="1" customWidth="1"/>
    <col min="1299" max="1536" width="9.140625" style="75"/>
    <col min="1537" max="1537" width="2.85546875" style="75" customWidth="1"/>
    <col min="1538" max="1538" width="12.85546875" style="75" customWidth="1"/>
    <col min="1539" max="1539" width="18" style="75" customWidth="1"/>
    <col min="1540" max="1540" width="9.85546875" style="75" customWidth="1"/>
    <col min="1541" max="1541" width="0" style="75" hidden="1" customWidth="1"/>
    <col min="1542" max="1544" width="7.5703125" style="75" customWidth="1"/>
    <col min="1545" max="1545" width="6.7109375" style="75" bestFit="1" customWidth="1"/>
    <col min="1546" max="1554" width="6" style="75" bestFit="1" customWidth="1"/>
    <col min="1555" max="1792" width="9.140625" style="75"/>
    <col min="1793" max="1793" width="2.85546875" style="75" customWidth="1"/>
    <col min="1794" max="1794" width="12.85546875" style="75" customWidth="1"/>
    <col min="1795" max="1795" width="18" style="75" customWidth="1"/>
    <col min="1796" max="1796" width="9.85546875" style="75" customWidth="1"/>
    <col min="1797" max="1797" width="0" style="75" hidden="1" customWidth="1"/>
    <col min="1798" max="1800" width="7.5703125" style="75" customWidth="1"/>
    <col min="1801" max="1801" width="6.7109375" style="75" bestFit="1" customWidth="1"/>
    <col min="1802" max="1810" width="6" style="75" bestFit="1" customWidth="1"/>
    <col min="1811" max="2048" width="9.140625" style="75"/>
    <col min="2049" max="2049" width="2.85546875" style="75" customWidth="1"/>
    <col min="2050" max="2050" width="12.85546875" style="75" customWidth="1"/>
    <col min="2051" max="2051" width="18" style="75" customWidth="1"/>
    <col min="2052" max="2052" width="9.85546875" style="75" customWidth="1"/>
    <col min="2053" max="2053" width="0" style="75" hidden="1" customWidth="1"/>
    <col min="2054" max="2056" width="7.5703125" style="75" customWidth="1"/>
    <col min="2057" max="2057" width="6.7109375" style="75" bestFit="1" customWidth="1"/>
    <col min="2058" max="2066" width="6" style="75" bestFit="1" customWidth="1"/>
    <col min="2067" max="2304" width="9.140625" style="75"/>
    <col min="2305" max="2305" width="2.85546875" style="75" customWidth="1"/>
    <col min="2306" max="2306" width="12.85546875" style="75" customWidth="1"/>
    <col min="2307" max="2307" width="18" style="75" customWidth="1"/>
    <col min="2308" max="2308" width="9.85546875" style="75" customWidth="1"/>
    <col min="2309" max="2309" width="0" style="75" hidden="1" customWidth="1"/>
    <col min="2310" max="2312" width="7.5703125" style="75" customWidth="1"/>
    <col min="2313" max="2313" width="6.7109375" style="75" bestFit="1" customWidth="1"/>
    <col min="2314" max="2322" width="6" style="75" bestFit="1" customWidth="1"/>
    <col min="2323" max="2560" width="9.140625" style="75"/>
    <col min="2561" max="2561" width="2.85546875" style="75" customWidth="1"/>
    <col min="2562" max="2562" width="12.85546875" style="75" customWidth="1"/>
    <col min="2563" max="2563" width="18" style="75" customWidth="1"/>
    <col min="2564" max="2564" width="9.85546875" style="75" customWidth="1"/>
    <col min="2565" max="2565" width="0" style="75" hidden="1" customWidth="1"/>
    <col min="2566" max="2568" width="7.5703125" style="75" customWidth="1"/>
    <col min="2569" max="2569" width="6.7109375" style="75" bestFit="1" customWidth="1"/>
    <col min="2570" max="2578" width="6" style="75" bestFit="1" customWidth="1"/>
    <col min="2579" max="2816" width="9.140625" style="75"/>
    <col min="2817" max="2817" width="2.85546875" style="75" customWidth="1"/>
    <col min="2818" max="2818" width="12.85546875" style="75" customWidth="1"/>
    <col min="2819" max="2819" width="18" style="75" customWidth="1"/>
    <col min="2820" max="2820" width="9.85546875" style="75" customWidth="1"/>
    <col min="2821" max="2821" width="0" style="75" hidden="1" customWidth="1"/>
    <col min="2822" max="2824" width="7.5703125" style="75" customWidth="1"/>
    <col min="2825" max="2825" width="6.7109375" style="75" bestFit="1" customWidth="1"/>
    <col min="2826" max="2834" width="6" style="75" bestFit="1" customWidth="1"/>
    <col min="2835" max="3072" width="9.140625" style="75"/>
    <col min="3073" max="3073" width="2.85546875" style="75" customWidth="1"/>
    <col min="3074" max="3074" width="12.85546875" style="75" customWidth="1"/>
    <col min="3075" max="3075" width="18" style="75" customWidth="1"/>
    <col min="3076" max="3076" width="9.85546875" style="75" customWidth="1"/>
    <col min="3077" max="3077" width="0" style="75" hidden="1" customWidth="1"/>
    <col min="3078" max="3080" width="7.5703125" style="75" customWidth="1"/>
    <col min="3081" max="3081" width="6.7109375" style="75" bestFit="1" customWidth="1"/>
    <col min="3082" max="3090" width="6" style="75" bestFit="1" customWidth="1"/>
    <col min="3091" max="3328" width="9.140625" style="75"/>
    <col min="3329" max="3329" width="2.85546875" style="75" customWidth="1"/>
    <col min="3330" max="3330" width="12.85546875" style="75" customWidth="1"/>
    <col min="3331" max="3331" width="18" style="75" customWidth="1"/>
    <col min="3332" max="3332" width="9.85546875" style="75" customWidth="1"/>
    <col min="3333" max="3333" width="0" style="75" hidden="1" customWidth="1"/>
    <col min="3334" max="3336" width="7.5703125" style="75" customWidth="1"/>
    <col min="3337" max="3337" width="6.7109375" style="75" bestFit="1" customWidth="1"/>
    <col min="3338" max="3346" width="6" style="75" bestFit="1" customWidth="1"/>
    <col min="3347" max="3584" width="9.140625" style="75"/>
    <col min="3585" max="3585" width="2.85546875" style="75" customWidth="1"/>
    <col min="3586" max="3586" width="12.85546875" style="75" customWidth="1"/>
    <col min="3587" max="3587" width="18" style="75" customWidth="1"/>
    <col min="3588" max="3588" width="9.85546875" style="75" customWidth="1"/>
    <col min="3589" max="3589" width="0" style="75" hidden="1" customWidth="1"/>
    <col min="3590" max="3592" width="7.5703125" style="75" customWidth="1"/>
    <col min="3593" max="3593" width="6.7109375" style="75" bestFit="1" customWidth="1"/>
    <col min="3594" max="3602" width="6" style="75" bestFit="1" customWidth="1"/>
    <col min="3603" max="3840" width="9.140625" style="75"/>
    <col min="3841" max="3841" width="2.85546875" style="75" customWidth="1"/>
    <col min="3842" max="3842" width="12.85546875" style="75" customWidth="1"/>
    <col min="3843" max="3843" width="18" style="75" customWidth="1"/>
    <col min="3844" max="3844" width="9.85546875" style="75" customWidth="1"/>
    <col min="3845" max="3845" width="0" style="75" hidden="1" customWidth="1"/>
    <col min="3846" max="3848" width="7.5703125" style="75" customWidth="1"/>
    <col min="3849" max="3849" width="6.7109375" style="75" bestFit="1" customWidth="1"/>
    <col min="3850" max="3858" width="6" style="75" bestFit="1" customWidth="1"/>
    <col min="3859" max="4096" width="9.140625" style="75"/>
    <col min="4097" max="4097" width="2.85546875" style="75" customWidth="1"/>
    <col min="4098" max="4098" width="12.85546875" style="75" customWidth="1"/>
    <col min="4099" max="4099" width="18" style="75" customWidth="1"/>
    <col min="4100" max="4100" width="9.85546875" style="75" customWidth="1"/>
    <col min="4101" max="4101" width="0" style="75" hidden="1" customWidth="1"/>
    <col min="4102" max="4104" width="7.5703125" style="75" customWidth="1"/>
    <col min="4105" max="4105" width="6.7109375" style="75" bestFit="1" customWidth="1"/>
    <col min="4106" max="4114" width="6" style="75" bestFit="1" customWidth="1"/>
    <col min="4115" max="4352" width="9.140625" style="75"/>
    <col min="4353" max="4353" width="2.85546875" style="75" customWidth="1"/>
    <col min="4354" max="4354" width="12.85546875" style="75" customWidth="1"/>
    <col min="4355" max="4355" width="18" style="75" customWidth="1"/>
    <col min="4356" max="4356" width="9.85546875" style="75" customWidth="1"/>
    <col min="4357" max="4357" width="0" style="75" hidden="1" customWidth="1"/>
    <col min="4358" max="4360" width="7.5703125" style="75" customWidth="1"/>
    <col min="4361" max="4361" width="6.7109375" style="75" bestFit="1" customWidth="1"/>
    <col min="4362" max="4370" width="6" style="75" bestFit="1" customWidth="1"/>
    <col min="4371" max="4608" width="9.140625" style="75"/>
    <col min="4609" max="4609" width="2.85546875" style="75" customWidth="1"/>
    <col min="4610" max="4610" width="12.85546875" style="75" customWidth="1"/>
    <col min="4611" max="4611" width="18" style="75" customWidth="1"/>
    <col min="4612" max="4612" width="9.85546875" style="75" customWidth="1"/>
    <col min="4613" max="4613" width="0" style="75" hidden="1" customWidth="1"/>
    <col min="4614" max="4616" width="7.5703125" style="75" customWidth="1"/>
    <col min="4617" max="4617" width="6.7109375" style="75" bestFit="1" customWidth="1"/>
    <col min="4618" max="4626" width="6" style="75" bestFit="1" customWidth="1"/>
    <col min="4627" max="4864" width="9.140625" style="75"/>
    <col min="4865" max="4865" width="2.85546875" style="75" customWidth="1"/>
    <col min="4866" max="4866" width="12.85546875" style="75" customWidth="1"/>
    <col min="4867" max="4867" width="18" style="75" customWidth="1"/>
    <col min="4868" max="4868" width="9.85546875" style="75" customWidth="1"/>
    <col min="4869" max="4869" width="0" style="75" hidden="1" customWidth="1"/>
    <col min="4870" max="4872" width="7.5703125" style="75" customWidth="1"/>
    <col min="4873" max="4873" width="6.7109375" style="75" bestFit="1" customWidth="1"/>
    <col min="4874" max="4882" width="6" style="75" bestFit="1" customWidth="1"/>
    <col min="4883" max="5120" width="9.140625" style="75"/>
    <col min="5121" max="5121" width="2.85546875" style="75" customWidth="1"/>
    <col min="5122" max="5122" width="12.85546875" style="75" customWidth="1"/>
    <col min="5123" max="5123" width="18" style="75" customWidth="1"/>
    <col min="5124" max="5124" width="9.85546875" style="75" customWidth="1"/>
    <col min="5125" max="5125" width="0" style="75" hidden="1" customWidth="1"/>
    <col min="5126" max="5128" width="7.5703125" style="75" customWidth="1"/>
    <col min="5129" max="5129" width="6.7109375" style="75" bestFit="1" customWidth="1"/>
    <col min="5130" max="5138" width="6" style="75" bestFit="1" customWidth="1"/>
    <col min="5139" max="5376" width="9.140625" style="75"/>
    <col min="5377" max="5377" width="2.85546875" style="75" customWidth="1"/>
    <col min="5378" max="5378" width="12.85546875" style="75" customWidth="1"/>
    <col min="5379" max="5379" width="18" style="75" customWidth="1"/>
    <col min="5380" max="5380" width="9.85546875" style="75" customWidth="1"/>
    <col min="5381" max="5381" width="0" style="75" hidden="1" customWidth="1"/>
    <col min="5382" max="5384" width="7.5703125" style="75" customWidth="1"/>
    <col min="5385" max="5385" width="6.7109375" style="75" bestFit="1" customWidth="1"/>
    <col min="5386" max="5394" width="6" style="75" bestFit="1" customWidth="1"/>
    <col min="5395" max="5632" width="9.140625" style="75"/>
    <col min="5633" max="5633" width="2.85546875" style="75" customWidth="1"/>
    <col min="5634" max="5634" width="12.85546875" style="75" customWidth="1"/>
    <col min="5635" max="5635" width="18" style="75" customWidth="1"/>
    <col min="5636" max="5636" width="9.85546875" style="75" customWidth="1"/>
    <col min="5637" max="5637" width="0" style="75" hidden="1" customWidth="1"/>
    <col min="5638" max="5640" width="7.5703125" style="75" customWidth="1"/>
    <col min="5641" max="5641" width="6.7109375" style="75" bestFit="1" customWidth="1"/>
    <col min="5642" max="5650" width="6" style="75" bestFit="1" customWidth="1"/>
    <col min="5651" max="5888" width="9.140625" style="75"/>
    <col min="5889" max="5889" width="2.85546875" style="75" customWidth="1"/>
    <col min="5890" max="5890" width="12.85546875" style="75" customWidth="1"/>
    <col min="5891" max="5891" width="18" style="75" customWidth="1"/>
    <col min="5892" max="5892" width="9.85546875" style="75" customWidth="1"/>
    <col min="5893" max="5893" width="0" style="75" hidden="1" customWidth="1"/>
    <col min="5894" max="5896" width="7.5703125" style="75" customWidth="1"/>
    <col min="5897" max="5897" width="6.7109375" style="75" bestFit="1" customWidth="1"/>
    <col min="5898" max="5906" width="6" style="75" bestFit="1" customWidth="1"/>
    <col min="5907" max="6144" width="9.140625" style="75"/>
    <col min="6145" max="6145" width="2.85546875" style="75" customWidth="1"/>
    <col min="6146" max="6146" width="12.85546875" style="75" customWidth="1"/>
    <col min="6147" max="6147" width="18" style="75" customWidth="1"/>
    <col min="6148" max="6148" width="9.85546875" style="75" customWidth="1"/>
    <col min="6149" max="6149" width="0" style="75" hidden="1" customWidth="1"/>
    <col min="6150" max="6152" width="7.5703125" style="75" customWidth="1"/>
    <col min="6153" max="6153" width="6.7109375" style="75" bestFit="1" customWidth="1"/>
    <col min="6154" max="6162" width="6" style="75" bestFit="1" customWidth="1"/>
    <col min="6163" max="6400" width="9.140625" style="75"/>
    <col min="6401" max="6401" width="2.85546875" style="75" customWidth="1"/>
    <col min="6402" max="6402" width="12.85546875" style="75" customWidth="1"/>
    <col min="6403" max="6403" width="18" style="75" customWidth="1"/>
    <col min="6404" max="6404" width="9.85546875" style="75" customWidth="1"/>
    <col min="6405" max="6405" width="0" style="75" hidden="1" customWidth="1"/>
    <col min="6406" max="6408" width="7.5703125" style="75" customWidth="1"/>
    <col min="6409" max="6409" width="6.7109375" style="75" bestFit="1" customWidth="1"/>
    <col min="6410" max="6418" width="6" style="75" bestFit="1" customWidth="1"/>
    <col min="6419" max="6656" width="9.140625" style="75"/>
    <col min="6657" max="6657" width="2.85546875" style="75" customWidth="1"/>
    <col min="6658" max="6658" width="12.85546875" style="75" customWidth="1"/>
    <col min="6659" max="6659" width="18" style="75" customWidth="1"/>
    <col min="6660" max="6660" width="9.85546875" style="75" customWidth="1"/>
    <col min="6661" max="6661" width="0" style="75" hidden="1" customWidth="1"/>
    <col min="6662" max="6664" width="7.5703125" style="75" customWidth="1"/>
    <col min="6665" max="6665" width="6.7109375" style="75" bestFit="1" customWidth="1"/>
    <col min="6666" max="6674" width="6" style="75" bestFit="1" customWidth="1"/>
    <col min="6675" max="6912" width="9.140625" style="75"/>
    <col min="6913" max="6913" width="2.85546875" style="75" customWidth="1"/>
    <col min="6914" max="6914" width="12.85546875" style="75" customWidth="1"/>
    <col min="6915" max="6915" width="18" style="75" customWidth="1"/>
    <col min="6916" max="6916" width="9.85546875" style="75" customWidth="1"/>
    <col min="6917" max="6917" width="0" style="75" hidden="1" customWidth="1"/>
    <col min="6918" max="6920" width="7.5703125" style="75" customWidth="1"/>
    <col min="6921" max="6921" width="6.7109375" style="75" bestFit="1" customWidth="1"/>
    <col min="6922" max="6930" width="6" style="75" bestFit="1" customWidth="1"/>
    <col min="6931" max="7168" width="9.140625" style="75"/>
    <col min="7169" max="7169" width="2.85546875" style="75" customWidth="1"/>
    <col min="7170" max="7170" width="12.85546875" style="75" customWidth="1"/>
    <col min="7171" max="7171" width="18" style="75" customWidth="1"/>
    <col min="7172" max="7172" width="9.85546875" style="75" customWidth="1"/>
    <col min="7173" max="7173" width="0" style="75" hidden="1" customWidth="1"/>
    <col min="7174" max="7176" width="7.5703125" style="75" customWidth="1"/>
    <col min="7177" max="7177" width="6.7109375" style="75" bestFit="1" customWidth="1"/>
    <col min="7178" max="7186" width="6" style="75" bestFit="1" customWidth="1"/>
    <col min="7187" max="7424" width="9.140625" style="75"/>
    <col min="7425" max="7425" width="2.85546875" style="75" customWidth="1"/>
    <col min="7426" max="7426" width="12.85546875" style="75" customWidth="1"/>
    <col min="7427" max="7427" width="18" style="75" customWidth="1"/>
    <col min="7428" max="7428" width="9.85546875" style="75" customWidth="1"/>
    <col min="7429" max="7429" width="0" style="75" hidden="1" customWidth="1"/>
    <col min="7430" max="7432" width="7.5703125" style="75" customWidth="1"/>
    <col min="7433" max="7433" width="6.7109375" style="75" bestFit="1" customWidth="1"/>
    <col min="7434" max="7442" width="6" style="75" bestFit="1" customWidth="1"/>
    <col min="7443" max="7680" width="9.140625" style="75"/>
    <col min="7681" max="7681" width="2.85546875" style="75" customWidth="1"/>
    <col min="7682" max="7682" width="12.85546875" style="75" customWidth="1"/>
    <col min="7683" max="7683" width="18" style="75" customWidth="1"/>
    <col min="7684" max="7684" width="9.85546875" style="75" customWidth="1"/>
    <col min="7685" max="7685" width="0" style="75" hidden="1" customWidth="1"/>
    <col min="7686" max="7688" width="7.5703125" style="75" customWidth="1"/>
    <col min="7689" max="7689" width="6.7109375" style="75" bestFit="1" customWidth="1"/>
    <col min="7690" max="7698" width="6" style="75" bestFit="1" customWidth="1"/>
    <col min="7699" max="7936" width="9.140625" style="75"/>
    <col min="7937" max="7937" width="2.85546875" style="75" customWidth="1"/>
    <col min="7938" max="7938" width="12.85546875" style="75" customWidth="1"/>
    <col min="7939" max="7939" width="18" style="75" customWidth="1"/>
    <col min="7940" max="7940" width="9.85546875" style="75" customWidth="1"/>
    <col min="7941" max="7941" width="0" style="75" hidden="1" customWidth="1"/>
    <col min="7942" max="7944" width="7.5703125" style="75" customWidth="1"/>
    <col min="7945" max="7945" width="6.7109375" style="75" bestFit="1" customWidth="1"/>
    <col min="7946" max="7954" width="6" style="75" bestFit="1" customWidth="1"/>
    <col min="7955" max="8192" width="9.140625" style="75"/>
    <col min="8193" max="8193" width="2.85546875" style="75" customWidth="1"/>
    <col min="8194" max="8194" width="12.85546875" style="75" customWidth="1"/>
    <col min="8195" max="8195" width="18" style="75" customWidth="1"/>
    <col min="8196" max="8196" width="9.85546875" style="75" customWidth="1"/>
    <col min="8197" max="8197" width="0" style="75" hidden="1" customWidth="1"/>
    <col min="8198" max="8200" width="7.5703125" style="75" customWidth="1"/>
    <col min="8201" max="8201" width="6.7109375" style="75" bestFit="1" customWidth="1"/>
    <col min="8202" max="8210" width="6" style="75" bestFit="1" customWidth="1"/>
    <col min="8211" max="8448" width="9.140625" style="75"/>
    <col min="8449" max="8449" width="2.85546875" style="75" customWidth="1"/>
    <col min="8450" max="8450" width="12.85546875" style="75" customWidth="1"/>
    <col min="8451" max="8451" width="18" style="75" customWidth="1"/>
    <col min="8452" max="8452" width="9.85546875" style="75" customWidth="1"/>
    <col min="8453" max="8453" width="0" style="75" hidden="1" customWidth="1"/>
    <col min="8454" max="8456" width="7.5703125" style="75" customWidth="1"/>
    <col min="8457" max="8457" width="6.7109375" style="75" bestFit="1" customWidth="1"/>
    <col min="8458" max="8466" width="6" style="75" bestFit="1" customWidth="1"/>
    <col min="8467" max="8704" width="9.140625" style="75"/>
    <col min="8705" max="8705" width="2.85546875" style="75" customWidth="1"/>
    <col min="8706" max="8706" width="12.85546875" style="75" customWidth="1"/>
    <col min="8707" max="8707" width="18" style="75" customWidth="1"/>
    <col min="8708" max="8708" width="9.85546875" style="75" customWidth="1"/>
    <col min="8709" max="8709" width="0" style="75" hidden="1" customWidth="1"/>
    <col min="8710" max="8712" width="7.5703125" style="75" customWidth="1"/>
    <col min="8713" max="8713" width="6.7109375" style="75" bestFit="1" customWidth="1"/>
    <col min="8714" max="8722" width="6" style="75" bestFit="1" customWidth="1"/>
    <col min="8723" max="8960" width="9.140625" style="75"/>
    <col min="8961" max="8961" width="2.85546875" style="75" customWidth="1"/>
    <col min="8962" max="8962" width="12.85546875" style="75" customWidth="1"/>
    <col min="8963" max="8963" width="18" style="75" customWidth="1"/>
    <col min="8964" max="8964" width="9.85546875" style="75" customWidth="1"/>
    <col min="8965" max="8965" width="0" style="75" hidden="1" customWidth="1"/>
    <col min="8966" max="8968" width="7.5703125" style="75" customWidth="1"/>
    <col min="8969" max="8969" width="6.7109375" style="75" bestFit="1" customWidth="1"/>
    <col min="8970" max="8978" width="6" style="75" bestFit="1" customWidth="1"/>
    <col min="8979" max="9216" width="9.140625" style="75"/>
    <col min="9217" max="9217" width="2.85546875" style="75" customWidth="1"/>
    <col min="9218" max="9218" width="12.85546875" style="75" customWidth="1"/>
    <col min="9219" max="9219" width="18" style="75" customWidth="1"/>
    <col min="9220" max="9220" width="9.85546875" style="75" customWidth="1"/>
    <col min="9221" max="9221" width="0" style="75" hidden="1" customWidth="1"/>
    <col min="9222" max="9224" width="7.5703125" style="75" customWidth="1"/>
    <col min="9225" max="9225" width="6.7109375" style="75" bestFit="1" customWidth="1"/>
    <col min="9226" max="9234" width="6" style="75" bestFit="1" customWidth="1"/>
    <col min="9235" max="9472" width="9.140625" style="75"/>
    <col min="9473" max="9473" width="2.85546875" style="75" customWidth="1"/>
    <col min="9474" max="9474" width="12.85546875" style="75" customWidth="1"/>
    <col min="9475" max="9475" width="18" style="75" customWidth="1"/>
    <col min="9476" max="9476" width="9.85546875" style="75" customWidth="1"/>
    <col min="9477" max="9477" width="0" style="75" hidden="1" customWidth="1"/>
    <col min="9478" max="9480" width="7.5703125" style="75" customWidth="1"/>
    <col min="9481" max="9481" width="6.7109375" style="75" bestFit="1" customWidth="1"/>
    <col min="9482" max="9490" width="6" style="75" bestFit="1" customWidth="1"/>
    <col min="9491" max="9728" width="9.140625" style="75"/>
    <col min="9729" max="9729" width="2.85546875" style="75" customWidth="1"/>
    <col min="9730" max="9730" width="12.85546875" style="75" customWidth="1"/>
    <col min="9731" max="9731" width="18" style="75" customWidth="1"/>
    <col min="9732" max="9732" width="9.85546875" style="75" customWidth="1"/>
    <col min="9733" max="9733" width="0" style="75" hidden="1" customWidth="1"/>
    <col min="9734" max="9736" width="7.5703125" style="75" customWidth="1"/>
    <col min="9737" max="9737" width="6.7109375" style="75" bestFit="1" customWidth="1"/>
    <col min="9738" max="9746" width="6" style="75" bestFit="1" customWidth="1"/>
    <col min="9747" max="9984" width="9.140625" style="75"/>
    <col min="9985" max="9985" width="2.85546875" style="75" customWidth="1"/>
    <col min="9986" max="9986" width="12.85546875" style="75" customWidth="1"/>
    <col min="9987" max="9987" width="18" style="75" customWidth="1"/>
    <col min="9988" max="9988" width="9.85546875" style="75" customWidth="1"/>
    <col min="9989" max="9989" width="0" style="75" hidden="1" customWidth="1"/>
    <col min="9990" max="9992" width="7.5703125" style="75" customWidth="1"/>
    <col min="9993" max="9993" width="6.7109375" style="75" bestFit="1" customWidth="1"/>
    <col min="9994" max="10002" width="6" style="75" bestFit="1" customWidth="1"/>
    <col min="10003" max="10240" width="9.140625" style="75"/>
    <col min="10241" max="10241" width="2.85546875" style="75" customWidth="1"/>
    <col min="10242" max="10242" width="12.85546875" style="75" customWidth="1"/>
    <col min="10243" max="10243" width="18" style="75" customWidth="1"/>
    <col min="10244" max="10244" width="9.85546875" style="75" customWidth="1"/>
    <col min="10245" max="10245" width="0" style="75" hidden="1" customWidth="1"/>
    <col min="10246" max="10248" width="7.5703125" style="75" customWidth="1"/>
    <col min="10249" max="10249" width="6.7109375" style="75" bestFit="1" customWidth="1"/>
    <col min="10250" max="10258" width="6" style="75" bestFit="1" customWidth="1"/>
    <col min="10259" max="10496" width="9.140625" style="75"/>
    <col min="10497" max="10497" width="2.85546875" style="75" customWidth="1"/>
    <col min="10498" max="10498" width="12.85546875" style="75" customWidth="1"/>
    <col min="10499" max="10499" width="18" style="75" customWidth="1"/>
    <col min="10500" max="10500" width="9.85546875" style="75" customWidth="1"/>
    <col min="10501" max="10501" width="0" style="75" hidden="1" customWidth="1"/>
    <col min="10502" max="10504" width="7.5703125" style="75" customWidth="1"/>
    <col min="10505" max="10505" width="6.7109375" style="75" bestFit="1" customWidth="1"/>
    <col min="10506" max="10514" width="6" style="75" bestFit="1" customWidth="1"/>
    <col min="10515" max="10752" width="9.140625" style="75"/>
    <col min="10753" max="10753" width="2.85546875" style="75" customWidth="1"/>
    <col min="10754" max="10754" width="12.85546875" style="75" customWidth="1"/>
    <col min="10755" max="10755" width="18" style="75" customWidth="1"/>
    <col min="10756" max="10756" width="9.85546875" style="75" customWidth="1"/>
    <col min="10757" max="10757" width="0" style="75" hidden="1" customWidth="1"/>
    <col min="10758" max="10760" width="7.5703125" style="75" customWidth="1"/>
    <col min="10761" max="10761" width="6.7109375" style="75" bestFit="1" customWidth="1"/>
    <col min="10762" max="10770" width="6" style="75" bestFit="1" customWidth="1"/>
    <col min="10771" max="11008" width="9.140625" style="75"/>
    <col min="11009" max="11009" width="2.85546875" style="75" customWidth="1"/>
    <col min="11010" max="11010" width="12.85546875" style="75" customWidth="1"/>
    <col min="11011" max="11011" width="18" style="75" customWidth="1"/>
    <col min="11012" max="11012" width="9.85546875" style="75" customWidth="1"/>
    <col min="11013" max="11013" width="0" style="75" hidden="1" customWidth="1"/>
    <col min="11014" max="11016" width="7.5703125" style="75" customWidth="1"/>
    <col min="11017" max="11017" width="6.7109375" style="75" bestFit="1" customWidth="1"/>
    <col min="11018" max="11026" width="6" style="75" bestFit="1" customWidth="1"/>
    <col min="11027" max="11264" width="9.140625" style="75"/>
    <col min="11265" max="11265" width="2.85546875" style="75" customWidth="1"/>
    <col min="11266" max="11266" width="12.85546875" style="75" customWidth="1"/>
    <col min="11267" max="11267" width="18" style="75" customWidth="1"/>
    <col min="11268" max="11268" width="9.85546875" style="75" customWidth="1"/>
    <col min="11269" max="11269" width="0" style="75" hidden="1" customWidth="1"/>
    <col min="11270" max="11272" width="7.5703125" style="75" customWidth="1"/>
    <col min="11273" max="11273" width="6.7109375" style="75" bestFit="1" customWidth="1"/>
    <col min="11274" max="11282" width="6" style="75" bestFit="1" customWidth="1"/>
    <col min="11283" max="11520" width="9.140625" style="75"/>
    <col min="11521" max="11521" width="2.85546875" style="75" customWidth="1"/>
    <col min="11522" max="11522" width="12.85546875" style="75" customWidth="1"/>
    <col min="11523" max="11523" width="18" style="75" customWidth="1"/>
    <col min="11524" max="11524" width="9.85546875" style="75" customWidth="1"/>
    <col min="11525" max="11525" width="0" style="75" hidden="1" customWidth="1"/>
    <col min="11526" max="11528" width="7.5703125" style="75" customWidth="1"/>
    <col min="11529" max="11529" width="6.7109375" style="75" bestFit="1" customWidth="1"/>
    <col min="11530" max="11538" width="6" style="75" bestFit="1" customWidth="1"/>
    <col min="11539" max="11776" width="9.140625" style="75"/>
    <col min="11777" max="11777" width="2.85546875" style="75" customWidth="1"/>
    <col min="11778" max="11778" width="12.85546875" style="75" customWidth="1"/>
    <col min="11779" max="11779" width="18" style="75" customWidth="1"/>
    <col min="11780" max="11780" width="9.85546875" style="75" customWidth="1"/>
    <col min="11781" max="11781" width="0" style="75" hidden="1" customWidth="1"/>
    <col min="11782" max="11784" width="7.5703125" style="75" customWidth="1"/>
    <col min="11785" max="11785" width="6.7109375" style="75" bestFit="1" customWidth="1"/>
    <col min="11786" max="11794" width="6" style="75" bestFit="1" customWidth="1"/>
    <col min="11795" max="12032" width="9.140625" style="75"/>
    <col min="12033" max="12033" width="2.85546875" style="75" customWidth="1"/>
    <col min="12034" max="12034" width="12.85546875" style="75" customWidth="1"/>
    <col min="12035" max="12035" width="18" style="75" customWidth="1"/>
    <col min="12036" max="12036" width="9.85546875" style="75" customWidth="1"/>
    <col min="12037" max="12037" width="0" style="75" hidden="1" customWidth="1"/>
    <col min="12038" max="12040" width="7.5703125" style="75" customWidth="1"/>
    <col min="12041" max="12041" width="6.7109375" style="75" bestFit="1" customWidth="1"/>
    <col min="12042" max="12050" width="6" style="75" bestFit="1" customWidth="1"/>
    <col min="12051" max="12288" width="9.140625" style="75"/>
    <col min="12289" max="12289" width="2.85546875" style="75" customWidth="1"/>
    <col min="12290" max="12290" width="12.85546875" style="75" customWidth="1"/>
    <col min="12291" max="12291" width="18" style="75" customWidth="1"/>
    <col min="12292" max="12292" width="9.85546875" style="75" customWidth="1"/>
    <col min="12293" max="12293" width="0" style="75" hidden="1" customWidth="1"/>
    <col min="12294" max="12296" width="7.5703125" style="75" customWidth="1"/>
    <col min="12297" max="12297" width="6.7109375" style="75" bestFit="1" customWidth="1"/>
    <col min="12298" max="12306" width="6" style="75" bestFit="1" customWidth="1"/>
    <col min="12307" max="12544" width="9.140625" style="75"/>
    <col min="12545" max="12545" width="2.85546875" style="75" customWidth="1"/>
    <col min="12546" max="12546" width="12.85546875" style="75" customWidth="1"/>
    <col min="12547" max="12547" width="18" style="75" customWidth="1"/>
    <col min="12548" max="12548" width="9.85546875" style="75" customWidth="1"/>
    <col min="12549" max="12549" width="0" style="75" hidden="1" customWidth="1"/>
    <col min="12550" max="12552" width="7.5703125" style="75" customWidth="1"/>
    <col min="12553" max="12553" width="6.7109375" style="75" bestFit="1" customWidth="1"/>
    <col min="12554" max="12562" width="6" style="75" bestFit="1" customWidth="1"/>
    <col min="12563" max="12800" width="9.140625" style="75"/>
    <col min="12801" max="12801" width="2.85546875" style="75" customWidth="1"/>
    <col min="12802" max="12802" width="12.85546875" style="75" customWidth="1"/>
    <col min="12803" max="12803" width="18" style="75" customWidth="1"/>
    <col min="12804" max="12804" width="9.85546875" style="75" customWidth="1"/>
    <col min="12805" max="12805" width="0" style="75" hidden="1" customWidth="1"/>
    <col min="12806" max="12808" width="7.5703125" style="75" customWidth="1"/>
    <col min="12809" max="12809" width="6.7109375" style="75" bestFit="1" customWidth="1"/>
    <col min="12810" max="12818" width="6" style="75" bestFit="1" customWidth="1"/>
    <col min="12819" max="13056" width="9.140625" style="75"/>
    <col min="13057" max="13057" width="2.85546875" style="75" customWidth="1"/>
    <col min="13058" max="13058" width="12.85546875" style="75" customWidth="1"/>
    <col min="13059" max="13059" width="18" style="75" customWidth="1"/>
    <col min="13060" max="13060" width="9.85546875" style="75" customWidth="1"/>
    <col min="13061" max="13061" width="0" style="75" hidden="1" customWidth="1"/>
    <col min="13062" max="13064" width="7.5703125" style="75" customWidth="1"/>
    <col min="13065" max="13065" width="6.7109375" style="75" bestFit="1" customWidth="1"/>
    <col min="13066" max="13074" width="6" style="75" bestFit="1" customWidth="1"/>
    <col min="13075" max="13312" width="9.140625" style="75"/>
    <col min="13313" max="13313" width="2.85546875" style="75" customWidth="1"/>
    <col min="13314" max="13314" width="12.85546875" style="75" customWidth="1"/>
    <col min="13315" max="13315" width="18" style="75" customWidth="1"/>
    <col min="13316" max="13316" width="9.85546875" style="75" customWidth="1"/>
    <col min="13317" max="13317" width="0" style="75" hidden="1" customWidth="1"/>
    <col min="13318" max="13320" width="7.5703125" style="75" customWidth="1"/>
    <col min="13321" max="13321" width="6.7109375" style="75" bestFit="1" customWidth="1"/>
    <col min="13322" max="13330" width="6" style="75" bestFit="1" customWidth="1"/>
    <col min="13331" max="13568" width="9.140625" style="75"/>
    <col min="13569" max="13569" width="2.85546875" style="75" customWidth="1"/>
    <col min="13570" max="13570" width="12.85546875" style="75" customWidth="1"/>
    <col min="13571" max="13571" width="18" style="75" customWidth="1"/>
    <col min="13572" max="13572" width="9.85546875" style="75" customWidth="1"/>
    <col min="13573" max="13573" width="0" style="75" hidden="1" customWidth="1"/>
    <col min="13574" max="13576" width="7.5703125" style="75" customWidth="1"/>
    <col min="13577" max="13577" width="6.7109375" style="75" bestFit="1" customWidth="1"/>
    <col min="13578" max="13586" width="6" style="75" bestFit="1" customWidth="1"/>
    <col min="13587" max="13824" width="9.140625" style="75"/>
    <col min="13825" max="13825" width="2.85546875" style="75" customWidth="1"/>
    <col min="13826" max="13826" width="12.85546875" style="75" customWidth="1"/>
    <col min="13827" max="13827" width="18" style="75" customWidth="1"/>
    <col min="13828" max="13828" width="9.85546875" style="75" customWidth="1"/>
    <col min="13829" max="13829" width="0" style="75" hidden="1" customWidth="1"/>
    <col min="13830" max="13832" width="7.5703125" style="75" customWidth="1"/>
    <col min="13833" max="13833" width="6.7109375" style="75" bestFit="1" customWidth="1"/>
    <col min="13834" max="13842" width="6" style="75" bestFit="1" customWidth="1"/>
    <col min="13843" max="14080" width="9.140625" style="75"/>
    <col min="14081" max="14081" width="2.85546875" style="75" customWidth="1"/>
    <col min="14082" max="14082" width="12.85546875" style="75" customWidth="1"/>
    <col min="14083" max="14083" width="18" style="75" customWidth="1"/>
    <col min="14084" max="14084" width="9.85546875" style="75" customWidth="1"/>
    <col min="14085" max="14085" width="0" style="75" hidden="1" customWidth="1"/>
    <col min="14086" max="14088" width="7.5703125" style="75" customWidth="1"/>
    <col min="14089" max="14089" width="6.7109375" style="75" bestFit="1" customWidth="1"/>
    <col min="14090" max="14098" width="6" style="75" bestFit="1" customWidth="1"/>
    <col min="14099" max="14336" width="9.140625" style="75"/>
    <col min="14337" max="14337" width="2.85546875" style="75" customWidth="1"/>
    <col min="14338" max="14338" width="12.85546875" style="75" customWidth="1"/>
    <col min="14339" max="14339" width="18" style="75" customWidth="1"/>
    <col min="14340" max="14340" width="9.85546875" style="75" customWidth="1"/>
    <col min="14341" max="14341" width="0" style="75" hidden="1" customWidth="1"/>
    <col min="14342" max="14344" width="7.5703125" style="75" customWidth="1"/>
    <col min="14345" max="14345" width="6.7109375" style="75" bestFit="1" customWidth="1"/>
    <col min="14346" max="14354" width="6" style="75" bestFit="1" customWidth="1"/>
    <col min="14355" max="14592" width="9.140625" style="75"/>
    <col min="14593" max="14593" width="2.85546875" style="75" customWidth="1"/>
    <col min="14594" max="14594" width="12.85546875" style="75" customWidth="1"/>
    <col min="14595" max="14595" width="18" style="75" customWidth="1"/>
    <col min="14596" max="14596" width="9.85546875" style="75" customWidth="1"/>
    <col min="14597" max="14597" width="0" style="75" hidden="1" customWidth="1"/>
    <col min="14598" max="14600" width="7.5703125" style="75" customWidth="1"/>
    <col min="14601" max="14601" width="6.7109375" style="75" bestFit="1" customWidth="1"/>
    <col min="14602" max="14610" width="6" style="75" bestFit="1" customWidth="1"/>
    <col min="14611" max="14848" width="9.140625" style="75"/>
    <col min="14849" max="14849" width="2.85546875" style="75" customWidth="1"/>
    <col min="14850" max="14850" width="12.85546875" style="75" customWidth="1"/>
    <col min="14851" max="14851" width="18" style="75" customWidth="1"/>
    <col min="14852" max="14852" width="9.85546875" style="75" customWidth="1"/>
    <col min="14853" max="14853" width="0" style="75" hidden="1" customWidth="1"/>
    <col min="14854" max="14856" width="7.5703125" style="75" customWidth="1"/>
    <col min="14857" max="14857" width="6.7109375" style="75" bestFit="1" customWidth="1"/>
    <col min="14858" max="14866" width="6" style="75" bestFit="1" customWidth="1"/>
    <col min="14867" max="15104" width="9.140625" style="75"/>
    <col min="15105" max="15105" width="2.85546875" style="75" customWidth="1"/>
    <col min="15106" max="15106" width="12.85546875" style="75" customWidth="1"/>
    <col min="15107" max="15107" width="18" style="75" customWidth="1"/>
    <col min="15108" max="15108" width="9.85546875" style="75" customWidth="1"/>
    <col min="15109" max="15109" width="0" style="75" hidden="1" customWidth="1"/>
    <col min="15110" max="15112" width="7.5703125" style="75" customWidth="1"/>
    <col min="15113" max="15113" width="6.7109375" style="75" bestFit="1" customWidth="1"/>
    <col min="15114" max="15122" width="6" style="75" bestFit="1" customWidth="1"/>
    <col min="15123" max="15360" width="9.140625" style="75"/>
    <col min="15361" max="15361" width="2.85546875" style="75" customWidth="1"/>
    <col min="15362" max="15362" width="12.85546875" style="75" customWidth="1"/>
    <col min="15363" max="15363" width="18" style="75" customWidth="1"/>
    <col min="15364" max="15364" width="9.85546875" style="75" customWidth="1"/>
    <col min="15365" max="15365" width="0" style="75" hidden="1" customWidth="1"/>
    <col min="15366" max="15368" width="7.5703125" style="75" customWidth="1"/>
    <col min="15369" max="15369" width="6.7109375" style="75" bestFit="1" customWidth="1"/>
    <col min="15370" max="15378" width="6" style="75" bestFit="1" customWidth="1"/>
    <col min="15379" max="15616" width="9.140625" style="75"/>
    <col min="15617" max="15617" width="2.85546875" style="75" customWidth="1"/>
    <col min="15618" max="15618" width="12.85546875" style="75" customWidth="1"/>
    <col min="15619" max="15619" width="18" style="75" customWidth="1"/>
    <col min="15620" max="15620" width="9.85546875" style="75" customWidth="1"/>
    <col min="15621" max="15621" width="0" style="75" hidden="1" customWidth="1"/>
    <col min="15622" max="15624" width="7.5703125" style="75" customWidth="1"/>
    <col min="15625" max="15625" width="6.7109375" style="75" bestFit="1" customWidth="1"/>
    <col min="15626" max="15634" width="6" style="75" bestFit="1" customWidth="1"/>
    <col min="15635" max="15872" width="9.140625" style="75"/>
    <col min="15873" max="15873" width="2.85546875" style="75" customWidth="1"/>
    <col min="15874" max="15874" width="12.85546875" style="75" customWidth="1"/>
    <col min="15875" max="15875" width="18" style="75" customWidth="1"/>
    <col min="15876" max="15876" width="9.85546875" style="75" customWidth="1"/>
    <col min="15877" max="15877" width="0" style="75" hidden="1" customWidth="1"/>
    <col min="15878" max="15880" width="7.5703125" style="75" customWidth="1"/>
    <col min="15881" max="15881" width="6.7109375" style="75" bestFit="1" customWidth="1"/>
    <col min="15882" max="15890" width="6" style="75" bestFit="1" customWidth="1"/>
    <col min="15891" max="16128" width="9.140625" style="75"/>
    <col min="16129" max="16129" width="2.85546875" style="75" customWidth="1"/>
    <col min="16130" max="16130" width="12.85546875" style="75" customWidth="1"/>
    <col min="16131" max="16131" width="18" style="75" customWidth="1"/>
    <col min="16132" max="16132" width="9.85546875" style="75" customWidth="1"/>
    <col min="16133" max="16133" width="0" style="75" hidden="1" customWidth="1"/>
    <col min="16134" max="16136" width="7.5703125" style="75" customWidth="1"/>
    <col min="16137" max="16137" width="6.7109375" style="75" bestFit="1" customWidth="1"/>
    <col min="16138" max="16146" width="6" style="75" bestFit="1" customWidth="1"/>
    <col min="16147" max="16384" width="9.140625" style="75"/>
  </cols>
  <sheetData>
    <row r="1" spans="2:21" ht="15.75" thickBot="1"/>
    <row r="2" spans="2:21">
      <c r="B2" s="76" t="s">
        <v>121</v>
      </c>
      <c r="C2" s="77"/>
      <c r="D2" s="77"/>
      <c r="E2" s="77"/>
      <c r="F2" s="77"/>
      <c r="G2" s="77"/>
      <c r="H2" s="77"/>
      <c r="I2" s="77"/>
      <c r="J2" s="78"/>
    </row>
    <row r="3" spans="2:21" ht="15.75" thickBot="1">
      <c r="B3" s="79" t="s">
        <v>122</v>
      </c>
      <c r="C3" s="80"/>
      <c r="D3" s="80"/>
      <c r="E3" s="80"/>
      <c r="F3" s="80"/>
      <c r="G3" s="80"/>
      <c r="H3" s="80"/>
      <c r="I3" s="80"/>
      <c r="J3" s="81"/>
    </row>
    <row r="4" spans="2:21">
      <c r="B4" s="82"/>
      <c r="G4" s="83"/>
      <c r="H4" s="83"/>
      <c r="I4" s="84"/>
    </row>
    <row r="5" spans="2:21">
      <c r="B5" s="82"/>
      <c r="F5" s="85"/>
      <c r="G5" s="86" t="s">
        <v>123</v>
      </c>
      <c r="H5" s="87">
        <v>5</v>
      </c>
      <c r="I5" s="88" t="s">
        <v>100</v>
      </c>
    </row>
    <row r="6" spans="2:21">
      <c r="B6" s="82"/>
      <c r="F6" s="85"/>
      <c r="G6" s="86" t="s">
        <v>124</v>
      </c>
      <c r="H6" s="87">
        <v>1.5</v>
      </c>
      <c r="I6" s="88" t="s">
        <v>101</v>
      </c>
    </row>
    <row r="7" spans="2:21" hidden="1">
      <c r="B7" s="82"/>
      <c r="G7" s="83" t="s">
        <v>125</v>
      </c>
      <c r="H7" s="89">
        <v>1.2</v>
      </c>
      <c r="I7" s="84" t="s">
        <v>101</v>
      </c>
    </row>
    <row r="8" spans="2:21">
      <c r="B8" s="82"/>
      <c r="G8" s="83"/>
      <c r="H8" s="89"/>
      <c r="I8" s="84"/>
    </row>
    <row r="9" spans="2:21">
      <c r="G9" s="90" t="s">
        <v>126</v>
      </c>
      <c r="H9" s="87">
        <v>2200</v>
      </c>
      <c r="I9" s="91" t="s">
        <v>127</v>
      </c>
      <c r="S9" s="92"/>
    </row>
    <row r="10" spans="2:21" s="84" customFormat="1">
      <c r="G10" s="83"/>
      <c r="H10" s="89"/>
      <c r="S10" s="93"/>
    </row>
    <row r="11" spans="2:21">
      <c r="G11" s="90" t="s">
        <v>128</v>
      </c>
      <c r="H11" s="87">
        <v>0.4</v>
      </c>
      <c r="I11" s="91" t="s">
        <v>100</v>
      </c>
    </row>
    <row r="12" spans="2:21">
      <c r="G12" s="94"/>
      <c r="H12" s="94"/>
      <c r="I12" s="89"/>
    </row>
    <row r="13" spans="2:21" hidden="1">
      <c r="G13" s="94" t="s">
        <v>129</v>
      </c>
      <c r="H13" s="94">
        <v>0.65</v>
      </c>
      <c r="J13" s="95"/>
      <c r="O13" s="89"/>
      <c r="P13" s="89"/>
      <c r="Q13" s="89"/>
      <c r="R13" s="84"/>
      <c r="S13" s="84"/>
      <c r="T13" s="84"/>
    </row>
    <row r="14" spans="2:21">
      <c r="G14" s="90" t="s">
        <v>130</v>
      </c>
      <c r="H14" s="87">
        <v>40</v>
      </c>
      <c r="I14" s="91" t="s">
        <v>131</v>
      </c>
      <c r="J14" s="96"/>
      <c r="K14" s="92"/>
      <c r="O14" s="97"/>
      <c r="P14" s="97"/>
      <c r="Q14" s="98"/>
      <c r="R14" s="99"/>
      <c r="S14" s="100"/>
      <c r="T14" s="84"/>
    </row>
    <row r="15" spans="2:21" ht="15.75" thickBot="1">
      <c r="G15" s="101"/>
      <c r="H15" s="101"/>
      <c r="I15" s="102"/>
      <c r="P15" s="103"/>
      <c r="Q15" s="104"/>
      <c r="R15" s="84"/>
      <c r="S15" s="84"/>
      <c r="T15" s="84"/>
      <c r="U15" s="84"/>
    </row>
    <row r="16" spans="2:21" ht="15.75" hidden="1" thickBot="1">
      <c r="G16" s="101" t="s">
        <v>132</v>
      </c>
      <c r="H16" s="105">
        <v>7</v>
      </c>
      <c r="I16" s="106" t="s">
        <v>133</v>
      </c>
      <c r="J16" s="107" t="b">
        <v>1</v>
      </c>
      <c r="P16" s="103"/>
      <c r="Q16" s="104"/>
      <c r="R16" s="84"/>
      <c r="S16" s="84"/>
      <c r="T16" s="84"/>
      <c r="U16" s="84"/>
    </row>
    <row r="17" spans="2:11" ht="15.75" hidden="1" thickBot="1">
      <c r="G17" s="94" t="s">
        <v>134</v>
      </c>
      <c r="H17" s="102">
        <v>3</v>
      </c>
      <c r="I17" s="75" t="s">
        <v>133</v>
      </c>
    </row>
    <row r="18" spans="2:11" ht="15.75" thickBot="1">
      <c r="C18" s="108"/>
      <c r="D18" s="108"/>
      <c r="E18" s="109" t="s">
        <v>135</v>
      </c>
    </row>
    <row r="19" spans="2:11" ht="15.75" thickBot="1">
      <c r="B19" s="110" t="s">
        <v>136</v>
      </c>
      <c r="C19" s="111"/>
      <c r="D19" s="112"/>
      <c r="E19" s="113">
        <v>13</v>
      </c>
      <c r="F19" s="114">
        <v>6.5</v>
      </c>
      <c r="G19" s="115">
        <v>9</v>
      </c>
      <c r="H19" s="115">
        <v>13.2</v>
      </c>
      <c r="I19" s="115">
        <v>18</v>
      </c>
      <c r="J19" s="114">
        <v>20</v>
      </c>
    </row>
    <row r="20" spans="2:11">
      <c r="B20" s="116" t="s">
        <v>137</v>
      </c>
      <c r="C20" s="117"/>
      <c r="D20" s="117"/>
      <c r="E20" s="118">
        <f>FswNom*IF(Vinref&gt;19,0.5,1)</f>
        <v>2200</v>
      </c>
      <c r="F20" s="119">
        <f>FswNom*IF(F19&gt;19,0.5,1)</f>
        <v>2200</v>
      </c>
      <c r="G20" s="119">
        <f>FswNom*IF(G19&gt;19,0.5,1)</f>
        <v>2200</v>
      </c>
      <c r="H20" s="119">
        <f>FswNom*IF(H19&gt;19,0.5,1)</f>
        <v>2200</v>
      </c>
      <c r="I20" s="119">
        <f>FswNom*IF(I19&gt;19,0.5,1)</f>
        <v>2200</v>
      </c>
      <c r="J20" s="119">
        <f>FswNom*IF(J19&gt;19,0.5,1)</f>
        <v>1100</v>
      </c>
    </row>
    <row r="21" spans="2:11">
      <c r="B21" s="120"/>
      <c r="C21" s="108"/>
      <c r="D21" s="121"/>
      <c r="E21" s="122"/>
      <c r="F21" s="123"/>
      <c r="G21" s="123"/>
      <c r="H21" s="123"/>
      <c r="I21" s="123"/>
      <c r="J21" s="123"/>
    </row>
    <row r="22" spans="2:11">
      <c r="B22" s="124" t="s">
        <v>12</v>
      </c>
      <c r="C22" s="125"/>
      <c r="D22" s="126"/>
      <c r="E22" s="127">
        <f>(Vout+Vdiode)/(E19+Vdiode-LoadRef*Rdson1p2A)</f>
        <v>0.42789223454833597</v>
      </c>
      <c r="F22" s="128">
        <f>(Vout+Vdiode)/(F19+Vdiode-Iout*Rdson1p2A)</f>
        <v>0.91139240506329111</v>
      </c>
      <c r="G22" s="128">
        <f>(Vout+Vdiode)/(G19+Vdiode-Iout*Rdson1p2A)</f>
        <v>0.64094955489614247</v>
      </c>
      <c r="H22" s="128">
        <f>(Vout+Vdiode)/(H19+Vdiode-Iout*Rdson1p2A)</f>
        <v>0.42772277227722777</v>
      </c>
      <c r="I22" s="128">
        <f>(Vout+Vdiode)/(I19+Vdiode-Iout*Rdson1p2A)</f>
        <v>0.30989956958393122</v>
      </c>
      <c r="J22" s="128">
        <f>(Vout+Vdiode)/(J19+Vdiode-Iout*Rdson1p2A)</f>
        <v>0.27799227799227805</v>
      </c>
    </row>
    <row r="23" spans="2:11" ht="12.75" customHeight="1">
      <c r="B23" s="120"/>
      <c r="C23" s="108"/>
      <c r="D23" s="108"/>
      <c r="E23" s="120"/>
      <c r="F23" s="129"/>
      <c r="G23" s="129"/>
      <c r="H23" s="129"/>
      <c r="I23" s="129"/>
      <c r="J23" s="129"/>
    </row>
    <row r="24" spans="2:11" ht="12.75" hidden="1" customHeight="1">
      <c r="B24" s="130" t="s">
        <v>138</v>
      </c>
      <c r="C24" s="131" t="s">
        <v>139</v>
      </c>
      <c r="D24" s="132" t="s">
        <v>140</v>
      </c>
      <c r="E24" s="122">
        <v>3.1</v>
      </c>
      <c r="F24" s="128">
        <f>t1ref*SQRT(Iout/LoadRef)</f>
        <v>3.4659053651246743</v>
      </c>
      <c r="G24" s="128">
        <f>t1ref*SQRT(Iout/LoadRef)</f>
        <v>3.4659053651246743</v>
      </c>
      <c r="H24" s="128">
        <f>t1ref*SQRT(Iout/LoadRef)</f>
        <v>3.4659053651246743</v>
      </c>
      <c r="I24" s="128">
        <f>t1ref*SQRT(Iout/LoadRef)</f>
        <v>3.4659053651246743</v>
      </c>
      <c r="J24" s="128">
        <f>t1ref*SQRT(Iout/LoadRef)</f>
        <v>3.4659053651246743</v>
      </c>
    </row>
    <row r="25" spans="2:11" hidden="1">
      <c r="B25" s="130" t="s">
        <v>141</v>
      </c>
      <c r="C25" s="131" t="s">
        <v>142</v>
      </c>
      <c r="D25" s="132" t="s">
        <v>143</v>
      </c>
      <c r="E25" s="133">
        <v>1.6</v>
      </c>
      <c r="F25" s="123">
        <f>t2ref</f>
        <v>1.6</v>
      </c>
      <c r="G25" s="123">
        <f>t2ref</f>
        <v>1.6</v>
      </c>
      <c r="H25" s="123">
        <f>t2ref</f>
        <v>1.6</v>
      </c>
      <c r="I25" s="123">
        <f>t2ref</f>
        <v>1.6</v>
      </c>
      <c r="J25" s="123">
        <f>t2ref</f>
        <v>1.6</v>
      </c>
      <c r="K25" s="134"/>
    </row>
    <row r="26" spans="2:11" hidden="1">
      <c r="B26" s="130" t="s">
        <v>144</v>
      </c>
      <c r="C26" s="131" t="s">
        <v>145</v>
      </c>
      <c r="D26" s="132" t="s">
        <v>146</v>
      </c>
      <c r="E26" s="127">
        <v>4.5999999999999996</v>
      </c>
      <c r="F26" s="135">
        <f>t3ref*F$19/Vinref</f>
        <v>2.2999999999999998</v>
      </c>
      <c r="G26" s="135">
        <f>t3ref*G$19/Vinref</f>
        <v>3.1846153846153844</v>
      </c>
      <c r="H26" s="135">
        <f>t3ref*H$19/Vinref</f>
        <v>4.6707692307692303</v>
      </c>
      <c r="I26" s="135">
        <f>t3ref*I$19/Vinref</f>
        <v>6.3692307692307688</v>
      </c>
      <c r="J26" s="135">
        <f>t3ref*J$19/Vinref</f>
        <v>7.0769230769230766</v>
      </c>
      <c r="K26" s="134"/>
    </row>
    <row r="27" spans="2:11" hidden="1">
      <c r="B27" s="130" t="s">
        <v>147</v>
      </c>
      <c r="C27" s="131" t="s">
        <v>148</v>
      </c>
      <c r="D27" s="132" t="s">
        <v>149</v>
      </c>
      <c r="E27" s="122">
        <v>12.5</v>
      </c>
      <c r="F27" s="123">
        <f>t4ref</f>
        <v>12.5</v>
      </c>
      <c r="G27" s="123">
        <f>t4ref</f>
        <v>12.5</v>
      </c>
      <c r="H27" s="123">
        <f>t4ref</f>
        <v>12.5</v>
      </c>
      <c r="I27" s="123">
        <f>t4ref</f>
        <v>12.5</v>
      </c>
      <c r="J27" s="123">
        <f>t4ref</f>
        <v>12.5</v>
      </c>
    </row>
    <row r="28" spans="2:11" hidden="1">
      <c r="B28" s="120"/>
      <c r="C28" s="108"/>
      <c r="D28" s="108"/>
      <c r="E28" s="120"/>
      <c r="F28" s="129"/>
      <c r="G28" s="129"/>
      <c r="H28" s="129"/>
      <c r="I28" s="129"/>
      <c r="J28" s="129"/>
    </row>
    <row r="29" spans="2:11" hidden="1">
      <c r="B29" s="120"/>
      <c r="C29" s="108"/>
      <c r="D29" s="136" t="s">
        <v>150</v>
      </c>
      <c r="E29" s="137">
        <f>1000*FswMax*t1ref/1000000000*(Vinref+0.5)*LoadRef/2</f>
        <v>5.5241999999999999E-2</v>
      </c>
      <c r="F29" s="138">
        <f>1000*F20*F24/1000000000*(F$19+0.5)*Iout/2</f>
        <v>4.0031206967189988E-2</v>
      </c>
      <c r="G29" s="138">
        <f>1000*G20*G24/1000000000*(G$19+0.5)*Iout/2</f>
        <v>5.4328066598329269E-2</v>
      </c>
      <c r="H29" s="138">
        <f>1000*H20*H24/1000000000*(H$19+0.5)*Iout/2</f>
        <v>7.834679077864326E-2</v>
      </c>
      <c r="I29" s="138">
        <f>1000*I20*I24/1000000000*(I$19+0.5)*Iout/2</f>
        <v>0.10579676127043068</v>
      </c>
      <c r="J29" s="138">
        <f>1000*J20*J24/1000000000*(J$19+0.5)*Iout/2</f>
        <v>5.8617124487671049E-2</v>
      </c>
    </row>
    <row r="30" spans="2:11" hidden="1">
      <c r="B30" s="120"/>
      <c r="C30" s="108"/>
      <c r="D30" s="136" t="s">
        <v>151</v>
      </c>
      <c r="E30" s="137">
        <f>1000*FswMax*t2ref/1000000000*(Vinref-1)*(LoadRef+0.4/2)</f>
        <v>5.9135999999999994E-2</v>
      </c>
      <c r="F30" s="138">
        <f>1000*F20*F25/1000000000*(F$19-1)*(Iout+0.4/2)</f>
        <v>3.2912000000000004E-2</v>
      </c>
      <c r="G30" s="138">
        <f>1000*G20*G25/1000000000*(G$19-1)*(Iout+0.4/2)</f>
        <v>4.7871999999999998E-2</v>
      </c>
      <c r="H30" s="138">
        <f>1000*H20*H25/1000000000*(H$19-1)*(Iout+0.4/2)</f>
        <v>7.3004799999999995E-2</v>
      </c>
      <c r="I30" s="138">
        <f>1000*I20*I25/1000000000*(I$19-1)*(Iout+0.4/2)</f>
        <v>0.101728</v>
      </c>
      <c r="J30" s="138">
        <f>1000*J20*J25/1000000000*(J$19-1)*(Iout+0.4/2)</f>
        <v>5.6848000000000003E-2</v>
      </c>
    </row>
    <row r="31" spans="2:11" hidden="1">
      <c r="B31" s="120"/>
      <c r="C31" s="108"/>
      <c r="D31" s="136" t="s">
        <v>152</v>
      </c>
      <c r="E31" s="137">
        <f>1000*FswMax*t3ref/1000000000*((Vinref-1)*(LoadRef+(0.4))+(-(Vinref-2)*(LoadRef+(0.4))-0.4*(Vinref-1))/2+0.4*(Vinref-2)/3)</f>
        <v>9.5802666666666689E-2</v>
      </c>
      <c r="F31" s="138">
        <f>1000*F20*F26/1000000000*((F$19-1)*(Iout+0.4)+(-(F$19-2)*(Iout+0.4)-0.4*(F$19-1))/2+0.4*(F$19-2)/3)</f>
        <v>2.8715499999999995E-2</v>
      </c>
      <c r="G31" s="138">
        <f>1000*G20*G26/1000000000*((G$19-1)*(Iout+0.4)+(-(G$19-2)*(Iout+0.4)-0.4*(G$19-1))/2+0.4*(G$19-2)/3)</f>
        <v>5.5231846153846152E-2</v>
      </c>
      <c r="H31" s="138">
        <f>1000*H20*H26/1000000000*((H$19-1)*(Iout+0.4)+(-(H$19-2)*(Iout+0.4)-0.4*(H$19-1))/2+0.4*(H$19-2)/3)</f>
        <v>0.11912952615384612</v>
      </c>
      <c r="I31" s="138">
        <f>1000*I20*I26/1000000000*((I$19-1)*(Iout+0.4)+(-(I$19-2)*(Iout+0.4)-0.4*(I$19-1))/2+0.4*(I$19-2)/3)</f>
        <v>0.22186153846153839</v>
      </c>
      <c r="J31" s="138">
        <f>1000*J20*J26/1000000000*((J$19-1)*(Iout+0.4)+(-(J$19-2)*(Iout+0.4)-0.4*(J$19-1))/2+0.4*(J$19-2)/3)</f>
        <v>0.13700923076923077</v>
      </c>
    </row>
    <row r="32" spans="2:11" hidden="1">
      <c r="B32" s="120"/>
      <c r="C32" s="108"/>
      <c r="D32" s="136" t="s">
        <v>153</v>
      </c>
      <c r="E32" s="137">
        <f>1000*FswMax*t4ref/1000000000*0.5*LoadRef</f>
        <v>1.6500000000000001E-2</v>
      </c>
      <c r="F32" s="138">
        <f>1000*F20*F27/1000000000*0.5*Iout</f>
        <v>2.0625000000000001E-2</v>
      </c>
      <c r="G32" s="138">
        <f>1000*G20*G27/1000000000*0.5*Iout</f>
        <v>2.0625000000000001E-2</v>
      </c>
      <c r="H32" s="138">
        <f>1000*H20*H27/1000000000*0.5*Iout</f>
        <v>2.0625000000000001E-2</v>
      </c>
      <c r="I32" s="138">
        <f>1000*I20*I27/1000000000*0.5*Iout</f>
        <v>2.0625000000000001E-2</v>
      </c>
      <c r="J32" s="138">
        <f>1000*J20*J27/1000000000*0.5*Iout</f>
        <v>1.03125E-2</v>
      </c>
    </row>
    <row r="33" spans="2:11">
      <c r="B33" s="124" t="s">
        <v>154</v>
      </c>
      <c r="C33" s="125"/>
      <c r="D33" s="126"/>
      <c r="E33" s="137">
        <f t="shared" ref="E33:J33" si="0">SUM(E29:E32)</f>
        <v>0.2266806666666667</v>
      </c>
      <c r="F33" s="138">
        <f t="shared" si="0"/>
        <v>0.12228370696718999</v>
      </c>
      <c r="G33" s="138">
        <f t="shared" si="0"/>
        <v>0.17805691275217542</v>
      </c>
      <c r="H33" s="138">
        <f t="shared" si="0"/>
        <v>0.29110611693248933</v>
      </c>
      <c r="I33" s="138">
        <f t="shared" si="0"/>
        <v>0.45001129973196907</v>
      </c>
      <c r="J33" s="138">
        <f t="shared" si="0"/>
        <v>0.26278685525690182</v>
      </c>
    </row>
    <row r="34" spans="2:11">
      <c r="B34" s="124" t="s">
        <v>155</v>
      </c>
      <c r="C34" s="125"/>
      <c r="D34" s="126"/>
      <c r="E34" s="137">
        <f>(Vout+Vdiode)/(Vinref+Vdiode-LoadRef*Rdson1p2A)*LoadRef^2*Rdson1p2A</f>
        <v>0.40050713153724243</v>
      </c>
      <c r="F34" s="138">
        <f>(Vout+Vdiode)/(F19+Vdiode-Iout*Rdson1p2A)*Iout^2*Rdson1p2A</f>
        <v>1.3329113924050633</v>
      </c>
      <c r="G34" s="138">
        <f>(Vout+Vdiode)/(G19+Vdiode-Iout*Rdson1p2A)*Iout^2*Rdson1p2A</f>
        <v>0.93738872403560836</v>
      </c>
      <c r="H34" s="138">
        <f>(Vout+Vdiode)/(H19+Vdiode-Iout*Rdson1p2A)*Iout^2*Rdson1p2A</f>
        <v>0.62554455445544566</v>
      </c>
      <c r="I34" s="138">
        <f>(Vout+Vdiode)/(I19+Vdiode-Iout*Rdson1p2A)*Iout^2*Rdson1p2A</f>
        <v>0.45322812051649941</v>
      </c>
      <c r="J34" s="138">
        <f>(Vout+Vdiode)/(J19+Vdiode-Iout*Rdson1p2A)*Iout^2*Rdson1p2A</f>
        <v>0.40656370656370661</v>
      </c>
    </row>
    <row r="35" spans="2:11">
      <c r="B35" s="124" t="s">
        <v>156</v>
      </c>
      <c r="C35" s="125"/>
      <c r="D35" s="126"/>
      <c r="E35" s="137">
        <f t="shared" ref="E35:J35" si="1">E33+E34</f>
        <v>0.62718779820390913</v>
      </c>
      <c r="F35" s="138">
        <f t="shared" si="1"/>
        <v>1.4551950993722533</v>
      </c>
      <c r="G35" s="138">
        <f t="shared" si="1"/>
        <v>1.1154456367877839</v>
      </c>
      <c r="H35" s="138">
        <f t="shared" si="1"/>
        <v>0.91665067138793499</v>
      </c>
      <c r="I35" s="138">
        <f t="shared" si="1"/>
        <v>0.90323942024846848</v>
      </c>
      <c r="J35" s="138">
        <f t="shared" si="1"/>
        <v>0.66935056182060837</v>
      </c>
    </row>
    <row r="36" spans="2:11">
      <c r="B36" s="120"/>
      <c r="C36" s="108"/>
      <c r="D36" s="108"/>
      <c r="E36" s="122"/>
      <c r="F36" s="123"/>
      <c r="G36" s="123"/>
      <c r="H36" s="123"/>
      <c r="I36" s="123"/>
      <c r="J36" s="123"/>
    </row>
    <row r="37" spans="2:11">
      <c r="B37" s="124" t="s">
        <v>157</v>
      </c>
      <c r="C37" s="125"/>
      <c r="D37" s="126"/>
      <c r="E37" s="137">
        <f>0.001*LDOLoad*(Vinref-3.3)*FswMax/2000</f>
        <v>7.4689999999999993E-2</v>
      </c>
      <c r="F37" s="138">
        <f>0.001*UseLDO*LDOLoad*(F19-3.3)*F20/2000</f>
        <v>2.4640000000000006E-2</v>
      </c>
      <c r="G37" s="138">
        <f>0.001*UseLDO*LDOLoad*(G19-3.3)*G20/2000</f>
        <v>4.3890000000000005E-2</v>
      </c>
      <c r="H37" s="138">
        <f>0.001*UseLDO*LDOLoad*(H19-3.3)*H20/2000</f>
        <v>7.6229999999999992E-2</v>
      </c>
      <c r="I37" s="138">
        <f>0.001*UseLDO*LDOLoad*(I19-3.3)*I20/2000</f>
        <v>0.11319</v>
      </c>
      <c r="J37" s="138">
        <f>0.001*UseLDO*LDOLoad*(J19-3.3)*J20/2000</f>
        <v>6.4295000000000005E-2</v>
      </c>
    </row>
    <row r="38" spans="2:11">
      <c r="B38" s="120"/>
      <c r="C38" s="108"/>
      <c r="D38" s="108"/>
      <c r="E38" s="122"/>
      <c r="F38" s="123"/>
      <c r="G38" s="123"/>
      <c r="H38" s="123"/>
      <c r="I38" s="123"/>
      <c r="J38" s="123"/>
    </row>
    <row r="39" spans="2:11">
      <c r="B39" s="124" t="s">
        <v>158</v>
      </c>
      <c r="C39" s="125"/>
      <c r="D39" s="126"/>
      <c r="E39" s="137">
        <f>0.001*Iq*Vinref</f>
        <v>3.9E-2</v>
      </c>
      <c r="F39" s="138">
        <f>0.001*Iq*F19</f>
        <v>1.95E-2</v>
      </c>
      <c r="G39" s="138">
        <f>0.001*Iq*G19</f>
        <v>2.7E-2</v>
      </c>
      <c r="H39" s="138">
        <f>0.001*Iq*H19</f>
        <v>3.9599999999999996E-2</v>
      </c>
      <c r="I39" s="138">
        <f>0.001*Iq*I19</f>
        <v>5.3999999999999999E-2</v>
      </c>
      <c r="J39" s="138">
        <f>0.001*Iq*J19</f>
        <v>0.06</v>
      </c>
    </row>
    <row r="40" spans="2:11">
      <c r="B40" s="120"/>
      <c r="C40" s="108"/>
      <c r="D40" s="108"/>
      <c r="E40" s="122"/>
      <c r="F40" s="123"/>
      <c r="G40" s="123"/>
      <c r="H40" s="123"/>
      <c r="I40" s="123"/>
      <c r="J40" s="123"/>
    </row>
    <row r="41" spans="2:11">
      <c r="B41" s="124" t="s">
        <v>159</v>
      </c>
      <c r="C41" s="125"/>
      <c r="D41" s="126"/>
      <c r="E41" s="137">
        <f t="shared" ref="E41:J41" si="2">E35+E37+E39</f>
        <v>0.7408777982039092</v>
      </c>
      <c r="F41" s="138">
        <f t="shared" si="2"/>
        <v>1.4993350993722534</v>
      </c>
      <c r="G41" s="138">
        <f t="shared" si="2"/>
        <v>1.1863356367877838</v>
      </c>
      <c r="H41" s="138">
        <f t="shared" si="2"/>
        <v>1.0324806713879351</v>
      </c>
      <c r="I41" s="138">
        <f t="shared" si="2"/>
        <v>1.0704294202484685</v>
      </c>
      <c r="J41" s="138">
        <f t="shared" si="2"/>
        <v>0.79364556182060841</v>
      </c>
    </row>
    <row r="42" spans="2:11">
      <c r="B42" s="120"/>
      <c r="C42" s="108"/>
      <c r="D42" s="108"/>
      <c r="E42" s="120"/>
      <c r="F42" s="129"/>
      <c r="G42" s="129"/>
      <c r="H42" s="129"/>
      <c r="I42" s="129"/>
      <c r="J42" s="129"/>
    </row>
    <row r="43" spans="2:11" ht="15.75" thickBot="1">
      <c r="B43" s="139" t="s">
        <v>160</v>
      </c>
      <c r="C43" s="140"/>
      <c r="D43" s="141"/>
      <c r="E43" s="142">
        <f t="shared" ref="E43:J43" si="3">E41*Rthetaja</f>
        <v>29.63511192815637</v>
      </c>
      <c r="F43" s="143">
        <f t="shared" si="3"/>
        <v>59.973403974890132</v>
      </c>
      <c r="G43" s="143">
        <f t="shared" si="3"/>
        <v>47.453425471511352</v>
      </c>
      <c r="H43" s="143">
        <f t="shared" si="3"/>
        <v>41.299226855517404</v>
      </c>
      <c r="I43" s="143">
        <f t="shared" si="3"/>
        <v>42.817176809938744</v>
      </c>
      <c r="J43" s="143">
        <f t="shared" si="3"/>
        <v>31.745822472824337</v>
      </c>
    </row>
    <row r="44" spans="2:11" ht="23.25" customHeight="1" thickBot="1">
      <c r="B44" s="144" t="s">
        <v>161</v>
      </c>
      <c r="C44" s="145"/>
      <c r="D44" s="146"/>
      <c r="E44" s="147">
        <f t="shared" ref="E44:J44" si="4">150-E43</f>
        <v>120.36488807184364</v>
      </c>
      <c r="F44" s="148">
        <f t="shared" si="4"/>
        <v>90.026596025109868</v>
      </c>
      <c r="G44" s="148">
        <f t="shared" si="4"/>
        <v>102.54657452848865</v>
      </c>
      <c r="H44" s="148">
        <f t="shared" si="4"/>
        <v>108.7007731444826</v>
      </c>
      <c r="I44" s="148">
        <f t="shared" si="4"/>
        <v>107.18282319006126</v>
      </c>
      <c r="J44" s="148">
        <f t="shared" si="4"/>
        <v>118.25417752717567</v>
      </c>
    </row>
    <row r="45" spans="2:11">
      <c r="B45" s="149"/>
      <c r="C45" s="150"/>
      <c r="D45" s="150"/>
      <c r="E45" s="151"/>
      <c r="F45" s="152"/>
      <c r="G45" s="151"/>
      <c r="H45" s="152"/>
      <c r="I45" s="152"/>
      <c r="J45" s="152"/>
    </row>
    <row r="46" spans="2:11" ht="15.75" thickBot="1">
      <c r="B46" s="153" t="s">
        <v>162</v>
      </c>
      <c r="C46" s="154"/>
      <c r="D46" s="154"/>
      <c r="E46" s="155">
        <f>(1-(Vout+Vdiode)/(Vinref+Vdiode-LoadRef*Rdson1p2A))*LoadRef*Vdiode</f>
        <v>0.27461172741679868</v>
      </c>
      <c r="F46" s="156">
        <f>(1-(Vout+Vdiode)/(F19+Vdiode-Iout*Rdson1p2A))*Iout*Vdiode</f>
        <v>5.3164556962025336E-2</v>
      </c>
      <c r="G46" s="155">
        <f>(1-(Vout+Vdiode)/(G19+Vdiode-Iout*Rdson1p2A))*Iout*Vdiode</f>
        <v>0.2154302670623145</v>
      </c>
      <c r="H46" s="156">
        <f>(1-(Vout+Vdiode)/(H19+Vdiode-Iout*Rdson1p2A))*Iout*Vdiode</f>
        <v>0.34336633663366334</v>
      </c>
      <c r="I46" s="156">
        <f>(1-(Vout+Vdiode)/(I19+Vdiode-Iout*Rdson1p2A))*Iout*Vdiode</f>
        <v>0.41406025824964127</v>
      </c>
      <c r="J46" s="156">
        <f>(1-(Vout+Vdiode)/(J19+Vdiode-Iout*Rdson1p2A))*Iout*Vdiode</f>
        <v>0.4332046332046332</v>
      </c>
      <c r="K46" s="134"/>
    </row>
    <row r="49" spans="2:10" ht="129.75" customHeight="1">
      <c r="B49" s="157" t="s">
        <v>163</v>
      </c>
      <c r="C49" s="157"/>
      <c r="D49" s="157"/>
      <c r="E49" s="157"/>
      <c r="F49" s="157"/>
      <c r="G49" s="157"/>
      <c r="H49" s="157"/>
      <c r="I49" s="157"/>
      <c r="J49" s="157"/>
    </row>
  </sheetData>
  <sheetProtection password="F725" sheet="1" objects="1" scenarios="1" selectLockedCells="1"/>
  <mergeCells count="15">
    <mergeCell ref="B44:D44"/>
    <mergeCell ref="B46:D46"/>
    <mergeCell ref="B49:J49"/>
    <mergeCell ref="B34:D34"/>
    <mergeCell ref="B35:D35"/>
    <mergeCell ref="B37:D37"/>
    <mergeCell ref="B39:D39"/>
    <mergeCell ref="B41:D41"/>
    <mergeCell ref="B43:D43"/>
    <mergeCell ref="B2:J2"/>
    <mergeCell ref="B3:J3"/>
    <mergeCell ref="B19:D19"/>
    <mergeCell ref="B20:D20"/>
    <mergeCell ref="B22:D22"/>
    <mergeCell ref="B33:D3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35</xdr:row>
                    <xdr:rowOff>133350</xdr:rowOff>
                  </from>
                  <to>
                    <xdr:col>1</xdr:col>
                    <xdr:colOff>571500</xdr:colOff>
                    <xdr:row>37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0" workbookViewId="0">
      <selection activeCell="C5" sqref="C5"/>
    </sheetView>
  </sheetViews>
  <sheetFormatPr defaultRowHeight="15"/>
  <cols>
    <col min="3" max="3" width="8.140625" customWidth="1"/>
    <col min="4" max="4" width="16" customWidth="1"/>
    <col min="5" max="5" width="18.85546875" customWidth="1"/>
    <col min="6" max="6" width="10.140625" customWidth="1"/>
    <col min="259" max="259" width="8.140625" customWidth="1"/>
    <col min="260" max="260" width="16" customWidth="1"/>
    <col min="261" max="261" width="18.85546875" customWidth="1"/>
    <col min="262" max="262" width="10.140625" customWidth="1"/>
    <col min="515" max="515" width="8.140625" customWidth="1"/>
    <col min="516" max="516" width="16" customWidth="1"/>
    <col min="517" max="517" width="18.85546875" customWidth="1"/>
    <col min="518" max="518" width="10.140625" customWidth="1"/>
    <col min="771" max="771" width="8.140625" customWidth="1"/>
    <col min="772" max="772" width="16" customWidth="1"/>
    <col min="773" max="773" width="18.85546875" customWidth="1"/>
    <col min="774" max="774" width="10.140625" customWidth="1"/>
    <col min="1027" max="1027" width="8.140625" customWidth="1"/>
    <col min="1028" max="1028" width="16" customWidth="1"/>
    <col min="1029" max="1029" width="18.85546875" customWidth="1"/>
    <col min="1030" max="1030" width="10.140625" customWidth="1"/>
    <col min="1283" max="1283" width="8.140625" customWidth="1"/>
    <col min="1284" max="1284" width="16" customWidth="1"/>
    <col min="1285" max="1285" width="18.85546875" customWidth="1"/>
    <col min="1286" max="1286" width="10.140625" customWidth="1"/>
    <col min="1539" max="1539" width="8.140625" customWidth="1"/>
    <col min="1540" max="1540" width="16" customWidth="1"/>
    <col min="1541" max="1541" width="18.85546875" customWidth="1"/>
    <col min="1542" max="1542" width="10.140625" customWidth="1"/>
    <col min="1795" max="1795" width="8.140625" customWidth="1"/>
    <col min="1796" max="1796" width="16" customWidth="1"/>
    <col min="1797" max="1797" width="18.85546875" customWidth="1"/>
    <col min="1798" max="1798" width="10.140625" customWidth="1"/>
    <col min="2051" max="2051" width="8.140625" customWidth="1"/>
    <col min="2052" max="2052" width="16" customWidth="1"/>
    <col min="2053" max="2053" width="18.85546875" customWidth="1"/>
    <col min="2054" max="2054" width="10.140625" customWidth="1"/>
    <col min="2307" max="2307" width="8.140625" customWidth="1"/>
    <col min="2308" max="2308" width="16" customWidth="1"/>
    <col min="2309" max="2309" width="18.85546875" customWidth="1"/>
    <col min="2310" max="2310" width="10.140625" customWidth="1"/>
    <col min="2563" max="2563" width="8.140625" customWidth="1"/>
    <col min="2564" max="2564" width="16" customWidth="1"/>
    <col min="2565" max="2565" width="18.85546875" customWidth="1"/>
    <col min="2566" max="2566" width="10.140625" customWidth="1"/>
    <col min="2819" max="2819" width="8.140625" customWidth="1"/>
    <col min="2820" max="2820" width="16" customWidth="1"/>
    <col min="2821" max="2821" width="18.85546875" customWidth="1"/>
    <col min="2822" max="2822" width="10.140625" customWidth="1"/>
    <col min="3075" max="3075" width="8.140625" customWidth="1"/>
    <col min="3076" max="3076" width="16" customWidth="1"/>
    <col min="3077" max="3077" width="18.85546875" customWidth="1"/>
    <col min="3078" max="3078" width="10.140625" customWidth="1"/>
    <col min="3331" max="3331" width="8.140625" customWidth="1"/>
    <col min="3332" max="3332" width="16" customWidth="1"/>
    <col min="3333" max="3333" width="18.85546875" customWidth="1"/>
    <col min="3334" max="3334" width="10.140625" customWidth="1"/>
    <col min="3587" max="3587" width="8.140625" customWidth="1"/>
    <col min="3588" max="3588" width="16" customWidth="1"/>
    <col min="3589" max="3589" width="18.85546875" customWidth="1"/>
    <col min="3590" max="3590" width="10.140625" customWidth="1"/>
    <col min="3843" max="3843" width="8.140625" customWidth="1"/>
    <col min="3844" max="3844" width="16" customWidth="1"/>
    <col min="3845" max="3845" width="18.85546875" customWidth="1"/>
    <col min="3846" max="3846" width="10.140625" customWidth="1"/>
    <col min="4099" max="4099" width="8.140625" customWidth="1"/>
    <col min="4100" max="4100" width="16" customWidth="1"/>
    <col min="4101" max="4101" width="18.85546875" customWidth="1"/>
    <col min="4102" max="4102" width="10.140625" customWidth="1"/>
    <col min="4355" max="4355" width="8.140625" customWidth="1"/>
    <col min="4356" max="4356" width="16" customWidth="1"/>
    <col min="4357" max="4357" width="18.85546875" customWidth="1"/>
    <col min="4358" max="4358" width="10.140625" customWidth="1"/>
    <col min="4611" max="4611" width="8.140625" customWidth="1"/>
    <col min="4612" max="4612" width="16" customWidth="1"/>
    <col min="4613" max="4613" width="18.85546875" customWidth="1"/>
    <col min="4614" max="4614" width="10.140625" customWidth="1"/>
    <col min="4867" max="4867" width="8.140625" customWidth="1"/>
    <col min="4868" max="4868" width="16" customWidth="1"/>
    <col min="4869" max="4869" width="18.85546875" customWidth="1"/>
    <col min="4870" max="4870" width="10.140625" customWidth="1"/>
    <col min="5123" max="5123" width="8.140625" customWidth="1"/>
    <col min="5124" max="5124" width="16" customWidth="1"/>
    <col min="5125" max="5125" width="18.85546875" customWidth="1"/>
    <col min="5126" max="5126" width="10.140625" customWidth="1"/>
    <col min="5379" max="5379" width="8.140625" customWidth="1"/>
    <col min="5380" max="5380" width="16" customWidth="1"/>
    <col min="5381" max="5381" width="18.85546875" customWidth="1"/>
    <col min="5382" max="5382" width="10.140625" customWidth="1"/>
    <col min="5635" max="5635" width="8.140625" customWidth="1"/>
    <col min="5636" max="5636" width="16" customWidth="1"/>
    <col min="5637" max="5637" width="18.85546875" customWidth="1"/>
    <col min="5638" max="5638" width="10.140625" customWidth="1"/>
    <col min="5891" max="5891" width="8.140625" customWidth="1"/>
    <col min="5892" max="5892" width="16" customWidth="1"/>
    <col min="5893" max="5893" width="18.85546875" customWidth="1"/>
    <col min="5894" max="5894" width="10.140625" customWidth="1"/>
    <col min="6147" max="6147" width="8.140625" customWidth="1"/>
    <col min="6148" max="6148" width="16" customWidth="1"/>
    <col min="6149" max="6149" width="18.85546875" customWidth="1"/>
    <col min="6150" max="6150" width="10.140625" customWidth="1"/>
    <col min="6403" max="6403" width="8.140625" customWidth="1"/>
    <col min="6404" max="6404" width="16" customWidth="1"/>
    <col min="6405" max="6405" width="18.85546875" customWidth="1"/>
    <col min="6406" max="6406" width="10.140625" customWidth="1"/>
    <col min="6659" max="6659" width="8.140625" customWidth="1"/>
    <col min="6660" max="6660" width="16" customWidth="1"/>
    <col min="6661" max="6661" width="18.85546875" customWidth="1"/>
    <col min="6662" max="6662" width="10.140625" customWidth="1"/>
    <col min="6915" max="6915" width="8.140625" customWidth="1"/>
    <col min="6916" max="6916" width="16" customWidth="1"/>
    <col min="6917" max="6917" width="18.85546875" customWidth="1"/>
    <col min="6918" max="6918" width="10.140625" customWidth="1"/>
    <col min="7171" max="7171" width="8.140625" customWidth="1"/>
    <col min="7172" max="7172" width="16" customWidth="1"/>
    <col min="7173" max="7173" width="18.85546875" customWidth="1"/>
    <col min="7174" max="7174" width="10.140625" customWidth="1"/>
    <col min="7427" max="7427" width="8.140625" customWidth="1"/>
    <col min="7428" max="7428" width="16" customWidth="1"/>
    <col min="7429" max="7429" width="18.85546875" customWidth="1"/>
    <col min="7430" max="7430" width="10.140625" customWidth="1"/>
    <col min="7683" max="7683" width="8.140625" customWidth="1"/>
    <col min="7684" max="7684" width="16" customWidth="1"/>
    <col min="7685" max="7685" width="18.85546875" customWidth="1"/>
    <col min="7686" max="7686" width="10.140625" customWidth="1"/>
    <col min="7939" max="7939" width="8.140625" customWidth="1"/>
    <col min="7940" max="7940" width="16" customWidth="1"/>
    <col min="7941" max="7941" width="18.85546875" customWidth="1"/>
    <col min="7942" max="7942" width="10.140625" customWidth="1"/>
    <col min="8195" max="8195" width="8.140625" customWidth="1"/>
    <col min="8196" max="8196" width="16" customWidth="1"/>
    <col min="8197" max="8197" width="18.85546875" customWidth="1"/>
    <col min="8198" max="8198" width="10.140625" customWidth="1"/>
    <col min="8451" max="8451" width="8.140625" customWidth="1"/>
    <col min="8452" max="8452" width="16" customWidth="1"/>
    <col min="8453" max="8453" width="18.85546875" customWidth="1"/>
    <col min="8454" max="8454" width="10.140625" customWidth="1"/>
    <col min="8707" max="8707" width="8.140625" customWidth="1"/>
    <col min="8708" max="8708" width="16" customWidth="1"/>
    <col min="8709" max="8709" width="18.85546875" customWidth="1"/>
    <col min="8710" max="8710" width="10.140625" customWidth="1"/>
    <col min="8963" max="8963" width="8.140625" customWidth="1"/>
    <col min="8964" max="8964" width="16" customWidth="1"/>
    <col min="8965" max="8965" width="18.85546875" customWidth="1"/>
    <col min="8966" max="8966" width="10.140625" customWidth="1"/>
    <col min="9219" max="9219" width="8.140625" customWidth="1"/>
    <col min="9220" max="9220" width="16" customWidth="1"/>
    <col min="9221" max="9221" width="18.85546875" customWidth="1"/>
    <col min="9222" max="9222" width="10.140625" customWidth="1"/>
    <col min="9475" max="9475" width="8.140625" customWidth="1"/>
    <col min="9476" max="9476" width="16" customWidth="1"/>
    <col min="9477" max="9477" width="18.85546875" customWidth="1"/>
    <col min="9478" max="9478" width="10.140625" customWidth="1"/>
    <col min="9731" max="9731" width="8.140625" customWidth="1"/>
    <col min="9732" max="9732" width="16" customWidth="1"/>
    <col min="9733" max="9733" width="18.85546875" customWidth="1"/>
    <col min="9734" max="9734" width="10.140625" customWidth="1"/>
    <col min="9987" max="9987" width="8.140625" customWidth="1"/>
    <col min="9988" max="9988" width="16" customWidth="1"/>
    <col min="9989" max="9989" width="18.85546875" customWidth="1"/>
    <col min="9990" max="9990" width="10.140625" customWidth="1"/>
    <col min="10243" max="10243" width="8.140625" customWidth="1"/>
    <col min="10244" max="10244" width="16" customWidth="1"/>
    <col min="10245" max="10245" width="18.85546875" customWidth="1"/>
    <col min="10246" max="10246" width="10.140625" customWidth="1"/>
    <col min="10499" max="10499" width="8.140625" customWidth="1"/>
    <col min="10500" max="10500" width="16" customWidth="1"/>
    <col min="10501" max="10501" width="18.85546875" customWidth="1"/>
    <col min="10502" max="10502" width="10.140625" customWidth="1"/>
    <col min="10755" max="10755" width="8.140625" customWidth="1"/>
    <col min="10756" max="10756" width="16" customWidth="1"/>
    <col min="10757" max="10757" width="18.85546875" customWidth="1"/>
    <col min="10758" max="10758" width="10.140625" customWidth="1"/>
    <col min="11011" max="11011" width="8.140625" customWidth="1"/>
    <col min="11012" max="11012" width="16" customWidth="1"/>
    <col min="11013" max="11013" width="18.85546875" customWidth="1"/>
    <col min="11014" max="11014" width="10.140625" customWidth="1"/>
    <col min="11267" max="11267" width="8.140625" customWidth="1"/>
    <col min="11268" max="11268" width="16" customWidth="1"/>
    <col min="11269" max="11269" width="18.85546875" customWidth="1"/>
    <col min="11270" max="11270" width="10.140625" customWidth="1"/>
    <col min="11523" max="11523" width="8.140625" customWidth="1"/>
    <col min="11524" max="11524" width="16" customWidth="1"/>
    <col min="11525" max="11525" width="18.85546875" customWidth="1"/>
    <col min="11526" max="11526" width="10.140625" customWidth="1"/>
    <col min="11779" max="11779" width="8.140625" customWidth="1"/>
    <col min="11780" max="11780" width="16" customWidth="1"/>
    <col min="11781" max="11781" width="18.85546875" customWidth="1"/>
    <col min="11782" max="11782" width="10.140625" customWidth="1"/>
    <col min="12035" max="12035" width="8.140625" customWidth="1"/>
    <col min="12036" max="12036" width="16" customWidth="1"/>
    <col min="12037" max="12037" width="18.85546875" customWidth="1"/>
    <col min="12038" max="12038" width="10.140625" customWidth="1"/>
    <col min="12291" max="12291" width="8.140625" customWidth="1"/>
    <col min="12292" max="12292" width="16" customWidth="1"/>
    <col min="12293" max="12293" width="18.85546875" customWidth="1"/>
    <col min="12294" max="12294" width="10.140625" customWidth="1"/>
    <col min="12547" max="12547" width="8.140625" customWidth="1"/>
    <col min="12548" max="12548" width="16" customWidth="1"/>
    <col min="12549" max="12549" width="18.85546875" customWidth="1"/>
    <col min="12550" max="12550" width="10.140625" customWidth="1"/>
    <col min="12803" max="12803" width="8.140625" customWidth="1"/>
    <col min="12804" max="12804" width="16" customWidth="1"/>
    <col min="12805" max="12805" width="18.85546875" customWidth="1"/>
    <col min="12806" max="12806" width="10.140625" customWidth="1"/>
    <col min="13059" max="13059" width="8.140625" customWidth="1"/>
    <col min="13060" max="13060" width="16" customWidth="1"/>
    <col min="13061" max="13061" width="18.85546875" customWidth="1"/>
    <col min="13062" max="13062" width="10.140625" customWidth="1"/>
    <col min="13315" max="13315" width="8.140625" customWidth="1"/>
    <col min="13316" max="13316" width="16" customWidth="1"/>
    <col min="13317" max="13317" width="18.85546875" customWidth="1"/>
    <col min="13318" max="13318" width="10.140625" customWidth="1"/>
    <col min="13571" max="13571" width="8.140625" customWidth="1"/>
    <col min="13572" max="13572" width="16" customWidth="1"/>
    <col min="13573" max="13573" width="18.85546875" customWidth="1"/>
    <col min="13574" max="13574" width="10.140625" customWidth="1"/>
    <col min="13827" max="13827" width="8.140625" customWidth="1"/>
    <col min="13828" max="13828" width="16" customWidth="1"/>
    <col min="13829" max="13829" width="18.85546875" customWidth="1"/>
    <col min="13830" max="13830" width="10.140625" customWidth="1"/>
    <col min="14083" max="14083" width="8.140625" customWidth="1"/>
    <col min="14084" max="14084" width="16" customWidth="1"/>
    <col min="14085" max="14085" width="18.85546875" customWidth="1"/>
    <col min="14086" max="14086" width="10.140625" customWidth="1"/>
    <col min="14339" max="14339" width="8.140625" customWidth="1"/>
    <col min="14340" max="14340" width="16" customWidth="1"/>
    <col min="14341" max="14341" width="18.85546875" customWidth="1"/>
    <col min="14342" max="14342" width="10.140625" customWidth="1"/>
    <col min="14595" max="14595" width="8.140625" customWidth="1"/>
    <col min="14596" max="14596" width="16" customWidth="1"/>
    <col min="14597" max="14597" width="18.85546875" customWidth="1"/>
    <col min="14598" max="14598" width="10.140625" customWidth="1"/>
    <col min="14851" max="14851" width="8.140625" customWidth="1"/>
    <col min="14852" max="14852" width="16" customWidth="1"/>
    <col min="14853" max="14853" width="18.85546875" customWidth="1"/>
    <col min="14854" max="14854" width="10.140625" customWidth="1"/>
    <col min="15107" max="15107" width="8.140625" customWidth="1"/>
    <col min="15108" max="15108" width="16" customWidth="1"/>
    <col min="15109" max="15109" width="18.85546875" customWidth="1"/>
    <col min="15110" max="15110" width="10.140625" customWidth="1"/>
    <col min="15363" max="15363" width="8.140625" customWidth="1"/>
    <col min="15364" max="15364" width="16" customWidth="1"/>
    <col min="15365" max="15365" width="18.85546875" customWidth="1"/>
    <col min="15366" max="15366" width="10.140625" customWidth="1"/>
    <col min="15619" max="15619" width="8.140625" customWidth="1"/>
    <col min="15620" max="15620" width="16" customWidth="1"/>
    <col min="15621" max="15621" width="18.85546875" customWidth="1"/>
    <col min="15622" max="15622" width="10.140625" customWidth="1"/>
    <col min="15875" max="15875" width="8.140625" customWidth="1"/>
    <col min="15876" max="15876" width="16" customWidth="1"/>
    <col min="15877" max="15877" width="18.85546875" customWidth="1"/>
    <col min="15878" max="15878" width="10.140625" customWidth="1"/>
    <col min="16131" max="16131" width="8.140625" customWidth="1"/>
    <col min="16132" max="16132" width="16" customWidth="1"/>
    <col min="16133" max="16133" width="18.85546875" customWidth="1"/>
    <col min="16134" max="16134" width="10.140625" customWidth="1"/>
  </cols>
  <sheetData>
    <row r="1" spans="1:8" ht="15.75" thickBot="1">
      <c r="B1" s="54" t="s">
        <v>113</v>
      </c>
      <c r="C1" s="55"/>
      <c r="D1" s="55"/>
      <c r="E1" s="55"/>
      <c r="F1" s="56"/>
      <c r="H1" s="57" t="s">
        <v>114</v>
      </c>
    </row>
    <row r="2" spans="1:8">
      <c r="B2" s="58"/>
      <c r="C2" s="58"/>
      <c r="D2" s="58"/>
      <c r="E2" s="58"/>
      <c r="F2" s="58"/>
    </row>
    <row r="3" spans="1:8">
      <c r="A3" s="59" t="s">
        <v>115</v>
      </c>
      <c r="B3" s="58"/>
      <c r="C3" s="58"/>
      <c r="D3" s="58"/>
      <c r="E3" s="60" t="str">
        <f>"                                                                                   - the regulator starts folding back its switching frequency (Vin min @ 2 MHz)"</f>
        <v xml:space="preserve">                                                                                   - the regulator starts folding back its switching frequency (Vin min @ 2 MHz)</v>
      </c>
    </row>
    <row r="4" spans="1:8">
      <c r="E4" s="58" t="str">
        <f xml:space="preserve"> "                                      - the regulator loses regulation (Vin min (loss of reg) )"</f>
        <v xml:space="preserve">                                      - the regulator loses regulation (Vin min (loss of reg) )</v>
      </c>
    </row>
    <row r="5" spans="1:8">
      <c r="B5" s="61" t="s">
        <v>116</v>
      </c>
      <c r="C5" s="62">
        <v>3.3</v>
      </c>
    </row>
    <row r="6" spans="1:8" ht="15.75" thickBot="1"/>
    <row r="7" spans="1:8" ht="15.75" thickBot="1">
      <c r="C7" s="63" t="s">
        <v>117</v>
      </c>
      <c r="D7" s="64" t="s">
        <v>118</v>
      </c>
      <c r="E7" s="65" t="s">
        <v>119</v>
      </c>
    </row>
    <row r="8" spans="1:8">
      <c r="C8" s="66">
        <v>0.1</v>
      </c>
      <c r="D8" s="67">
        <f t="shared" ref="D8:D16" si="0">0.55*$C8+(1/0.9)*$C$5</f>
        <v>3.7216666666666667</v>
      </c>
      <c r="E8" s="68">
        <f t="shared" ref="E8:E16" si="1">0.55*$C8+(1/0.965)*$C$5</f>
        <v>3.4746891191709848</v>
      </c>
    </row>
    <row r="9" spans="1:8">
      <c r="C9" s="69">
        <v>0.2</v>
      </c>
      <c r="D9" s="70">
        <f t="shared" si="0"/>
        <v>3.7766666666666664</v>
      </c>
      <c r="E9" s="71">
        <f t="shared" si="1"/>
        <v>3.5296891191709845</v>
      </c>
    </row>
    <row r="10" spans="1:8">
      <c r="C10" s="69">
        <v>0.5</v>
      </c>
      <c r="D10" s="70">
        <f t="shared" si="0"/>
        <v>3.9416666666666664</v>
      </c>
      <c r="E10" s="71">
        <f t="shared" si="1"/>
        <v>3.6946891191709845</v>
      </c>
    </row>
    <row r="11" spans="1:8">
      <c r="C11" s="69">
        <v>0.8</v>
      </c>
      <c r="D11" s="70">
        <f t="shared" si="0"/>
        <v>4.1066666666666665</v>
      </c>
      <c r="E11" s="71">
        <f t="shared" si="1"/>
        <v>3.8596891191709846</v>
      </c>
    </row>
    <row r="12" spans="1:8">
      <c r="C12" s="69">
        <v>1</v>
      </c>
      <c r="D12" s="70">
        <f t="shared" si="0"/>
        <v>4.2166666666666668</v>
      </c>
      <c r="E12" s="71">
        <f t="shared" si="1"/>
        <v>3.9696891191709849</v>
      </c>
    </row>
    <row r="13" spans="1:8">
      <c r="C13" s="69">
        <v>1.2</v>
      </c>
      <c r="D13" s="70">
        <f t="shared" si="0"/>
        <v>4.3266666666666662</v>
      </c>
      <c r="E13" s="71">
        <f t="shared" si="1"/>
        <v>4.0796891191709843</v>
      </c>
    </row>
    <row r="14" spans="1:8">
      <c r="C14" s="69">
        <v>1.5</v>
      </c>
      <c r="D14" s="70">
        <f t="shared" si="0"/>
        <v>4.4916666666666663</v>
      </c>
      <c r="E14" s="71">
        <f t="shared" si="1"/>
        <v>4.2446891191709843</v>
      </c>
    </row>
    <row r="15" spans="1:8">
      <c r="C15" s="69">
        <v>1.8</v>
      </c>
      <c r="D15" s="70">
        <f t="shared" si="0"/>
        <v>4.6566666666666663</v>
      </c>
      <c r="E15" s="71">
        <f t="shared" si="1"/>
        <v>4.4096891191709844</v>
      </c>
    </row>
    <row r="16" spans="1:8" ht="15.75" thickBot="1">
      <c r="C16" s="72">
        <v>2</v>
      </c>
      <c r="D16" s="73">
        <f t="shared" si="0"/>
        <v>4.7666666666666666</v>
      </c>
      <c r="E16" s="74">
        <f t="shared" si="1"/>
        <v>4.5196891191709847</v>
      </c>
    </row>
    <row r="17" spans="2:2">
      <c r="B17" t="s">
        <v>120</v>
      </c>
    </row>
  </sheetData>
  <sheetProtection password="F765" sheet="1" objects="1" scenarios="1" selectLockedCells="1"/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42</vt:i4>
      </vt:variant>
    </vt:vector>
  </HeadingPairs>
  <TitlesOfParts>
    <vt:vector size="45" baseType="lpstr">
      <vt:lpstr>Design tool</vt:lpstr>
      <vt:lpstr>Typ Max load Thermal results</vt:lpstr>
      <vt:lpstr>Minimum Vin</vt:lpstr>
      <vt:lpstr>Cesr</vt:lpstr>
      <vt:lpstr>com_c1</vt:lpstr>
      <vt:lpstr>comp_C1</vt:lpstr>
      <vt:lpstr>comp_C2</vt:lpstr>
      <vt:lpstr>comp_R2</vt:lpstr>
      <vt:lpstr>Cout</vt:lpstr>
      <vt:lpstr>D</vt:lpstr>
      <vt:lpstr>D_</vt:lpstr>
      <vt:lpstr>Dmax</vt:lpstr>
      <vt:lpstr>Enter_Values</vt:lpstr>
      <vt:lpstr>Fsw</vt:lpstr>
      <vt:lpstr>FswMax</vt:lpstr>
      <vt:lpstr>FswNom</vt:lpstr>
      <vt:lpstr>gm</vt:lpstr>
      <vt:lpstr>Iout</vt:lpstr>
      <vt:lpstr>Iq</vt:lpstr>
      <vt:lpstr>L</vt:lpstr>
      <vt:lpstr>LDOLoad</vt:lpstr>
      <vt:lpstr>LoadRef</vt:lpstr>
      <vt:lpstr>mc</vt:lpstr>
      <vt:lpstr>OutCur</vt:lpstr>
      <vt:lpstr>R0</vt:lpstr>
      <vt:lpstr>Rdson1p2A</vt:lpstr>
      <vt:lpstr>Rout</vt:lpstr>
      <vt:lpstr>Rout_</vt:lpstr>
      <vt:lpstr>Rthetaja</vt:lpstr>
      <vt:lpstr>sssss</vt:lpstr>
      <vt:lpstr>SWscaling</vt:lpstr>
      <vt:lpstr>SWscaling3</vt:lpstr>
      <vt:lpstr>t1ref</vt:lpstr>
      <vt:lpstr>t2ref</vt:lpstr>
      <vt:lpstr>t3ref</vt:lpstr>
      <vt:lpstr>t4ref</vt:lpstr>
      <vt:lpstr>Tsw_</vt:lpstr>
      <vt:lpstr>UseLDO</vt:lpstr>
      <vt:lpstr>Vdiode</vt:lpstr>
      <vt:lpstr>Vinref</vt:lpstr>
      <vt:lpstr>Vout</vt:lpstr>
      <vt:lpstr>Vout_</vt:lpstr>
      <vt:lpstr>wp1e</vt:lpstr>
      <vt:lpstr>wp2e</vt:lpstr>
      <vt:lpstr>wz2e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Bochuan Liu</dc:creator>
  <cp:lastModifiedBy>Bochuan Liu</cp:lastModifiedBy>
  <dcterms:created xsi:type="dcterms:W3CDTF">2014-08-04T21:40:23Z</dcterms:created>
  <dcterms:modified xsi:type="dcterms:W3CDTF">2014-11-21T16:51:53Z</dcterms:modified>
</cp:coreProperties>
</file>