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fy7pn.ONSEMI\Documents\Datasheets\ON\automotive\PWM\NCV898031\iMIT\"/>
    </mc:Choice>
  </mc:AlternateContent>
  <workbookProtection workbookPassword="F725" lockStructure="1"/>
  <bookViews>
    <workbookView xWindow="240" yWindow="105" windowWidth="14805" windowHeight="8010"/>
  </bookViews>
  <sheets>
    <sheet name="1. Introduction" sheetId="1" r:id="rId1"/>
    <sheet name="2. Design Parameters" sheetId="2" r:id="rId2"/>
    <sheet name="3. Feedback Resistors" sheetId="3" r:id="rId3"/>
    <sheet name="4. Boost Inductor" sheetId="4" r:id="rId4"/>
    <sheet name="5. Current Sense Resistor" sheetId="5" r:id="rId5"/>
    <sheet name="6. Output Capacitors" sheetId="6" r:id="rId6"/>
    <sheet name="Input Capacitor" sheetId="7" state="hidden" r:id="rId7"/>
    <sheet name="7. Diode" sheetId="8" r:id="rId8"/>
    <sheet name="8. MOSFET" sheetId="9" r:id="rId9"/>
    <sheet name="9. Loop Compensation" sheetId="10" r:id="rId10"/>
    <sheet name="Design Information" sheetId="11" state="hidden" r:id="rId11"/>
    <sheet name="Calculations" sheetId="12" state="hidden" r:id="rId12"/>
  </sheets>
  <definedNames>
    <definedName name="C0">'9. Loop Compensation'!$T$15</definedName>
    <definedName name="comp_C1">'9. Loop Compensation'!$T$23</definedName>
    <definedName name="comp_C2">'9. Loop Compensation'!$T$24</definedName>
    <definedName name="comp_R2">'9. Loop Compensation'!$B$8</definedName>
    <definedName name="Dconv_max">Calculations!$D$2</definedName>
    <definedName name="Dmax_min">'2. Design Parameters'!$B$8</definedName>
    <definedName name="Dmax_nom">'2. Design Parameters'!$C$8</definedName>
    <definedName name="Fsw_max">'2. Design Parameters'!$D$6</definedName>
    <definedName name="Fsw_min">'2. Design Parameters'!$B$6</definedName>
    <definedName name="Fsw_nom">'2. Design Parameters'!$C$6</definedName>
    <definedName name="gm">'9. Loop Compensation'!$T$18</definedName>
    <definedName name="IavgL">'4. Boost Inductor'!$B$3</definedName>
    <definedName name="Ioutmax">'2. Design Parameters'!$D$5</definedName>
    <definedName name="IPeakL">'4. Boost Inductor'!$E$3</definedName>
    <definedName name="Iripple">'4. Boost Inductor'!$B$8</definedName>
    <definedName name="IrmsL">'4. Boost Inductor'!$E$2</definedName>
    <definedName name="Lo">'4. Boost Inductor'!$B$11</definedName>
    <definedName name="R0">'9. Loop Compensation'!$T$16</definedName>
    <definedName name="Rlower">'3. Feedback Resistors'!$D$8</definedName>
    <definedName name="Rotaesd">'9. Loop Compensation'!$T$17</definedName>
    <definedName name="Rout">'9. Loop Compensation'!$T$6</definedName>
    <definedName name="Rupper">'3. Feedback Resistors'!$D$7</definedName>
    <definedName name="SC_nom">'2. Design Parameters'!$C$7</definedName>
    <definedName name="Tsw">Calculations!$C$3</definedName>
    <definedName name="vcl_max">'2. Design Parameters'!$D$10</definedName>
    <definedName name="vcl_min">'2. Design Parameters'!$B$10</definedName>
    <definedName name="vcl_nom">'2. Design Parameters'!$C$10</definedName>
    <definedName name="Vdrv_nom">'2. Design Parameters'!$C$9</definedName>
    <definedName name="Vf">'7. Diode'!$B$1</definedName>
    <definedName name="Vin_max">'2. Design Parameters'!$D$3</definedName>
    <definedName name="Vin_min">'2. Design Parameters'!$B$3</definedName>
    <definedName name="Vin_nominal">'2. Design Parameters'!$C$3</definedName>
    <definedName name="Vout">'2. Design Parameters'!$C$4</definedName>
    <definedName name="wp1e">'9. Loop Compensation'!$T$21</definedName>
    <definedName name="wp2e">'9. Loop Compensation'!$T$22</definedName>
    <definedName name="wz1e">'9. Loop Compensation'!$T$19</definedName>
    <definedName name="wz2e">'9. Loop Compensation'!$T$20</definedName>
  </definedNames>
  <calcPr calcId="152511"/>
  <customWorkbookViews>
    <customWorkbookView name="ffx7zn - Personal View" guid="{25ED444C-8CCE-464F-9E26-1EDA12EA830D}" mergeInterval="0" personalView="1" maximized="1" xWindow="1" yWindow="1" windowWidth="1481" windowHeight="85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9" l="1"/>
  <c r="T24" i="10"/>
  <c r="T23" i="10"/>
  <c r="T20" i="10" s="1"/>
  <c r="T16" i="10"/>
  <c r="T15" i="10"/>
  <c r="E4" i="10"/>
  <c r="B14" i="10"/>
  <c r="B13" i="10"/>
  <c r="B12" i="10"/>
  <c r="D8" i="3"/>
  <c r="D7" i="3"/>
  <c r="Z3" i="10"/>
  <c r="AA3" i="10" s="1"/>
  <c r="Z4" i="10"/>
  <c r="AA4" i="10" s="1"/>
  <c r="Z5" i="10"/>
  <c r="AA5" i="10" s="1"/>
  <c r="Z6" i="10"/>
  <c r="AA6" i="10" s="1"/>
  <c r="Z7" i="10"/>
  <c r="AA7" i="10" s="1"/>
  <c r="Z8" i="10"/>
  <c r="AA8" i="10" s="1"/>
  <c r="Z9" i="10"/>
  <c r="AA9" i="10" s="1"/>
  <c r="Z10" i="10"/>
  <c r="AA10" i="10" s="1"/>
  <c r="Z11" i="10"/>
  <c r="AA11" i="10" s="1"/>
  <c r="Z12" i="10"/>
  <c r="AA12" i="10" s="1"/>
  <c r="Z13" i="10"/>
  <c r="AA13" i="10" s="1"/>
  <c r="Z14" i="10"/>
  <c r="AA14" i="10" s="1"/>
  <c r="Z15" i="10"/>
  <c r="AA15" i="10" s="1"/>
  <c r="Z16" i="10"/>
  <c r="AA16" i="10" s="1"/>
  <c r="Z17" i="10"/>
  <c r="AA17" i="10" s="1"/>
  <c r="Z18" i="10"/>
  <c r="AA18" i="10" s="1"/>
  <c r="Z19" i="10"/>
  <c r="AA19" i="10" s="1"/>
  <c r="Z20" i="10"/>
  <c r="AA20" i="10" s="1"/>
  <c r="Z21" i="10"/>
  <c r="AA21" i="10" s="1"/>
  <c r="Z22" i="10"/>
  <c r="AA22" i="10" s="1"/>
  <c r="Z23" i="10"/>
  <c r="AA23" i="10" s="1"/>
  <c r="Z24" i="10"/>
  <c r="AA24" i="10" s="1"/>
  <c r="Z25" i="10"/>
  <c r="AA25" i="10" s="1"/>
  <c r="Z26" i="10"/>
  <c r="AA26" i="10" s="1"/>
  <c r="Z27" i="10"/>
  <c r="AA27" i="10" s="1"/>
  <c r="Z28" i="10"/>
  <c r="AA28" i="10" s="1"/>
  <c r="Z29" i="10"/>
  <c r="AA29" i="10" s="1"/>
  <c r="Z30" i="10"/>
  <c r="AA30" i="10" s="1"/>
  <c r="Z31" i="10"/>
  <c r="AA31" i="10" s="1"/>
  <c r="Z32" i="10"/>
  <c r="AA32" i="10" s="1"/>
  <c r="Z33" i="10"/>
  <c r="AA33" i="10" s="1"/>
  <c r="Z34" i="10"/>
  <c r="AA34" i="10" s="1"/>
  <c r="Z35" i="10"/>
  <c r="AA35" i="10" s="1"/>
  <c r="Z36" i="10"/>
  <c r="AA36" i="10" s="1"/>
  <c r="Z37" i="10"/>
  <c r="AA37" i="10" s="1"/>
  <c r="Z38" i="10"/>
  <c r="AA38" i="10" s="1"/>
  <c r="Z39" i="10"/>
  <c r="AA39" i="10" s="1"/>
  <c r="Z40" i="10"/>
  <c r="AA40" i="10" s="1"/>
  <c r="Z41" i="10"/>
  <c r="AA41" i="10" s="1"/>
  <c r="Z42" i="10"/>
  <c r="AA42" i="10" s="1"/>
  <c r="Z43" i="10"/>
  <c r="AA43" i="10" s="1"/>
  <c r="Z44" i="10"/>
  <c r="AA44" i="10" s="1"/>
  <c r="Z45" i="10"/>
  <c r="AA45" i="10" s="1"/>
  <c r="Z46" i="10"/>
  <c r="AA46" i="10" s="1"/>
  <c r="Z47" i="10"/>
  <c r="AA47" i="10" s="1"/>
  <c r="Z48" i="10"/>
  <c r="AA48" i="10" s="1"/>
  <c r="Z49" i="10"/>
  <c r="AA49" i="10" s="1"/>
  <c r="Z50" i="10"/>
  <c r="AA50" i="10" s="1"/>
  <c r="Z51" i="10"/>
  <c r="AA51" i="10" s="1"/>
  <c r="Z52" i="10"/>
  <c r="AA52" i="10" s="1"/>
  <c r="Z53" i="10"/>
  <c r="AA53" i="10" s="1"/>
  <c r="Z54" i="10"/>
  <c r="AA54" i="10" s="1"/>
  <c r="Z55" i="10"/>
  <c r="AA55" i="10" s="1"/>
  <c r="Z56" i="10"/>
  <c r="AA56" i="10" s="1"/>
  <c r="Z57" i="10"/>
  <c r="AA57" i="10" s="1"/>
  <c r="Z58" i="10"/>
  <c r="AA58" i="10" s="1"/>
  <c r="Z59" i="10"/>
  <c r="AA59" i="10" s="1"/>
  <c r="Z60" i="10"/>
  <c r="AA60" i="10" s="1"/>
  <c r="Z61" i="10"/>
  <c r="AA61" i="10" s="1"/>
  <c r="Z62" i="10"/>
  <c r="AA62" i="10" s="1"/>
  <c r="Z63" i="10"/>
  <c r="AA63" i="10" s="1"/>
  <c r="Z64" i="10"/>
  <c r="AA64" i="10" s="1"/>
  <c r="Z65" i="10"/>
  <c r="AA65" i="10" s="1"/>
  <c r="Z66" i="10"/>
  <c r="AA66" i="10" s="1"/>
  <c r="Z67" i="10"/>
  <c r="AA67" i="10" s="1"/>
  <c r="Z68" i="10"/>
  <c r="AA68" i="10" s="1"/>
  <c r="Z69" i="10"/>
  <c r="AA69" i="10" s="1"/>
  <c r="Z70" i="10"/>
  <c r="AA70" i="10" s="1"/>
  <c r="Z71" i="10"/>
  <c r="AA71" i="10" s="1"/>
  <c r="Z72" i="10"/>
  <c r="AA72" i="10" s="1"/>
  <c r="Z73" i="10"/>
  <c r="AA73" i="10" s="1"/>
  <c r="Z74" i="10"/>
  <c r="AA74" i="10" s="1"/>
  <c r="Z75" i="10"/>
  <c r="AA75" i="10" s="1"/>
  <c r="Z76" i="10"/>
  <c r="AA76" i="10" s="1"/>
  <c r="Z77" i="10"/>
  <c r="AA77" i="10" s="1"/>
  <c r="Z78" i="10"/>
  <c r="AA78" i="10" s="1"/>
  <c r="Z79" i="10"/>
  <c r="AA79" i="10" s="1"/>
  <c r="Z80" i="10"/>
  <c r="AA80" i="10" s="1"/>
  <c r="Z81" i="10"/>
  <c r="AA81" i="10" s="1"/>
  <c r="Z82" i="10"/>
  <c r="AA82" i="10" s="1"/>
  <c r="Z83" i="10"/>
  <c r="AA83" i="10" s="1"/>
  <c r="Z84" i="10"/>
  <c r="AA84" i="10" s="1"/>
  <c r="Z85" i="10"/>
  <c r="AA85" i="10" s="1"/>
  <c r="Z86" i="10"/>
  <c r="AA86" i="10" s="1"/>
  <c r="Z87" i="10"/>
  <c r="AA87" i="10" s="1"/>
  <c r="Z88" i="10"/>
  <c r="AA88" i="10" s="1"/>
  <c r="Z89" i="10"/>
  <c r="AA89" i="10" s="1"/>
  <c r="Z90" i="10"/>
  <c r="AA90" i="10" s="1"/>
  <c r="Z91" i="10"/>
  <c r="AA91" i="10" s="1"/>
  <c r="Z92" i="10"/>
  <c r="AA92" i="10" s="1"/>
  <c r="Z93" i="10"/>
  <c r="AA93" i="10" s="1"/>
  <c r="Z94" i="10"/>
  <c r="AA94" i="10" s="1"/>
  <c r="Z95" i="10"/>
  <c r="AA95" i="10" s="1"/>
  <c r="Z96" i="10"/>
  <c r="AA96" i="10" s="1"/>
  <c r="Z97" i="10"/>
  <c r="AA97" i="10" s="1"/>
  <c r="Z98" i="10"/>
  <c r="AA98" i="10" s="1"/>
  <c r="Z99" i="10"/>
  <c r="AA99" i="10" s="1"/>
  <c r="Z100" i="10"/>
  <c r="AA100" i="10" s="1"/>
  <c r="Z101" i="10"/>
  <c r="AA101" i="10" s="1"/>
  <c r="Z102" i="10"/>
  <c r="AA102" i="10" s="1"/>
  <c r="Z103" i="10"/>
  <c r="AA103" i="10" s="1"/>
  <c r="Z104" i="10"/>
  <c r="AA104" i="10" s="1"/>
  <c r="Z105" i="10"/>
  <c r="AA105" i="10" s="1"/>
  <c r="Z106" i="10"/>
  <c r="AA106" i="10" s="1"/>
  <c r="Z107" i="10"/>
  <c r="AA107" i="10" s="1"/>
  <c r="Z108" i="10"/>
  <c r="AA108" i="10" s="1"/>
  <c r="Z109" i="10"/>
  <c r="AA109" i="10" s="1"/>
  <c r="Z110" i="10"/>
  <c r="AA110" i="10" s="1"/>
  <c r="Z111" i="10"/>
  <c r="AA111" i="10" s="1"/>
  <c r="Z112" i="10"/>
  <c r="AA112" i="10" s="1"/>
  <c r="Z113" i="10"/>
  <c r="AA113" i="10" s="1"/>
  <c r="Z114" i="10"/>
  <c r="AA114" i="10" s="1"/>
  <c r="Z115" i="10"/>
  <c r="AA115" i="10" s="1"/>
  <c r="Z116" i="10"/>
  <c r="AA116" i="10" s="1"/>
  <c r="Z117" i="10"/>
  <c r="AA117" i="10" s="1"/>
  <c r="Z118" i="10"/>
  <c r="AA118" i="10" s="1"/>
  <c r="Z119" i="10"/>
  <c r="AA119" i="10" s="1"/>
  <c r="Z120" i="10"/>
  <c r="AA120" i="10" s="1"/>
  <c r="Z121" i="10"/>
  <c r="AA121" i="10" s="1"/>
  <c r="Z122" i="10"/>
  <c r="AA122" i="10" s="1"/>
  <c r="Z123" i="10"/>
  <c r="AA123" i="10" s="1"/>
  <c r="Z124" i="10"/>
  <c r="AA124" i="10" s="1"/>
  <c r="Z125" i="10"/>
  <c r="AA125" i="10" s="1"/>
  <c r="Z126" i="10"/>
  <c r="AA126" i="10" s="1"/>
  <c r="Z127" i="10"/>
  <c r="AA127" i="10" s="1"/>
  <c r="Z128" i="10"/>
  <c r="AA128" i="10" s="1"/>
  <c r="Z129" i="10"/>
  <c r="AA129" i="10" s="1"/>
  <c r="Z130" i="10"/>
  <c r="AA130" i="10" s="1"/>
  <c r="Z131" i="10"/>
  <c r="AA131" i="10" s="1"/>
  <c r="Z132" i="10"/>
  <c r="AA132" i="10" s="1"/>
  <c r="Z133" i="10"/>
  <c r="AA133" i="10" s="1"/>
  <c r="Z134" i="10"/>
  <c r="AA134" i="10" s="1"/>
  <c r="Z135" i="10"/>
  <c r="AA135" i="10" s="1"/>
  <c r="Z136" i="10"/>
  <c r="AA136" i="10" s="1"/>
  <c r="Z137" i="10"/>
  <c r="AA137" i="10" s="1"/>
  <c r="Z138" i="10"/>
  <c r="AA138" i="10" s="1"/>
  <c r="Z139" i="10"/>
  <c r="AA139" i="10" s="1"/>
  <c r="Z140" i="10"/>
  <c r="AA140" i="10" s="1"/>
  <c r="Z141" i="10"/>
  <c r="AA141" i="10" s="1"/>
  <c r="Z142" i="10"/>
  <c r="AA142" i="10" s="1"/>
  <c r="Z143" i="10"/>
  <c r="AA143" i="10" s="1"/>
  <c r="Z144" i="10"/>
  <c r="AA144" i="10" s="1"/>
  <c r="Z145" i="10"/>
  <c r="AA145" i="10" s="1"/>
  <c r="Z146" i="10"/>
  <c r="AA146" i="10" s="1"/>
  <c r="Z147" i="10"/>
  <c r="AA147" i="10" s="1"/>
  <c r="Z148" i="10"/>
  <c r="AA148" i="10" s="1"/>
  <c r="Z149" i="10"/>
  <c r="AA149" i="10" s="1"/>
  <c r="Z150" i="10"/>
  <c r="AA150" i="10" s="1"/>
  <c r="Z151" i="10"/>
  <c r="AA151" i="10" s="1"/>
  <c r="Z152" i="10"/>
  <c r="AA152" i="10" s="1"/>
  <c r="Z153" i="10"/>
  <c r="AA153" i="10" s="1"/>
  <c r="Z154" i="10"/>
  <c r="AA154" i="10" s="1"/>
  <c r="Z155" i="10"/>
  <c r="AA155" i="10" s="1"/>
  <c r="Z156" i="10"/>
  <c r="AA156" i="10" s="1"/>
  <c r="Z157" i="10"/>
  <c r="AA157" i="10" s="1"/>
  <c r="Z158" i="10"/>
  <c r="AA158" i="10" s="1"/>
  <c r="Z159" i="10"/>
  <c r="AA159" i="10" s="1"/>
  <c r="Z160" i="10"/>
  <c r="AA160" i="10" s="1"/>
  <c r="Z161" i="10"/>
  <c r="AA161" i="10" s="1"/>
  <c r="Z162" i="10"/>
  <c r="AA162" i="10" s="1"/>
  <c r="Z163" i="10"/>
  <c r="AA163" i="10" s="1"/>
  <c r="Z164" i="10"/>
  <c r="AA164" i="10" s="1"/>
  <c r="Z165" i="10"/>
  <c r="AA165" i="10" s="1"/>
  <c r="Z166" i="10"/>
  <c r="AA166" i="10" s="1"/>
  <c r="Z167" i="10"/>
  <c r="AA167" i="10" s="1"/>
  <c r="Z168" i="10"/>
  <c r="AA168" i="10" s="1"/>
  <c r="Z169" i="10"/>
  <c r="AA169" i="10" s="1"/>
  <c r="Z170" i="10"/>
  <c r="AA170" i="10" s="1"/>
  <c r="Z171" i="10"/>
  <c r="AA171" i="10" s="1"/>
  <c r="Z172" i="10"/>
  <c r="AA172" i="10" s="1"/>
  <c r="Z173" i="10"/>
  <c r="AA173" i="10" s="1"/>
  <c r="Z174" i="10"/>
  <c r="AA174" i="10" s="1"/>
  <c r="Z175" i="10"/>
  <c r="AA175" i="10" s="1"/>
  <c r="Z176" i="10"/>
  <c r="AA176" i="10" s="1"/>
  <c r="Z177" i="10"/>
  <c r="AA177" i="10" s="1"/>
  <c r="Z178" i="10"/>
  <c r="AA178" i="10" s="1"/>
  <c r="Z179" i="10"/>
  <c r="AA179" i="10" s="1"/>
  <c r="Z180" i="10"/>
  <c r="AA180" i="10" s="1"/>
  <c r="Z181" i="10"/>
  <c r="AA181" i="10" s="1"/>
  <c r="Z182" i="10"/>
  <c r="AA182" i="10" s="1"/>
  <c r="Z183" i="10"/>
  <c r="AA183" i="10" s="1"/>
  <c r="Z184" i="10"/>
  <c r="AA184" i="10" s="1"/>
  <c r="Z185" i="10"/>
  <c r="AA185" i="10" s="1"/>
  <c r="Z186" i="10"/>
  <c r="AA186" i="10" s="1"/>
  <c r="Z187" i="10"/>
  <c r="AA187" i="10" s="1"/>
  <c r="Z188" i="10"/>
  <c r="AA188" i="10" s="1"/>
  <c r="Z189" i="10"/>
  <c r="AA189" i="10" s="1"/>
  <c r="Z190" i="10"/>
  <c r="AA190" i="10" s="1"/>
  <c r="Z191" i="10"/>
  <c r="AA191" i="10" s="1"/>
  <c r="Z192" i="10"/>
  <c r="AA192" i="10" s="1"/>
  <c r="Z193" i="10"/>
  <c r="AA193" i="10" s="1"/>
  <c r="Z194" i="10"/>
  <c r="AA194" i="10" s="1"/>
  <c r="Z195" i="10"/>
  <c r="AA195" i="10" s="1"/>
  <c r="Z196" i="10"/>
  <c r="AA196" i="10" s="1"/>
  <c r="Z197" i="10"/>
  <c r="AA197" i="10" s="1"/>
  <c r="Z198" i="10"/>
  <c r="AA198" i="10" s="1"/>
  <c r="Z199" i="10"/>
  <c r="AA199" i="10" s="1"/>
  <c r="Z200" i="10"/>
  <c r="AA200" i="10" s="1"/>
  <c r="Z201" i="10"/>
  <c r="AA201" i="10" s="1"/>
  <c r="Z202" i="10"/>
  <c r="AA202" i="10" s="1"/>
  <c r="Z2" i="10"/>
  <c r="AA2" i="10" s="1"/>
  <c r="C3" i="12"/>
  <c r="B3" i="8"/>
  <c r="B5" i="8" s="1"/>
  <c r="B2" i="8"/>
  <c r="B3" i="9"/>
  <c r="B4" i="6"/>
  <c r="C15" i="6"/>
  <c r="C14" i="6"/>
  <c r="B7" i="5"/>
  <c r="B6" i="5"/>
  <c r="D2" i="12"/>
  <c r="F8" i="2" s="1"/>
  <c r="B2" i="12"/>
  <c r="C2" i="12"/>
  <c r="B11" i="5"/>
  <c r="T7" i="10" s="1"/>
  <c r="B4" i="5"/>
  <c r="B3" i="4"/>
  <c r="B5" i="4" s="1"/>
  <c r="B8" i="4"/>
  <c r="B11" i="4"/>
  <c r="T4" i="10" s="1"/>
  <c r="B6" i="4"/>
  <c r="T2" i="10"/>
  <c r="W1" i="10" s="1"/>
  <c r="A8" i="3"/>
  <c r="B10" i="3"/>
  <c r="A9" i="3"/>
  <c r="B8" i="3"/>
  <c r="A7" i="3"/>
  <c r="T6" i="10"/>
  <c r="T3" i="10"/>
  <c r="T1" i="10"/>
  <c r="T19" i="10" l="1"/>
  <c r="T21" i="10"/>
  <c r="AK2" i="10"/>
  <c r="T22" i="10"/>
  <c r="AM16" i="10" s="1"/>
  <c r="W3" i="10"/>
  <c r="B5" i="6"/>
  <c r="B6" i="9"/>
  <c r="B6" i="6"/>
  <c r="E3" i="4"/>
  <c r="E2" i="4"/>
  <c r="D8" i="4"/>
  <c r="T5" i="10"/>
  <c r="AC188" i="10" s="1"/>
  <c r="W4" i="10"/>
  <c r="AB2" i="10"/>
  <c r="AL157" i="10" l="1"/>
  <c r="AL27" i="10"/>
  <c r="AL65" i="10"/>
  <c r="AL82" i="10"/>
  <c r="AL161" i="10"/>
  <c r="AL137" i="10"/>
  <c r="AL88" i="10"/>
  <c r="AL178" i="10"/>
  <c r="AL123" i="10"/>
  <c r="AL75" i="10"/>
  <c r="AL11" i="10"/>
  <c r="AL148" i="10"/>
  <c r="AL136" i="10"/>
  <c r="AL71" i="10"/>
  <c r="AL171" i="10"/>
  <c r="AL114" i="10"/>
  <c r="AL50" i="10"/>
  <c r="AL189" i="10"/>
  <c r="AL200" i="10"/>
  <c r="AL120" i="10"/>
  <c r="AL153" i="10"/>
  <c r="AL91" i="10"/>
  <c r="AL43" i="10"/>
  <c r="AL180" i="10"/>
  <c r="AL168" i="10"/>
  <c r="AL198" i="10"/>
  <c r="AL187" i="10"/>
  <c r="AL146" i="10"/>
  <c r="AL107" i="10"/>
  <c r="AL59" i="10"/>
  <c r="AL18" i="10"/>
  <c r="AL173" i="10"/>
  <c r="AL184" i="10"/>
  <c r="AL129" i="10"/>
  <c r="AL49" i="10"/>
  <c r="AL194" i="10"/>
  <c r="AL162" i="10"/>
  <c r="AL130" i="10"/>
  <c r="AL98" i="10"/>
  <c r="AL66" i="10"/>
  <c r="AL34" i="10"/>
  <c r="AL196" i="10"/>
  <c r="AL164" i="10"/>
  <c r="AL193" i="10"/>
  <c r="AL152" i="10"/>
  <c r="AL97" i="10"/>
  <c r="AL33" i="10"/>
  <c r="AL72" i="10"/>
  <c r="AL177" i="10"/>
  <c r="AL113" i="10"/>
  <c r="AL8" i="10"/>
  <c r="AL104" i="10"/>
  <c r="AL183" i="10"/>
  <c r="AL151" i="10"/>
  <c r="AL145" i="10"/>
  <c r="AL199" i="10"/>
  <c r="AL40" i="10"/>
  <c r="AL142" i="10"/>
  <c r="AL135" i="10"/>
  <c r="AL17" i="10"/>
  <c r="AL110" i="10"/>
  <c r="AL81" i="10"/>
  <c r="AL167" i="10"/>
  <c r="AL56" i="10"/>
  <c r="AL190" i="10"/>
  <c r="AL119" i="10"/>
  <c r="AL174" i="10"/>
  <c r="AL103" i="10"/>
  <c r="AL24" i="10"/>
  <c r="AL158" i="10"/>
  <c r="AL39" i="10"/>
  <c r="AL87" i="10"/>
  <c r="AL78" i="10"/>
  <c r="AL23" i="10"/>
  <c r="AL126" i="10"/>
  <c r="AL62" i="10"/>
  <c r="AL55" i="10"/>
  <c r="AL94" i="10"/>
  <c r="AL7" i="10"/>
  <c r="AM149" i="10"/>
  <c r="AC40" i="10"/>
  <c r="AM156" i="10"/>
  <c r="AM142" i="10"/>
  <c r="AL46" i="10"/>
  <c r="AL30" i="10"/>
  <c r="AL14" i="10"/>
  <c r="AL2" i="10"/>
  <c r="AL29" i="10"/>
  <c r="AL93" i="10"/>
  <c r="AL201" i="10"/>
  <c r="AL84" i="10"/>
  <c r="AL20" i="10"/>
  <c r="AL47" i="10"/>
  <c r="AL111" i="10"/>
  <c r="AL22" i="10"/>
  <c r="AL86" i="10"/>
  <c r="AL185" i="10"/>
  <c r="AL169" i="10"/>
  <c r="AL155" i="10"/>
  <c r="AL144" i="10"/>
  <c r="AM135" i="10"/>
  <c r="AL121" i="10"/>
  <c r="AL105" i="10"/>
  <c r="AL89" i="10"/>
  <c r="AL73" i="10"/>
  <c r="AL57" i="10"/>
  <c r="AL41" i="10"/>
  <c r="AL25" i="10"/>
  <c r="AL9" i="10"/>
  <c r="AL182" i="10"/>
  <c r="AL166" i="10"/>
  <c r="AL150" i="10"/>
  <c r="AL195" i="10"/>
  <c r="AL179" i="10"/>
  <c r="AL163" i="10"/>
  <c r="AL147" i="10"/>
  <c r="AL131" i="10"/>
  <c r="AL115" i="10"/>
  <c r="AL99" i="10"/>
  <c r="AL83" i="10"/>
  <c r="AL67" i="10"/>
  <c r="AL51" i="10"/>
  <c r="AL35" i="10"/>
  <c r="AL19" i="10"/>
  <c r="AL3" i="10"/>
  <c r="AL188" i="10"/>
  <c r="AL172" i="10"/>
  <c r="AL156" i="10"/>
  <c r="AL140" i="10"/>
  <c r="AL124" i="10"/>
  <c r="AL108" i="10"/>
  <c r="AL92" i="10"/>
  <c r="AL76" i="10"/>
  <c r="AL60" i="10"/>
  <c r="AL44" i="10"/>
  <c r="AL28" i="10"/>
  <c r="AL12" i="10"/>
  <c r="AL45" i="10"/>
  <c r="AL109" i="10"/>
  <c r="AL132" i="10"/>
  <c r="AL68" i="10"/>
  <c r="AL4" i="10"/>
  <c r="AL63" i="10"/>
  <c r="AL127" i="10"/>
  <c r="AL38" i="10"/>
  <c r="AL102" i="10"/>
  <c r="AL61" i="10"/>
  <c r="AL125" i="10"/>
  <c r="AL116" i="10"/>
  <c r="AL52" i="10"/>
  <c r="AL15" i="10"/>
  <c r="AL79" i="10"/>
  <c r="AL143" i="10"/>
  <c r="AL54" i="10"/>
  <c r="AL118" i="10"/>
  <c r="AL192" i="10"/>
  <c r="AL176" i="10"/>
  <c r="AL160" i="10"/>
  <c r="AL139" i="10"/>
  <c r="AL128" i="10"/>
  <c r="AL112" i="10"/>
  <c r="AL96" i="10"/>
  <c r="AL80" i="10"/>
  <c r="AL64" i="10"/>
  <c r="AL48" i="10"/>
  <c r="AL32" i="10"/>
  <c r="AL16" i="10"/>
  <c r="AN16" i="10" s="1"/>
  <c r="AO16" i="10" s="1"/>
  <c r="AR16" i="10" s="1"/>
  <c r="AL191" i="10"/>
  <c r="AL175" i="10"/>
  <c r="AL159" i="10"/>
  <c r="AL202" i="10"/>
  <c r="AL186" i="10"/>
  <c r="AL170" i="10"/>
  <c r="AL154" i="10"/>
  <c r="AL138" i="10"/>
  <c r="AL122" i="10"/>
  <c r="AL106" i="10"/>
  <c r="AL90" i="10"/>
  <c r="AL74" i="10"/>
  <c r="AL58" i="10"/>
  <c r="AL42" i="10"/>
  <c r="AL26" i="10"/>
  <c r="AL10" i="10"/>
  <c r="AL197" i="10"/>
  <c r="AL181" i="10"/>
  <c r="AL165" i="10"/>
  <c r="AL149" i="10"/>
  <c r="AL133" i="10"/>
  <c r="AL117" i="10"/>
  <c r="AL101" i="10"/>
  <c r="AL85" i="10"/>
  <c r="AL69" i="10"/>
  <c r="AL53" i="10"/>
  <c r="AL37" i="10"/>
  <c r="AL21" i="10"/>
  <c r="AL5" i="10"/>
  <c r="AL13" i="10"/>
  <c r="AL77" i="10"/>
  <c r="AL141" i="10"/>
  <c r="AL100" i="10"/>
  <c r="AL36" i="10"/>
  <c r="AL31" i="10"/>
  <c r="AL95" i="10"/>
  <c r="AL6" i="10"/>
  <c r="AL70" i="10"/>
  <c r="AL134" i="10"/>
  <c r="AM92" i="10"/>
  <c r="AM85" i="10"/>
  <c r="AM28" i="10"/>
  <c r="AM21" i="10"/>
  <c r="AM7" i="10"/>
  <c r="AN7" i="10" s="1"/>
  <c r="AP7" i="10" s="1"/>
  <c r="AM34" i="10"/>
  <c r="AM198" i="10"/>
  <c r="AM191" i="10"/>
  <c r="AM148" i="10"/>
  <c r="AM141" i="10"/>
  <c r="AM134" i="10"/>
  <c r="AM127" i="10"/>
  <c r="AM84" i="10"/>
  <c r="AN84" i="10" s="1"/>
  <c r="AP84" i="10" s="1"/>
  <c r="AM77" i="10"/>
  <c r="AM70" i="10"/>
  <c r="AN70" i="10" s="1"/>
  <c r="AP70" i="10" s="1"/>
  <c r="AM63" i="10"/>
  <c r="AM121" i="10"/>
  <c r="AM91" i="10"/>
  <c r="AM200" i="10"/>
  <c r="AM193" i="10"/>
  <c r="AM186" i="10"/>
  <c r="AM179" i="10"/>
  <c r="AM136" i="10"/>
  <c r="AM129" i="10"/>
  <c r="AN129" i="10" s="1"/>
  <c r="AO129" i="10" s="1"/>
  <c r="AR129" i="10" s="1"/>
  <c r="AM122" i="10"/>
  <c r="AM115" i="10"/>
  <c r="AM72" i="10"/>
  <c r="AM65" i="10"/>
  <c r="AM58" i="10"/>
  <c r="AM51" i="10"/>
  <c r="AM98" i="10"/>
  <c r="AM80" i="10"/>
  <c r="AM18" i="10"/>
  <c r="AN18" i="10" s="1"/>
  <c r="AO18" i="10" s="1"/>
  <c r="AR18" i="10" s="1"/>
  <c r="AM172" i="10"/>
  <c r="AM165" i="10"/>
  <c r="AM158" i="10"/>
  <c r="AN158" i="10" s="1"/>
  <c r="AP158" i="10" s="1"/>
  <c r="AM151" i="10"/>
  <c r="AM108" i="10"/>
  <c r="AM101" i="10"/>
  <c r="AM94" i="10"/>
  <c r="AN94" i="10" s="1"/>
  <c r="AO94" i="10" s="1"/>
  <c r="AR94" i="10" s="1"/>
  <c r="AM87" i="10"/>
  <c r="AM44" i="10"/>
  <c r="AM37" i="10"/>
  <c r="AM30" i="10"/>
  <c r="AM23" i="10"/>
  <c r="AM2" i="10"/>
  <c r="AM192" i="10"/>
  <c r="AM185" i="10"/>
  <c r="AM176" i="10"/>
  <c r="AM169" i="10"/>
  <c r="AM160" i="10"/>
  <c r="AM153" i="10"/>
  <c r="AM144" i="10"/>
  <c r="AM64" i="10"/>
  <c r="AN64" i="10" s="1"/>
  <c r="AO64" i="10" s="1"/>
  <c r="AR64" i="10" s="1"/>
  <c r="AM164" i="10"/>
  <c r="AM157" i="10"/>
  <c r="AM150" i="10"/>
  <c r="AM143" i="10"/>
  <c r="AN136" i="10"/>
  <c r="AO136" i="10" s="1"/>
  <c r="AR136" i="10" s="1"/>
  <c r="AM100" i="10"/>
  <c r="AM93" i="10"/>
  <c r="AM86" i="10"/>
  <c r="AM79" i="10"/>
  <c r="AM36" i="10"/>
  <c r="AM29" i="10"/>
  <c r="AM20" i="10"/>
  <c r="AM13" i="10"/>
  <c r="AM4" i="10"/>
  <c r="AM123" i="10"/>
  <c r="AM27" i="10"/>
  <c r="AN27" i="10" s="1"/>
  <c r="AP27" i="10" s="1"/>
  <c r="AM202" i="10"/>
  <c r="AM195" i="10"/>
  <c r="AM152" i="10"/>
  <c r="AM145" i="10"/>
  <c r="AM138" i="10"/>
  <c r="AM131" i="10"/>
  <c r="AM88" i="10"/>
  <c r="AN88" i="10" s="1"/>
  <c r="AP88" i="10" s="1"/>
  <c r="AM81" i="10"/>
  <c r="AM74" i="10"/>
  <c r="AM67" i="10"/>
  <c r="AM137" i="10"/>
  <c r="AM107" i="10"/>
  <c r="AM82" i="10"/>
  <c r="AM57" i="10"/>
  <c r="AM25" i="10"/>
  <c r="AM78" i="10"/>
  <c r="AM71" i="10"/>
  <c r="AM14" i="10"/>
  <c r="AM201" i="10"/>
  <c r="AM197" i="10"/>
  <c r="AM188" i="10"/>
  <c r="AM181" i="10"/>
  <c r="AM174" i="10"/>
  <c r="AM167" i="10"/>
  <c r="AM124" i="10"/>
  <c r="AM117" i="10"/>
  <c r="AM110" i="10"/>
  <c r="AM103" i="10"/>
  <c r="AM60" i="10"/>
  <c r="AM53" i="10"/>
  <c r="AM46" i="10"/>
  <c r="AM39" i="10"/>
  <c r="AM194" i="10"/>
  <c r="AM187" i="10"/>
  <c r="AM178" i="10"/>
  <c r="AM171" i="10"/>
  <c r="AM162" i="10"/>
  <c r="AN162" i="10" s="1"/>
  <c r="AP162" i="10" s="1"/>
  <c r="AM155" i="10"/>
  <c r="AM146" i="10"/>
  <c r="AM128" i="10"/>
  <c r="AM66" i="10"/>
  <c r="AM48" i="10"/>
  <c r="AM180" i="10"/>
  <c r="AM173" i="10"/>
  <c r="AM166" i="10"/>
  <c r="AM159" i="10"/>
  <c r="AM116" i="10"/>
  <c r="AM109" i="10"/>
  <c r="AM102" i="10"/>
  <c r="AM95" i="10"/>
  <c r="AM52" i="10"/>
  <c r="AM45" i="10"/>
  <c r="AM38" i="10"/>
  <c r="AN38" i="10" s="1"/>
  <c r="AP38" i="10" s="1"/>
  <c r="AM31" i="10"/>
  <c r="AM22" i="10"/>
  <c r="AM15" i="10"/>
  <c r="AM6" i="10"/>
  <c r="AM105" i="10"/>
  <c r="AM73" i="10"/>
  <c r="AM168" i="10"/>
  <c r="AM161" i="10"/>
  <c r="AN161" i="10" s="1"/>
  <c r="AP161" i="10" s="1"/>
  <c r="AM154" i="10"/>
  <c r="AM147" i="10"/>
  <c r="AM104" i="10"/>
  <c r="AM97" i="10"/>
  <c r="AM90" i="10"/>
  <c r="AM83" i="10"/>
  <c r="AM40" i="10"/>
  <c r="AM33" i="10"/>
  <c r="AM24" i="10"/>
  <c r="AM17" i="10"/>
  <c r="AM8" i="10"/>
  <c r="AM112" i="10"/>
  <c r="AN112" i="10" s="1"/>
  <c r="AO112" i="10" s="1"/>
  <c r="AR112" i="10" s="1"/>
  <c r="AM89" i="10"/>
  <c r="AM59" i="10"/>
  <c r="AM9" i="10"/>
  <c r="AM199" i="10"/>
  <c r="AM190" i="10"/>
  <c r="AM183" i="10"/>
  <c r="AM140" i="10"/>
  <c r="AM133" i="10"/>
  <c r="AM126" i="10"/>
  <c r="AM119" i="10"/>
  <c r="AM76" i="10"/>
  <c r="AM69" i="10"/>
  <c r="AM62" i="10"/>
  <c r="AM55" i="10"/>
  <c r="AM12" i="10"/>
  <c r="AM5" i="10"/>
  <c r="AM130" i="10"/>
  <c r="AM50" i="10"/>
  <c r="AM32" i="10"/>
  <c r="AM196" i="10"/>
  <c r="AM189" i="10"/>
  <c r="AN189" i="10" s="1"/>
  <c r="AP189" i="10" s="1"/>
  <c r="AM182" i="10"/>
  <c r="AM175" i="10"/>
  <c r="AM132" i="10"/>
  <c r="AM125" i="10"/>
  <c r="AM118" i="10"/>
  <c r="AM111" i="10"/>
  <c r="AM68" i="10"/>
  <c r="AN68" i="10" s="1"/>
  <c r="AO68" i="10" s="1"/>
  <c r="AR68" i="10" s="1"/>
  <c r="AM61" i="10"/>
  <c r="AM54" i="10"/>
  <c r="AM47" i="10"/>
  <c r="AM139" i="10"/>
  <c r="AM43" i="10"/>
  <c r="AM11" i="10"/>
  <c r="AM184" i="10"/>
  <c r="AM177" i="10"/>
  <c r="AN177" i="10" s="1"/>
  <c r="AP177" i="10" s="1"/>
  <c r="AM170" i="10"/>
  <c r="AM163" i="10"/>
  <c r="AM120" i="10"/>
  <c r="AM113" i="10"/>
  <c r="AM106" i="10"/>
  <c r="AM99" i="10"/>
  <c r="AM56" i="10"/>
  <c r="AM49" i="10"/>
  <c r="AM42" i="10"/>
  <c r="AM35" i="10"/>
  <c r="AM26" i="10"/>
  <c r="AM19" i="10"/>
  <c r="AM10" i="10"/>
  <c r="AM3" i="10"/>
  <c r="AM114" i="10"/>
  <c r="AM96" i="10"/>
  <c r="AM75" i="10"/>
  <c r="AN75" i="10" s="1"/>
  <c r="AP75" i="10" s="1"/>
  <c r="AM41" i="10"/>
  <c r="B7" i="9"/>
  <c r="B8" i="9" s="1"/>
  <c r="E5" i="5"/>
  <c r="B2" i="5"/>
  <c r="B4" i="8"/>
  <c r="AC96" i="10"/>
  <c r="AC181" i="10"/>
  <c r="AC154" i="10"/>
  <c r="AC90" i="10"/>
  <c r="AC84" i="10"/>
  <c r="AC169" i="10"/>
  <c r="AC195" i="10"/>
  <c r="AC75" i="10"/>
  <c r="AC106" i="10"/>
  <c r="AC148" i="10"/>
  <c r="AC177" i="10"/>
  <c r="AC139" i="10"/>
  <c r="AC186" i="10"/>
  <c r="AC122" i="10"/>
  <c r="AC58" i="10"/>
  <c r="AC127" i="10"/>
  <c r="AC109" i="10"/>
  <c r="AC135" i="10"/>
  <c r="AC160" i="10"/>
  <c r="AC170" i="10"/>
  <c r="AC63" i="10"/>
  <c r="AC152" i="10"/>
  <c r="AC117" i="10"/>
  <c r="AC202" i="10"/>
  <c r="AC138" i="10"/>
  <c r="AC74" i="10"/>
  <c r="AC105" i="10"/>
  <c r="AC191" i="10"/>
  <c r="AC67" i="10"/>
  <c r="AC92" i="10"/>
  <c r="AC91" i="10"/>
  <c r="AC133" i="10"/>
  <c r="AC176" i="10"/>
  <c r="AC197" i="10"/>
  <c r="AC190" i="10"/>
  <c r="AC174" i="10"/>
  <c r="AC158" i="10"/>
  <c r="AC142" i="10"/>
  <c r="AC126" i="10"/>
  <c r="AC110" i="10"/>
  <c r="AC94" i="10"/>
  <c r="AC78" i="10"/>
  <c r="AC62" i="10"/>
  <c r="AC79" i="10"/>
  <c r="AC121" i="10"/>
  <c r="AC164" i="10"/>
  <c r="AC141" i="10"/>
  <c r="AC184" i="10"/>
  <c r="AC81" i="10"/>
  <c r="AC167" i="10"/>
  <c r="AC59" i="10"/>
  <c r="AC80" i="10"/>
  <c r="AC101" i="10"/>
  <c r="AC123" i="10"/>
  <c r="AC144" i="10"/>
  <c r="AC165" i="10"/>
  <c r="AC187" i="10"/>
  <c r="AC198" i="10"/>
  <c r="AC182" i="10"/>
  <c r="AC166" i="10"/>
  <c r="AC150" i="10"/>
  <c r="AC134" i="10"/>
  <c r="AC118" i="10"/>
  <c r="AC102" i="10"/>
  <c r="AC86" i="10"/>
  <c r="AC70" i="10"/>
  <c r="AC68" i="10"/>
  <c r="AC89" i="10"/>
  <c r="AC111" i="10"/>
  <c r="AC132" i="10"/>
  <c r="AC153" i="10"/>
  <c r="AC175" i="10"/>
  <c r="AC196" i="10"/>
  <c r="AC77" i="10"/>
  <c r="AC120" i="10"/>
  <c r="AC163" i="10"/>
  <c r="AC60" i="10"/>
  <c r="AC103" i="10"/>
  <c r="AC145" i="10"/>
  <c r="AC32" i="10"/>
  <c r="AC76" i="10"/>
  <c r="AC87" i="10"/>
  <c r="AC108" i="10"/>
  <c r="AC129" i="10"/>
  <c r="AC151" i="10"/>
  <c r="AC172" i="10"/>
  <c r="AC193" i="10"/>
  <c r="AC72" i="10"/>
  <c r="AC93" i="10"/>
  <c r="AC115" i="10"/>
  <c r="AC136" i="10"/>
  <c r="AC157" i="10"/>
  <c r="AC179" i="10"/>
  <c r="AC200" i="10"/>
  <c r="AC65" i="10"/>
  <c r="AC97" i="10"/>
  <c r="AC119" i="10"/>
  <c r="AC140" i="10"/>
  <c r="AC161" i="10"/>
  <c r="AC183" i="10"/>
  <c r="AC61" i="10"/>
  <c r="AC83" i="10"/>
  <c r="AC104" i="10"/>
  <c r="AC125" i="10"/>
  <c r="AC147" i="10"/>
  <c r="AC168" i="10"/>
  <c r="AC189" i="10"/>
  <c r="AC69" i="10"/>
  <c r="AC112" i="10"/>
  <c r="AC155" i="10"/>
  <c r="AC100" i="10"/>
  <c r="AC143" i="10"/>
  <c r="AC185" i="10"/>
  <c r="AC99" i="10"/>
  <c r="AC124" i="10"/>
  <c r="AC64" i="10"/>
  <c r="AC85" i="10"/>
  <c r="AC107" i="10"/>
  <c r="AC128" i="10"/>
  <c r="AC149" i="10"/>
  <c r="AC171" i="10"/>
  <c r="AC192" i="10"/>
  <c r="AC194" i="10"/>
  <c r="AC178" i="10"/>
  <c r="AC162" i="10"/>
  <c r="AC146" i="10"/>
  <c r="AC130" i="10"/>
  <c r="AC114" i="10"/>
  <c r="AC98" i="10"/>
  <c r="AC82" i="10"/>
  <c r="AC66" i="10"/>
  <c r="AC73" i="10"/>
  <c r="AC95" i="10"/>
  <c r="AC116" i="10"/>
  <c r="AC137" i="10"/>
  <c r="AC159" i="10"/>
  <c r="AC180" i="10"/>
  <c r="AC201" i="10"/>
  <c r="AC88" i="10"/>
  <c r="AC131" i="10"/>
  <c r="AC173" i="10"/>
  <c r="AC57" i="10"/>
  <c r="AC71" i="10"/>
  <c r="AC113" i="10"/>
  <c r="AC156" i="10"/>
  <c r="AC199" i="10"/>
  <c r="AC34" i="10"/>
  <c r="AC28" i="10"/>
  <c r="AC50" i="10"/>
  <c r="AC41" i="10"/>
  <c r="AC25" i="10"/>
  <c r="AC3" i="10"/>
  <c r="AC9" i="10"/>
  <c r="AC18" i="10"/>
  <c r="AC19" i="10"/>
  <c r="AC47" i="10"/>
  <c r="W5" i="10"/>
  <c r="AC35" i="10"/>
  <c r="AC8" i="10"/>
  <c r="AC21" i="10"/>
  <c r="AC53" i="10"/>
  <c r="AC30" i="10"/>
  <c r="AC43" i="10"/>
  <c r="AC7" i="10"/>
  <c r="W2" i="10"/>
  <c r="AE151" i="10" s="1"/>
  <c r="AC5" i="10"/>
  <c r="AC17" i="10"/>
  <c r="AC33" i="10"/>
  <c r="AC49" i="10"/>
  <c r="AC10" i="10"/>
  <c r="AC26" i="10"/>
  <c r="AC42" i="10"/>
  <c r="AC51" i="10"/>
  <c r="AC27" i="10"/>
  <c r="AC11" i="10"/>
  <c r="AC44" i="10"/>
  <c r="AC20" i="10"/>
  <c r="AC2" i="10"/>
  <c r="AC56" i="10"/>
  <c r="AC16" i="10"/>
  <c r="AC37" i="10"/>
  <c r="AC14" i="10"/>
  <c r="AC46" i="10"/>
  <c r="AC23" i="10"/>
  <c r="AC36" i="10"/>
  <c r="AC12" i="10"/>
  <c r="AC55" i="10"/>
  <c r="AC48" i="10"/>
  <c r="AC13" i="10"/>
  <c r="AC29" i="10"/>
  <c r="AC45" i="10"/>
  <c r="AC6" i="10"/>
  <c r="AC22" i="10"/>
  <c r="AC38" i="10"/>
  <c r="AC54" i="10"/>
  <c r="AC31" i="10"/>
  <c r="AC15" i="10"/>
  <c r="AC52" i="10"/>
  <c r="AC24" i="10"/>
  <c r="AC4" i="10"/>
  <c r="AC39" i="10"/>
  <c r="AN157" i="10" l="1"/>
  <c r="AO157" i="10" s="1"/>
  <c r="AR157" i="10" s="1"/>
  <c r="AN126" i="10"/>
  <c r="AO126" i="10" s="1"/>
  <c r="AR126" i="10" s="1"/>
  <c r="AN82" i="10"/>
  <c r="AP82" i="10" s="1"/>
  <c r="AN43" i="10"/>
  <c r="AP43" i="10" s="1"/>
  <c r="AN155" i="10"/>
  <c r="AP155" i="10" s="1"/>
  <c r="AN187" i="10"/>
  <c r="AP187" i="10" s="1"/>
  <c r="AN65" i="10"/>
  <c r="AO65" i="10" s="1"/>
  <c r="AR65" i="10" s="1"/>
  <c r="AN196" i="10"/>
  <c r="AO196" i="10" s="1"/>
  <c r="AR196" i="10" s="1"/>
  <c r="AN97" i="10"/>
  <c r="AP97" i="10" s="1"/>
  <c r="AN71" i="10"/>
  <c r="AO71" i="10" s="1"/>
  <c r="AR71" i="10" s="1"/>
  <c r="AN91" i="10"/>
  <c r="AP91" i="10" s="1"/>
  <c r="AN137" i="10"/>
  <c r="AO137" i="10" s="1"/>
  <c r="AR137" i="10" s="1"/>
  <c r="AN175" i="10"/>
  <c r="AP175" i="10" s="1"/>
  <c r="AN12" i="10"/>
  <c r="AP12" i="10" s="1"/>
  <c r="AN140" i="10"/>
  <c r="AO140" i="10" s="1"/>
  <c r="AR140" i="10" s="1"/>
  <c r="AN78" i="10"/>
  <c r="AP78" i="10" s="1"/>
  <c r="AN50" i="10"/>
  <c r="AP50" i="10" s="1"/>
  <c r="AN17" i="10"/>
  <c r="AO17" i="10" s="1"/>
  <c r="AR17" i="10" s="1"/>
  <c r="AN83" i="10"/>
  <c r="AO83" i="10" s="1"/>
  <c r="AR83" i="10" s="1"/>
  <c r="AN147" i="10"/>
  <c r="AO147" i="10" s="1"/>
  <c r="AR147" i="10" s="1"/>
  <c r="AN180" i="10"/>
  <c r="AP180" i="10" s="1"/>
  <c r="AN146" i="10"/>
  <c r="AO146" i="10" s="1"/>
  <c r="AR146" i="10" s="1"/>
  <c r="AN178" i="10"/>
  <c r="AP178" i="10" s="1"/>
  <c r="AN46" i="10"/>
  <c r="AP46" i="10" s="1"/>
  <c r="AN123" i="10"/>
  <c r="AO123" i="10" s="1"/>
  <c r="AR123" i="10" s="1"/>
  <c r="AN29" i="10"/>
  <c r="AO29" i="10" s="1"/>
  <c r="AR29" i="10" s="1"/>
  <c r="AN184" i="10"/>
  <c r="AO184" i="10" s="1"/>
  <c r="AR184" i="10" s="1"/>
  <c r="AN76" i="10"/>
  <c r="AO76" i="10" s="1"/>
  <c r="AR76" i="10" s="1"/>
  <c r="AN40" i="10"/>
  <c r="AP40" i="10" s="1"/>
  <c r="AN168" i="10"/>
  <c r="AP168" i="10" s="1"/>
  <c r="AN107" i="10"/>
  <c r="AO107" i="10" s="1"/>
  <c r="AR107" i="10" s="1"/>
  <c r="AN72" i="10"/>
  <c r="AP72" i="10" s="1"/>
  <c r="AN153" i="10"/>
  <c r="AP153" i="10" s="1"/>
  <c r="AN30" i="10"/>
  <c r="AO30" i="10" s="1"/>
  <c r="AR30" i="10" s="1"/>
  <c r="AN114" i="10"/>
  <c r="AO114" i="10" s="1"/>
  <c r="AR114" i="10" s="1"/>
  <c r="AN56" i="10"/>
  <c r="AP56" i="10" s="1"/>
  <c r="AN120" i="10"/>
  <c r="AO120" i="10" s="1"/>
  <c r="AR120" i="10" s="1"/>
  <c r="AN148" i="10"/>
  <c r="AP148" i="10" s="1"/>
  <c r="AN19" i="10"/>
  <c r="AP19" i="10" s="1"/>
  <c r="AN132" i="10"/>
  <c r="AO132" i="10" s="1"/>
  <c r="AR132" i="10" s="1"/>
  <c r="AN199" i="10"/>
  <c r="AP199" i="10" s="1"/>
  <c r="AN66" i="10"/>
  <c r="AO66" i="10" s="1"/>
  <c r="AR66" i="10" s="1"/>
  <c r="AN194" i="10"/>
  <c r="AP194" i="10" s="1"/>
  <c r="AN13" i="10"/>
  <c r="AO13" i="10" s="1"/>
  <c r="AR13" i="10" s="1"/>
  <c r="AN193" i="10"/>
  <c r="AO193" i="10" s="1"/>
  <c r="AR193" i="10" s="1"/>
  <c r="AN104" i="10"/>
  <c r="AP104" i="10" s="1"/>
  <c r="AN173" i="10"/>
  <c r="AP173" i="10" s="1"/>
  <c r="AN171" i="10"/>
  <c r="AO171" i="10" s="1"/>
  <c r="AR171" i="10" s="1"/>
  <c r="AN103" i="10"/>
  <c r="AO103" i="10" s="1"/>
  <c r="AR103" i="10" s="1"/>
  <c r="AN20" i="10"/>
  <c r="AP20" i="10" s="1"/>
  <c r="AN200" i="10"/>
  <c r="AP200" i="10" s="1"/>
  <c r="AN198" i="10"/>
  <c r="AP198" i="10" s="1"/>
  <c r="AN49" i="10"/>
  <c r="AP49" i="10" s="1"/>
  <c r="AN11" i="10"/>
  <c r="AP11" i="10" s="1"/>
  <c r="AN3" i="10"/>
  <c r="AP3" i="10" s="1"/>
  <c r="AN55" i="10"/>
  <c r="AO55" i="10" s="1"/>
  <c r="AR55" i="10" s="1"/>
  <c r="AN183" i="10"/>
  <c r="AO183" i="10" s="1"/>
  <c r="AR183" i="10" s="1"/>
  <c r="AN59" i="10"/>
  <c r="AO59" i="10" s="1"/>
  <c r="AR59" i="10" s="1"/>
  <c r="AN73" i="10"/>
  <c r="AP73" i="10" s="1"/>
  <c r="AN116" i="10"/>
  <c r="AO116" i="10" s="1"/>
  <c r="AR116" i="10" s="1"/>
  <c r="AN110" i="10"/>
  <c r="AP110" i="10" s="1"/>
  <c r="AN152" i="10"/>
  <c r="AO152" i="10" s="1"/>
  <c r="AR152" i="10" s="1"/>
  <c r="AN34" i="10"/>
  <c r="AO34" i="10" s="1"/>
  <c r="AR34" i="10" s="1"/>
  <c r="AN106" i="10"/>
  <c r="AP106" i="10" s="1"/>
  <c r="AN170" i="10"/>
  <c r="AO170" i="10" s="1"/>
  <c r="AR170" i="10" s="1"/>
  <c r="AN125" i="10"/>
  <c r="AP125" i="10" s="1"/>
  <c r="AN130" i="10"/>
  <c r="AO130" i="10" s="1"/>
  <c r="AR130" i="10" s="1"/>
  <c r="AN62" i="10"/>
  <c r="AP62" i="10" s="1"/>
  <c r="AN190" i="10"/>
  <c r="AO190" i="10" s="1"/>
  <c r="AR190" i="10" s="1"/>
  <c r="AN24" i="10"/>
  <c r="AP24" i="10" s="1"/>
  <c r="AN90" i="10"/>
  <c r="AO90" i="10" s="1"/>
  <c r="AR90" i="10" s="1"/>
  <c r="AN154" i="10"/>
  <c r="AO154" i="10" s="1"/>
  <c r="AR154" i="10" s="1"/>
  <c r="AN31" i="10"/>
  <c r="AO31" i="10" s="1"/>
  <c r="AR31" i="10" s="1"/>
  <c r="AN159" i="10"/>
  <c r="AP159" i="10" s="1"/>
  <c r="AN48" i="10"/>
  <c r="AO48" i="10" s="1"/>
  <c r="AR48" i="10" s="1"/>
  <c r="AN53" i="10"/>
  <c r="AO53" i="10" s="1"/>
  <c r="AR53" i="10" s="1"/>
  <c r="AN181" i="10"/>
  <c r="AP181" i="10" s="1"/>
  <c r="AN14" i="10"/>
  <c r="AP14" i="10" s="1"/>
  <c r="AN57" i="10"/>
  <c r="AP57" i="10" s="1"/>
  <c r="AN67" i="10"/>
  <c r="AO67" i="10" s="1"/>
  <c r="AR67" i="10" s="1"/>
  <c r="AN131" i="10"/>
  <c r="AO131" i="10" s="1"/>
  <c r="AR131" i="10" s="1"/>
  <c r="AN195" i="10"/>
  <c r="AP195" i="10" s="1"/>
  <c r="AN23" i="10"/>
  <c r="AO23" i="10" s="1"/>
  <c r="AR23" i="10" s="1"/>
  <c r="AN151" i="10"/>
  <c r="AP151" i="10" s="1"/>
  <c r="AN121" i="10"/>
  <c r="AP121" i="10" s="1"/>
  <c r="AN142" i="10"/>
  <c r="AO142" i="10" s="1"/>
  <c r="AR142" i="10" s="1"/>
  <c r="AN33" i="10"/>
  <c r="AO33" i="10" s="1"/>
  <c r="AR33" i="10" s="1"/>
  <c r="AN54" i="10"/>
  <c r="AP54" i="10" s="1"/>
  <c r="AN8" i="10"/>
  <c r="AO8" i="10" s="1"/>
  <c r="AR8" i="10" s="1"/>
  <c r="AN45" i="10"/>
  <c r="AO45" i="10" s="1"/>
  <c r="AR45" i="10" s="1"/>
  <c r="AN39" i="10"/>
  <c r="AP39" i="10" s="1"/>
  <c r="AN167" i="10"/>
  <c r="AO167" i="10" s="1"/>
  <c r="AR167" i="10" s="1"/>
  <c r="AN81" i="10"/>
  <c r="AO81" i="10" s="1"/>
  <c r="AR81" i="10" s="1"/>
  <c r="AN145" i="10"/>
  <c r="AP145" i="10" s="1"/>
  <c r="AN164" i="10"/>
  <c r="AP164" i="10" s="1"/>
  <c r="AN98" i="10"/>
  <c r="AP98" i="10" s="1"/>
  <c r="AN135" i="10"/>
  <c r="AO135" i="10" s="1"/>
  <c r="AR135" i="10" s="1"/>
  <c r="AN41" i="10"/>
  <c r="AO41" i="10" s="1"/>
  <c r="AR41" i="10" s="1"/>
  <c r="AN35" i="10"/>
  <c r="AO35" i="10" s="1"/>
  <c r="AR35" i="10" s="1"/>
  <c r="AN96" i="10"/>
  <c r="AO96" i="10" s="1"/>
  <c r="AR96" i="10" s="1"/>
  <c r="AN113" i="10"/>
  <c r="AO113" i="10" s="1"/>
  <c r="AR113" i="10" s="1"/>
  <c r="AN118" i="10"/>
  <c r="AP118" i="10" s="1"/>
  <c r="AN182" i="10"/>
  <c r="AO182" i="10" s="1"/>
  <c r="AR182" i="10" s="1"/>
  <c r="AN119" i="10"/>
  <c r="AO119" i="10" s="1"/>
  <c r="AR119" i="10" s="1"/>
  <c r="AN22" i="10"/>
  <c r="AP22" i="10" s="1"/>
  <c r="AN174" i="10"/>
  <c r="AP174" i="10" s="1"/>
  <c r="AN201" i="10"/>
  <c r="AP201" i="10" s="1"/>
  <c r="AN169" i="10"/>
  <c r="AO169" i="10" s="1"/>
  <c r="AR169" i="10" s="1"/>
  <c r="AN156" i="10"/>
  <c r="AO156" i="10" s="1"/>
  <c r="AR156" i="10" s="1"/>
  <c r="AN89" i="10"/>
  <c r="AP89" i="10" s="1"/>
  <c r="AN150" i="10"/>
  <c r="AP150" i="10" s="1"/>
  <c r="AN87" i="10"/>
  <c r="AO87" i="10" s="1"/>
  <c r="AR87" i="10" s="1"/>
  <c r="AN122" i="10"/>
  <c r="AO122" i="10" s="1"/>
  <c r="AR122" i="10" s="1"/>
  <c r="AN191" i="10"/>
  <c r="AO191" i="10" s="1"/>
  <c r="AR191" i="10" s="1"/>
  <c r="AN128" i="10"/>
  <c r="AO128" i="10" s="1"/>
  <c r="AR128" i="10" s="1"/>
  <c r="AN79" i="10"/>
  <c r="AO79" i="10" s="1"/>
  <c r="AR79" i="10" s="1"/>
  <c r="AN86" i="10"/>
  <c r="AN69" i="10"/>
  <c r="AO69" i="10" s="1"/>
  <c r="AR69" i="10" s="1"/>
  <c r="AN149" i="10"/>
  <c r="AP149" i="10" s="1"/>
  <c r="AN100" i="10"/>
  <c r="AO100" i="10" s="1"/>
  <c r="AR100" i="10" s="1"/>
  <c r="AN127" i="10"/>
  <c r="AP127" i="10" s="1"/>
  <c r="AN197" i="10"/>
  <c r="AP197" i="10" s="1"/>
  <c r="AN28" i="10"/>
  <c r="AO28" i="10" s="1"/>
  <c r="AR28" i="10" s="1"/>
  <c r="AN102" i="10"/>
  <c r="AO102" i="10" s="1"/>
  <c r="AR102" i="10" s="1"/>
  <c r="AN124" i="10"/>
  <c r="AP124" i="10" s="1"/>
  <c r="AN51" i="10"/>
  <c r="AP51" i="10" s="1"/>
  <c r="AN179" i="10"/>
  <c r="AO179" i="10" s="1"/>
  <c r="AR179" i="10" s="1"/>
  <c r="AN37" i="10"/>
  <c r="AP37" i="10" s="1"/>
  <c r="AN165" i="10"/>
  <c r="AP165" i="10" s="1"/>
  <c r="AN101" i="10"/>
  <c r="AP101" i="10" s="1"/>
  <c r="AN26" i="10"/>
  <c r="AO26" i="10" s="1"/>
  <c r="AR26" i="10" s="1"/>
  <c r="AN25" i="10"/>
  <c r="AO25" i="10" s="1"/>
  <c r="AR25" i="10" s="1"/>
  <c r="AN92" i="10"/>
  <c r="AO92" i="10" s="1"/>
  <c r="AR92" i="10" s="1"/>
  <c r="AN85" i="10"/>
  <c r="AP85" i="10" s="1"/>
  <c r="AN5" i="10"/>
  <c r="AP5" i="10" s="1"/>
  <c r="AN192" i="10"/>
  <c r="AO192" i="10" s="1"/>
  <c r="AR192" i="10" s="1"/>
  <c r="AN133" i="10"/>
  <c r="AO133" i="10" s="1"/>
  <c r="AR133" i="10" s="1"/>
  <c r="AN144" i="10"/>
  <c r="AO144" i="10" s="1"/>
  <c r="AR144" i="10" s="1"/>
  <c r="AN58" i="10"/>
  <c r="AO58" i="10" s="1"/>
  <c r="AR58" i="10" s="1"/>
  <c r="AN186" i="10"/>
  <c r="AO186" i="10" s="1"/>
  <c r="AR186" i="10" s="1"/>
  <c r="AN21" i="10"/>
  <c r="AP21" i="10" s="1"/>
  <c r="AN6" i="10"/>
  <c r="AO6" i="10" s="1"/>
  <c r="AR6" i="10" s="1"/>
  <c r="AP68" i="10"/>
  <c r="AN111" i="10"/>
  <c r="AP111" i="10" s="1"/>
  <c r="AN32" i="10"/>
  <c r="AO32" i="10" s="1"/>
  <c r="AR32" i="10" s="1"/>
  <c r="AN166" i="10"/>
  <c r="AP166" i="10" s="1"/>
  <c r="AN77" i="10"/>
  <c r="AP77" i="10" s="1"/>
  <c r="AN52" i="10"/>
  <c r="AO52" i="10" s="1"/>
  <c r="AR52" i="10" s="1"/>
  <c r="AN60" i="10"/>
  <c r="AO60" i="10" s="1"/>
  <c r="AR60" i="10" s="1"/>
  <c r="AN188" i="10"/>
  <c r="AP188" i="10" s="1"/>
  <c r="AN4" i="10"/>
  <c r="AO4" i="10" s="1"/>
  <c r="AR4" i="10" s="1"/>
  <c r="AN44" i="10"/>
  <c r="AO44" i="10" s="1"/>
  <c r="AR44" i="10" s="1"/>
  <c r="AN134" i="10"/>
  <c r="AP134" i="10" s="1"/>
  <c r="AN139" i="10"/>
  <c r="AO139" i="10" s="1"/>
  <c r="AR139" i="10" s="1"/>
  <c r="AN160" i="10"/>
  <c r="AP160" i="10" s="1"/>
  <c r="AN10" i="10"/>
  <c r="AP10" i="10" s="1"/>
  <c r="AN115" i="10"/>
  <c r="AP115" i="10" s="1"/>
  <c r="AN138" i="10"/>
  <c r="AP138" i="10" s="1"/>
  <c r="AN202" i="10"/>
  <c r="AP202" i="10" s="1"/>
  <c r="AN80" i="10"/>
  <c r="AP80" i="10" s="1"/>
  <c r="AN172" i="10"/>
  <c r="AO172" i="10" s="1"/>
  <c r="AR172" i="10" s="1"/>
  <c r="AP18" i="10"/>
  <c r="AN176" i="10"/>
  <c r="AP176" i="10" s="1"/>
  <c r="AN185" i="10"/>
  <c r="AO185" i="10" s="1"/>
  <c r="AR185" i="10" s="1"/>
  <c r="AO84" i="10"/>
  <c r="AR84" i="10" s="1"/>
  <c r="AN42" i="10"/>
  <c r="AP42" i="10" s="1"/>
  <c r="AN47" i="10"/>
  <c r="AP47" i="10" s="1"/>
  <c r="AN9" i="10"/>
  <c r="AP9" i="10" s="1"/>
  <c r="AN15" i="10"/>
  <c r="AP15" i="10" s="1"/>
  <c r="AN95" i="10"/>
  <c r="AP95" i="10" s="1"/>
  <c r="AN74" i="10"/>
  <c r="AP74" i="10" s="1"/>
  <c r="AN36" i="10"/>
  <c r="AP36" i="10" s="1"/>
  <c r="AN2" i="10"/>
  <c r="AP2" i="10" s="1"/>
  <c r="AN63" i="10"/>
  <c r="AO63" i="10" s="1"/>
  <c r="AR63" i="10" s="1"/>
  <c r="AN99" i="10"/>
  <c r="AP99" i="10" s="1"/>
  <c r="AN163" i="10"/>
  <c r="AO163" i="10" s="1"/>
  <c r="AR163" i="10" s="1"/>
  <c r="AN61" i="10"/>
  <c r="AP61" i="10" s="1"/>
  <c r="AN105" i="10"/>
  <c r="AO105" i="10" s="1"/>
  <c r="AR105" i="10" s="1"/>
  <c r="AN109" i="10"/>
  <c r="AO109" i="10" s="1"/>
  <c r="AR109" i="10" s="1"/>
  <c r="AN117" i="10"/>
  <c r="AO117" i="10" s="1"/>
  <c r="AR117" i="10" s="1"/>
  <c r="AN93" i="10"/>
  <c r="AP93" i="10" s="1"/>
  <c r="AN143" i="10"/>
  <c r="AO143" i="10" s="1"/>
  <c r="AR143" i="10" s="1"/>
  <c r="AN108" i="10"/>
  <c r="AP108" i="10" s="1"/>
  <c r="AN141" i="10"/>
  <c r="AP141" i="10" s="1"/>
  <c r="AO189" i="10"/>
  <c r="AR189" i="10" s="1"/>
  <c r="AO75" i="10"/>
  <c r="AR75" i="10" s="1"/>
  <c r="AP64" i="10"/>
  <c r="AP157" i="10"/>
  <c r="AP16" i="10"/>
  <c r="AO38" i="10"/>
  <c r="AR38" i="10" s="1"/>
  <c r="AO161" i="10"/>
  <c r="AR161" i="10" s="1"/>
  <c r="AO158" i="10"/>
  <c r="AR158" i="10" s="1"/>
  <c r="AP112" i="10"/>
  <c r="AO177" i="10"/>
  <c r="AR177" i="10" s="1"/>
  <c r="AO187" i="10"/>
  <c r="AR187" i="10" s="1"/>
  <c r="AO27" i="10"/>
  <c r="AR27" i="10" s="1"/>
  <c r="AP94" i="10"/>
  <c r="AP71" i="10"/>
  <c r="AO70" i="10"/>
  <c r="AR70" i="10" s="1"/>
  <c r="AO88" i="10"/>
  <c r="AR88" i="10" s="1"/>
  <c r="AO7" i="10"/>
  <c r="AR7" i="10" s="1"/>
  <c r="AP129" i="10"/>
  <c r="AP136" i="10"/>
  <c r="AO162" i="10"/>
  <c r="AR162" i="10" s="1"/>
  <c r="AE111" i="10"/>
  <c r="AE119" i="10"/>
  <c r="AE98" i="10"/>
  <c r="AE96" i="10"/>
  <c r="AE106" i="10"/>
  <c r="AE177" i="10"/>
  <c r="AE120" i="10"/>
  <c r="AE198" i="10"/>
  <c r="AE168" i="10"/>
  <c r="AE82" i="10"/>
  <c r="AE63" i="10"/>
  <c r="AE73" i="10"/>
  <c r="AE195" i="10"/>
  <c r="AE77" i="10"/>
  <c r="AE182" i="10"/>
  <c r="AE196" i="10"/>
  <c r="AE147" i="10"/>
  <c r="AE160" i="10"/>
  <c r="AE162" i="10"/>
  <c r="AE191" i="10"/>
  <c r="AE170" i="10"/>
  <c r="AE180" i="10"/>
  <c r="AE131" i="10"/>
  <c r="AE127" i="10"/>
  <c r="AE70" i="10"/>
  <c r="AE118" i="10"/>
  <c r="AE61" i="10"/>
  <c r="AE84" i="10"/>
  <c r="AE141" i="10"/>
  <c r="AE95" i="10"/>
  <c r="AE87" i="10"/>
  <c r="AE102" i="10"/>
  <c r="AE81" i="10"/>
  <c r="AE75" i="10"/>
  <c r="AE99" i="10"/>
  <c r="AE90" i="10"/>
  <c r="AE135" i="10"/>
  <c r="AE134" i="10"/>
  <c r="AE132" i="10"/>
  <c r="AE83" i="10"/>
  <c r="AE161" i="10"/>
  <c r="AE146" i="10"/>
  <c r="AE169" i="10"/>
  <c r="AE193" i="10"/>
  <c r="AE154" i="10"/>
  <c r="AE159" i="10"/>
  <c r="AE109" i="10"/>
  <c r="AE2" i="10"/>
  <c r="AE91" i="10"/>
  <c r="AE133" i="10"/>
  <c r="AE176" i="10"/>
  <c r="AE64" i="10"/>
  <c r="AE107" i="10"/>
  <c r="AE149" i="10"/>
  <c r="AE192" i="10"/>
  <c r="AE69" i="10"/>
  <c r="AE112" i="10"/>
  <c r="AE155" i="10"/>
  <c r="AE197" i="10"/>
  <c r="AE85" i="10"/>
  <c r="AE128" i="10"/>
  <c r="AE171" i="10"/>
  <c r="AE62" i="10"/>
  <c r="AE94" i="10"/>
  <c r="AE126" i="10"/>
  <c r="AE158" i="10"/>
  <c r="AE190" i="10"/>
  <c r="AE79" i="10"/>
  <c r="AE121" i="10"/>
  <c r="AE164" i="10"/>
  <c r="AE60" i="10"/>
  <c r="AE145" i="10"/>
  <c r="AE72" i="10"/>
  <c r="AE115" i="10"/>
  <c r="AE157" i="10"/>
  <c r="AE200" i="10"/>
  <c r="AE140" i="10"/>
  <c r="AE187" i="10"/>
  <c r="AE117" i="10"/>
  <c r="AE78" i="10"/>
  <c r="AE110" i="10"/>
  <c r="AE142" i="10"/>
  <c r="AE174" i="10"/>
  <c r="AE57" i="10"/>
  <c r="AE100" i="10"/>
  <c r="AE143" i="10"/>
  <c r="AE185" i="10"/>
  <c r="AE103" i="10"/>
  <c r="AE188" i="10"/>
  <c r="AE93" i="10"/>
  <c r="AE136" i="10"/>
  <c r="AE179" i="10"/>
  <c r="AE97" i="10"/>
  <c r="AE183" i="10"/>
  <c r="AE101" i="10"/>
  <c r="AD9" i="10"/>
  <c r="AD63" i="10"/>
  <c r="AD74" i="10"/>
  <c r="AD85" i="10"/>
  <c r="AD90" i="10"/>
  <c r="AD58" i="10"/>
  <c r="AD69" i="10"/>
  <c r="AD79" i="10"/>
  <c r="AD57" i="10"/>
  <c r="AD78" i="10"/>
  <c r="AD95" i="10"/>
  <c r="AD106" i="10"/>
  <c r="AD117" i="10"/>
  <c r="AD127" i="10"/>
  <c r="AD138" i="10"/>
  <c r="AD149" i="10"/>
  <c r="AD159" i="10"/>
  <c r="AD170" i="10"/>
  <c r="AD181" i="10"/>
  <c r="AD191" i="10"/>
  <c r="AD202" i="10"/>
  <c r="AD73" i="10"/>
  <c r="AD105" i="10"/>
  <c r="AD126" i="10"/>
  <c r="AD147" i="10"/>
  <c r="AD179" i="10"/>
  <c r="AD201" i="10"/>
  <c r="AD89" i="10"/>
  <c r="AD111" i="10"/>
  <c r="AD133" i="10"/>
  <c r="AD154" i="10"/>
  <c r="AD175" i="10"/>
  <c r="AD197" i="10"/>
  <c r="AD62" i="10"/>
  <c r="AD83" i="10"/>
  <c r="AD99" i="10"/>
  <c r="AD110" i="10"/>
  <c r="AD121" i="10"/>
  <c r="AD131" i="10"/>
  <c r="AF131" i="10" s="1"/>
  <c r="AD142" i="10"/>
  <c r="AD153" i="10"/>
  <c r="AD163" i="10"/>
  <c r="AD174" i="10"/>
  <c r="AD185" i="10"/>
  <c r="AD195" i="10"/>
  <c r="AD94" i="10"/>
  <c r="AD115" i="10"/>
  <c r="AD137" i="10"/>
  <c r="AD158" i="10"/>
  <c r="AD169" i="10"/>
  <c r="AD190" i="10"/>
  <c r="AD67" i="10"/>
  <c r="AD101" i="10"/>
  <c r="AD122" i="10"/>
  <c r="AD143" i="10"/>
  <c r="AD165" i="10"/>
  <c r="AD186" i="10"/>
  <c r="AD60" i="10"/>
  <c r="AD76" i="10"/>
  <c r="AD92" i="10"/>
  <c r="AD108" i="10"/>
  <c r="AD124" i="10"/>
  <c r="AD140" i="10"/>
  <c r="AD156" i="10"/>
  <c r="AD172" i="10"/>
  <c r="AD188" i="10"/>
  <c r="AD193" i="10"/>
  <c r="AD171" i="10"/>
  <c r="AD150" i="10"/>
  <c r="AD129" i="10"/>
  <c r="AD107" i="10"/>
  <c r="AD86" i="10"/>
  <c r="AD65" i="10"/>
  <c r="AD189" i="10"/>
  <c r="AD167" i="10"/>
  <c r="AD146" i="10"/>
  <c r="AD125" i="10"/>
  <c r="AD103" i="10"/>
  <c r="AD82" i="10"/>
  <c r="AD61" i="10"/>
  <c r="AD72" i="10"/>
  <c r="AD104" i="10"/>
  <c r="AD136" i="10"/>
  <c r="AD168" i="10"/>
  <c r="AD200" i="10"/>
  <c r="AD198" i="10"/>
  <c r="AD155" i="10"/>
  <c r="AD113" i="10"/>
  <c r="AD70" i="10"/>
  <c r="AD173" i="10"/>
  <c r="AD130" i="10"/>
  <c r="AD87" i="10"/>
  <c r="AD68" i="10"/>
  <c r="AD100" i="10"/>
  <c r="AD132" i="10"/>
  <c r="AF132" i="10" s="1"/>
  <c r="AD164" i="10"/>
  <c r="AD196" i="10"/>
  <c r="AD161" i="10"/>
  <c r="AF161" i="10" s="1"/>
  <c r="AD139" i="10"/>
  <c r="AD97" i="10"/>
  <c r="AD199" i="10"/>
  <c r="AD157" i="10"/>
  <c r="AD114" i="10"/>
  <c r="AD71" i="10"/>
  <c r="AD64" i="10"/>
  <c r="AD80" i="10"/>
  <c r="AD96" i="10"/>
  <c r="AD112" i="10"/>
  <c r="AD128" i="10"/>
  <c r="AD144" i="10"/>
  <c r="AD160" i="10"/>
  <c r="AD176" i="10"/>
  <c r="AD192" i="10"/>
  <c r="AD187" i="10"/>
  <c r="AD166" i="10"/>
  <c r="AD145" i="10"/>
  <c r="AD123" i="10"/>
  <c r="AD102" i="10"/>
  <c r="AD81" i="10"/>
  <c r="AD59" i="10"/>
  <c r="AD183" i="10"/>
  <c r="AD162" i="10"/>
  <c r="AD141" i="10"/>
  <c r="AD119" i="10"/>
  <c r="AD98" i="10"/>
  <c r="AF98" i="10" s="1"/>
  <c r="AD77" i="10"/>
  <c r="AD88" i="10"/>
  <c r="AD120" i="10"/>
  <c r="AF120" i="10" s="1"/>
  <c r="AD152" i="10"/>
  <c r="AD184" i="10"/>
  <c r="AD177" i="10"/>
  <c r="AD134" i="10"/>
  <c r="AD91" i="10"/>
  <c r="AD194" i="10"/>
  <c r="AD151" i="10"/>
  <c r="AD109" i="10"/>
  <c r="AF109" i="10" s="1"/>
  <c r="AD66" i="10"/>
  <c r="AD84" i="10"/>
  <c r="AD116" i="10"/>
  <c r="AD148" i="10"/>
  <c r="AD180" i="10"/>
  <c r="AD182" i="10"/>
  <c r="AD118" i="10"/>
  <c r="AD75" i="10"/>
  <c r="AD178" i="10"/>
  <c r="AD135" i="10"/>
  <c r="AD93" i="10"/>
  <c r="AE86" i="10"/>
  <c r="AE150" i="10"/>
  <c r="AE68" i="10"/>
  <c r="AE153" i="10"/>
  <c r="AE124" i="10"/>
  <c r="AE104" i="10"/>
  <c r="AE189" i="10"/>
  <c r="AE144" i="10"/>
  <c r="AE114" i="10"/>
  <c r="AE178" i="10"/>
  <c r="AE105" i="10"/>
  <c r="AE113" i="10"/>
  <c r="AE184" i="10"/>
  <c r="AE165" i="10"/>
  <c r="AE58" i="10"/>
  <c r="AE122" i="10"/>
  <c r="AE186" i="10"/>
  <c r="AE116" i="10"/>
  <c r="AE201" i="10"/>
  <c r="AE67" i="10"/>
  <c r="AE152" i="10"/>
  <c r="AE129" i="10"/>
  <c r="AE71" i="10"/>
  <c r="AE163" i="10"/>
  <c r="AE181" i="10"/>
  <c r="AE166" i="10"/>
  <c r="AE89" i="10"/>
  <c r="AE175" i="10"/>
  <c r="AE167" i="10"/>
  <c r="AE125" i="10"/>
  <c r="AE76" i="10"/>
  <c r="AE59" i="10"/>
  <c r="AE66" i="10"/>
  <c r="AE130" i="10"/>
  <c r="AE194" i="10"/>
  <c r="AE148" i="10"/>
  <c r="AE199" i="10"/>
  <c r="AE108" i="10"/>
  <c r="AE74" i="10"/>
  <c r="AE138" i="10"/>
  <c r="AE202" i="10"/>
  <c r="AE137" i="10"/>
  <c r="AE92" i="10"/>
  <c r="AE88" i="10"/>
  <c r="AE173" i="10"/>
  <c r="AE172" i="10"/>
  <c r="AE123" i="10"/>
  <c r="AE139" i="10"/>
  <c r="AE156" i="10"/>
  <c r="AE65" i="10"/>
  <c r="AE80" i="10"/>
  <c r="AE43" i="10"/>
  <c r="AD19" i="10"/>
  <c r="AD16" i="10"/>
  <c r="AD11" i="10"/>
  <c r="AD54" i="10"/>
  <c r="AD4" i="10"/>
  <c r="AD52" i="10"/>
  <c r="AD49" i="10"/>
  <c r="AE18" i="10"/>
  <c r="AD34" i="10"/>
  <c r="AD48" i="10"/>
  <c r="AD14" i="10"/>
  <c r="AD33" i="10"/>
  <c r="AD51" i="10"/>
  <c r="AD20" i="10"/>
  <c r="AD47" i="10"/>
  <c r="AD29" i="10"/>
  <c r="AE56" i="10"/>
  <c r="AE49" i="10"/>
  <c r="AE37" i="10"/>
  <c r="AD43" i="10"/>
  <c r="AD36" i="10"/>
  <c r="AD22" i="10"/>
  <c r="AD3" i="10"/>
  <c r="AD17" i="10"/>
  <c r="AE6" i="10"/>
  <c r="AE5" i="10"/>
  <c r="AD26" i="10"/>
  <c r="AD15" i="10"/>
  <c r="AD32" i="10"/>
  <c r="AD50" i="10"/>
  <c r="AD39" i="10"/>
  <c r="AD45" i="10"/>
  <c r="AD13" i="10"/>
  <c r="AE12" i="10"/>
  <c r="AE23" i="10"/>
  <c r="AE25" i="10"/>
  <c r="AD38" i="10"/>
  <c r="AD6" i="10"/>
  <c r="AD27" i="10"/>
  <c r="AD56" i="10"/>
  <c r="AD40" i="10"/>
  <c r="AD24" i="10"/>
  <c r="AD8" i="10"/>
  <c r="AD30" i="10"/>
  <c r="AD55" i="10"/>
  <c r="AD23" i="10"/>
  <c r="AD53" i="10"/>
  <c r="AD37" i="10"/>
  <c r="AD21" i="10"/>
  <c r="AD5" i="10"/>
  <c r="AF5" i="10" s="1"/>
  <c r="AE32" i="10"/>
  <c r="AE3" i="10"/>
  <c r="AE4" i="10"/>
  <c r="AD46" i="10"/>
  <c r="AD18" i="10"/>
  <c r="AD35" i="10"/>
  <c r="AD7" i="10"/>
  <c r="AD44" i="10"/>
  <c r="AD28" i="10"/>
  <c r="AD12" i="10"/>
  <c r="AD42" i="10"/>
  <c r="AD10" i="10"/>
  <c r="AD31" i="10"/>
  <c r="AD2" i="10"/>
  <c r="AD41" i="10"/>
  <c r="AD25" i="10"/>
  <c r="AE33" i="10"/>
  <c r="AE54" i="10"/>
  <c r="AE51" i="10"/>
  <c r="AE53" i="10"/>
  <c r="AE36" i="10"/>
  <c r="AE7" i="10"/>
  <c r="AE8" i="10"/>
  <c r="AE20" i="10"/>
  <c r="AE22" i="10"/>
  <c r="AE13" i="10"/>
  <c r="AE44" i="10"/>
  <c r="AE34" i="10"/>
  <c r="AE31" i="10"/>
  <c r="AE10" i="10"/>
  <c r="AE9" i="10"/>
  <c r="AE30" i="10"/>
  <c r="AE28" i="10"/>
  <c r="AE14" i="10"/>
  <c r="AE46" i="10"/>
  <c r="AE11" i="10"/>
  <c r="AE17" i="10"/>
  <c r="AE27" i="10"/>
  <c r="AE45" i="10"/>
  <c r="AE24" i="10"/>
  <c r="AE40" i="10"/>
  <c r="AE15" i="10"/>
  <c r="AE55" i="10"/>
  <c r="AE47" i="10"/>
  <c r="AE52" i="10"/>
  <c r="AE38" i="10"/>
  <c r="AE29" i="10"/>
  <c r="AE19" i="10"/>
  <c r="AE50" i="10"/>
  <c r="AE21" i="10"/>
  <c r="AE42" i="10"/>
  <c r="AE41" i="10"/>
  <c r="AE16" i="10"/>
  <c r="AE26" i="10"/>
  <c r="AE48" i="10"/>
  <c r="AE35" i="10"/>
  <c r="AE39" i="10"/>
  <c r="AO168" i="10" l="1"/>
  <c r="AR168" i="10" s="1"/>
  <c r="AP146" i="10"/>
  <c r="AQ146" i="10" s="1"/>
  <c r="AP126" i="10"/>
  <c r="AO12" i="10"/>
  <c r="AR12" i="10" s="1"/>
  <c r="AP17" i="10"/>
  <c r="AP30" i="10"/>
  <c r="AP29" i="10"/>
  <c r="AO54" i="10"/>
  <c r="AR54" i="10" s="1"/>
  <c r="AP76" i="10"/>
  <c r="AP137" i="10"/>
  <c r="AO164" i="10"/>
  <c r="AR164" i="10" s="1"/>
  <c r="AP65" i="10"/>
  <c r="AQ65" i="10" s="1"/>
  <c r="AP53" i="10"/>
  <c r="AO72" i="10"/>
  <c r="AR72" i="10" s="1"/>
  <c r="AO200" i="10"/>
  <c r="AR200" i="10" s="1"/>
  <c r="AP48" i="10"/>
  <c r="AO82" i="10"/>
  <c r="AR82" i="10" s="1"/>
  <c r="AO43" i="10"/>
  <c r="AR43" i="10" s="1"/>
  <c r="AO37" i="10"/>
  <c r="AR37" i="10" s="1"/>
  <c r="AP113" i="10"/>
  <c r="AO46" i="10"/>
  <c r="AR46" i="10" s="1"/>
  <c r="AP132" i="10"/>
  <c r="AQ132" i="10" s="1"/>
  <c r="AP196" i="10"/>
  <c r="AQ196" i="10" s="1"/>
  <c r="AQ155" i="10"/>
  <c r="AP186" i="10"/>
  <c r="AQ186" i="10" s="1"/>
  <c r="AO180" i="10"/>
  <c r="AR180" i="10" s="1"/>
  <c r="AO175" i="10"/>
  <c r="AR175" i="10" s="1"/>
  <c r="AP130" i="10"/>
  <c r="AO40" i="10"/>
  <c r="AR40" i="10" s="1"/>
  <c r="AO3" i="10"/>
  <c r="AR3" i="10" s="1"/>
  <c r="AO194" i="10"/>
  <c r="AR194" i="10" s="1"/>
  <c r="AO155" i="10"/>
  <c r="AR155" i="10" s="1"/>
  <c r="AP103" i="10"/>
  <c r="AP120" i="10"/>
  <c r="AQ120" i="10" s="1"/>
  <c r="AO153" i="10"/>
  <c r="AR153" i="10" s="1"/>
  <c r="AP123" i="10"/>
  <c r="AQ123" i="10" s="1"/>
  <c r="AP193" i="10"/>
  <c r="AQ193" i="10" s="1"/>
  <c r="AP114" i="10"/>
  <c r="AQ114" i="10" s="1"/>
  <c r="AO50" i="10"/>
  <c r="AR50" i="10" s="1"/>
  <c r="AO97" i="10"/>
  <c r="AR97" i="10" s="1"/>
  <c r="AO57" i="10"/>
  <c r="AR57" i="10" s="1"/>
  <c r="AP58" i="10"/>
  <c r="AO199" i="10"/>
  <c r="AR199" i="10" s="1"/>
  <c r="AO39" i="10"/>
  <c r="AR39" i="10" s="1"/>
  <c r="AO91" i="10"/>
  <c r="AR91" i="10" s="1"/>
  <c r="AP83" i="10"/>
  <c r="AQ83" i="10" s="1"/>
  <c r="AO5" i="10"/>
  <c r="AR5" i="10" s="1"/>
  <c r="AP179" i="10"/>
  <c r="AO178" i="10"/>
  <c r="AR178" i="10" s="1"/>
  <c r="AP182" i="10"/>
  <c r="AQ182" i="10" s="1"/>
  <c r="AO150" i="10"/>
  <c r="AR150" i="10" s="1"/>
  <c r="AO19" i="10"/>
  <c r="AR19" i="10" s="1"/>
  <c r="AO173" i="10"/>
  <c r="AR173" i="10" s="1"/>
  <c r="AP23" i="10"/>
  <c r="AP34" i="10"/>
  <c r="AP28" i="10"/>
  <c r="AQ200" i="10"/>
  <c r="AP128" i="10"/>
  <c r="AP107" i="10"/>
  <c r="AQ107" i="10" s="1"/>
  <c r="AP35" i="10"/>
  <c r="AO62" i="10"/>
  <c r="AR62" i="10" s="1"/>
  <c r="AO78" i="10"/>
  <c r="AR78" i="10" s="1"/>
  <c r="AO198" i="10"/>
  <c r="AR198" i="10" s="1"/>
  <c r="AP55" i="10"/>
  <c r="AQ151" i="10"/>
  <c r="AO56" i="10"/>
  <c r="AR56" i="10" s="1"/>
  <c r="AP184" i="10"/>
  <c r="AP33" i="10"/>
  <c r="AO149" i="10"/>
  <c r="AR149" i="10" s="1"/>
  <c r="AP140" i="10"/>
  <c r="AO106" i="10"/>
  <c r="AR106" i="10" s="1"/>
  <c r="AP171" i="10"/>
  <c r="AP13" i="10"/>
  <c r="AO73" i="10"/>
  <c r="AR73" i="10" s="1"/>
  <c r="AP90" i="10"/>
  <c r="AQ90" i="10" s="1"/>
  <c r="AP147" i="10"/>
  <c r="AP167" i="10"/>
  <c r="AP100" i="10"/>
  <c r="AQ100" i="10" s="1"/>
  <c r="AP25" i="10"/>
  <c r="AP119" i="10"/>
  <c r="AP154" i="10"/>
  <c r="AP116" i="10"/>
  <c r="AQ116" i="10" s="1"/>
  <c r="AO125" i="10"/>
  <c r="AR125" i="10" s="1"/>
  <c r="AO20" i="10"/>
  <c r="AR20" i="10" s="1"/>
  <c r="AO9" i="10"/>
  <c r="AR9" i="10" s="1"/>
  <c r="AP66" i="10"/>
  <c r="AO148" i="10"/>
  <c r="AR148" i="10" s="1"/>
  <c r="AO11" i="10"/>
  <c r="AR11" i="10" s="1"/>
  <c r="AO195" i="10"/>
  <c r="AR195" i="10" s="1"/>
  <c r="AO104" i="10"/>
  <c r="AR104" i="10" s="1"/>
  <c r="AP81" i="10"/>
  <c r="AO165" i="10"/>
  <c r="AR165" i="10" s="1"/>
  <c r="AP96" i="10"/>
  <c r="AQ96" i="10" s="1"/>
  <c r="AP172" i="10"/>
  <c r="AQ172" i="10" s="1"/>
  <c r="AO99" i="10"/>
  <c r="AR99" i="10" s="1"/>
  <c r="AP67" i="10"/>
  <c r="AQ67" i="10" s="1"/>
  <c r="AP31" i="10"/>
  <c r="AO49" i="10"/>
  <c r="AR49" i="10" s="1"/>
  <c r="AO181" i="10"/>
  <c r="AR181" i="10" s="1"/>
  <c r="AO151" i="10"/>
  <c r="AR151" i="10" s="1"/>
  <c r="AO110" i="10"/>
  <c r="AR110" i="10" s="1"/>
  <c r="AP183" i="10"/>
  <c r="AP170" i="10"/>
  <c r="AO121" i="10"/>
  <c r="AR121" i="10" s="1"/>
  <c r="AP102" i="10"/>
  <c r="AQ102" i="10" s="1"/>
  <c r="AP135" i="10"/>
  <c r="AP142" i="10"/>
  <c r="AQ142" i="10" s="1"/>
  <c r="AO160" i="10"/>
  <c r="AR160" i="10" s="1"/>
  <c r="AP152" i="10"/>
  <c r="AQ152" i="10" s="1"/>
  <c r="AO14" i="10"/>
  <c r="AR14" i="10" s="1"/>
  <c r="AP59" i="10"/>
  <c r="AQ59" i="10" s="1"/>
  <c r="AQ121" i="10"/>
  <c r="AP87" i="10"/>
  <c r="AQ87" i="10" s="1"/>
  <c r="AP190" i="10"/>
  <c r="AQ190" i="10" s="1"/>
  <c r="AO24" i="10"/>
  <c r="AR24" i="10" s="1"/>
  <c r="AO77" i="10"/>
  <c r="AR77" i="10" s="1"/>
  <c r="AP169" i="10"/>
  <c r="AQ169" i="10" s="1"/>
  <c r="AO159" i="10"/>
  <c r="AR159" i="10" s="1"/>
  <c r="AO80" i="10"/>
  <c r="AR80" i="10" s="1"/>
  <c r="AO98" i="10"/>
  <c r="AR98" i="10" s="1"/>
  <c r="AP79" i="10"/>
  <c r="AQ79" i="10" s="1"/>
  <c r="AP131" i="10"/>
  <c r="AP44" i="10"/>
  <c r="AP92" i="10"/>
  <c r="AQ92" i="10" s="1"/>
  <c r="AP105" i="10"/>
  <c r="AO201" i="10"/>
  <c r="AR201" i="10" s="1"/>
  <c r="AP32" i="10"/>
  <c r="AP45" i="10"/>
  <c r="AO89" i="10"/>
  <c r="AR89" i="10" s="1"/>
  <c r="AP52" i="10"/>
  <c r="AP144" i="10"/>
  <c r="AO174" i="10"/>
  <c r="AR174" i="10" s="1"/>
  <c r="AP8" i="10"/>
  <c r="AO145" i="10"/>
  <c r="AR145" i="10" s="1"/>
  <c r="AP41" i="10"/>
  <c r="AO127" i="10"/>
  <c r="AR127" i="10" s="1"/>
  <c r="AP122" i="10"/>
  <c r="AO85" i="10"/>
  <c r="AR85" i="10" s="1"/>
  <c r="AO21" i="10"/>
  <c r="AR21" i="10" s="1"/>
  <c r="AO124" i="10"/>
  <c r="AR124" i="10" s="1"/>
  <c r="AO197" i="10"/>
  <c r="AR197" i="10" s="1"/>
  <c r="AO51" i="10"/>
  <c r="AR51" i="10" s="1"/>
  <c r="AO118" i="10"/>
  <c r="AR118" i="10" s="1"/>
  <c r="AQ99" i="10"/>
  <c r="AP156" i="10"/>
  <c r="AQ156" i="10" s="1"/>
  <c r="AP191" i="10"/>
  <c r="AQ191" i="10" s="1"/>
  <c r="AO22" i="10"/>
  <c r="AR22" i="10" s="1"/>
  <c r="AP69" i="10"/>
  <c r="AO101" i="10"/>
  <c r="AR101" i="10" s="1"/>
  <c r="AP86" i="10"/>
  <c r="AQ86" i="10" s="1"/>
  <c r="AO86" i="10"/>
  <c r="AR86" i="10" s="1"/>
  <c r="AO134" i="10"/>
  <c r="AR134" i="10" s="1"/>
  <c r="AP139" i="10"/>
  <c r="AP26" i="10"/>
  <c r="AP185" i="10"/>
  <c r="AQ185" i="10" s="1"/>
  <c r="AP192" i="10"/>
  <c r="AQ192" i="10" s="1"/>
  <c r="AP4" i="10"/>
  <c r="AQ4" i="10" s="1"/>
  <c r="AP6" i="10"/>
  <c r="AO188" i="10"/>
  <c r="AR188" i="10" s="1"/>
  <c r="AO108" i="10"/>
  <c r="AR108" i="10" s="1"/>
  <c r="AP109" i="10"/>
  <c r="AQ109" i="10" s="1"/>
  <c r="AF128" i="10"/>
  <c r="AF195" i="10"/>
  <c r="AF135" i="10"/>
  <c r="AF170" i="10"/>
  <c r="AF143" i="10"/>
  <c r="AG143" i="10" s="1"/>
  <c r="AF177" i="10"/>
  <c r="AP133" i="10"/>
  <c r="AO36" i="10"/>
  <c r="AR36" i="10" s="1"/>
  <c r="AO111" i="10"/>
  <c r="AR111" i="10" s="1"/>
  <c r="AO74" i="10"/>
  <c r="AR74" i="10" s="1"/>
  <c r="AF118" i="10"/>
  <c r="AF160" i="10"/>
  <c r="AF82" i="10"/>
  <c r="AO166" i="10"/>
  <c r="AR166" i="10" s="1"/>
  <c r="AO202" i="10"/>
  <c r="AR202" i="10" s="1"/>
  <c r="AP143" i="10"/>
  <c r="AQ143" i="10" s="1"/>
  <c r="AQ93" i="10"/>
  <c r="AO42" i="10"/>
  <c r="AR42" i="10" s="1"/>
  <c r="AF192" i="10"/>
  <c r="AF137" i="10"/>
  <c r="AF6" i="10"/>
  <c r="AF168" i="10"/>
  <c r="AF185" i="10"/>
  <c r="AG185" i="10" s="1"/>
  <c r="AF43" i="10"/>
  <c r="AH43" i="10" s="1"/>
  <c r="AI43" i="10" s="1"/>
  <c r="AF95" i="10"/>
  <c r="AG95" i="10" s="1"/>
  <c r="AF25" i="10"/>
  <c r="AF70" i="10"/>
  <c r="AF72" i="10"/>
  <c r="AH72" i="10" s="1"/>
  <c r="AI72" i="10" s="1"/>
  <c r="AF147" i="10"/>
  <c r="AF46" i="10"/>
  <c r="AF91" i="10"/>
  <c r="AF199" i="10"/>
  <c r="AF110" i="10"/>
  <c r="AF111" i="10"/>
  <c r="AF202" i="10"/>
  <c r="AO176" i="10"/>
  <c r="AR176" i="10" s="1"/>
  <c r="AO115" i="10"/>
  <c r="AR115" i="10" s="1"/>
  <c r="AO10" i="10"/>
  <c r="AR10" i="10" s="1"/>
  <c r="AF66" i="10"/>
  <c r="AF64" i="10"/>
  <c r="AF186" i="10"/>
  <c r="AF197" i="10"/>
  <c r="AF57" i="10"/>
  <c r="AP60" i="10"/>
  <c r="AQ176" i="10"/>
  <c r="AQ61" i="10"/>
  <c r="AF44" i="10"/>
  <c r="AQ115" i="10"/>
  <c r="AO95" i="10"/>
  <c r="AR95" i="10" s="1"/>
  <c r="AF7" i="10"/>
  <c r="AF2" i="10"/>
  <c r="AF148" i="10"/>
  <c r="AF113" i="10"/>
  <c r="AF190" i="10"/>
  <c r="AF56" i="10"/>
  <c r="AF136" i="10"/>
  <c r="AF174" i="10"/>
  <c r="AF31" i="10"/>
  <c r="AF182" i="10"/>
  <c r="AF162" i="10"/>
  <c r="AF106" i="10"/>
  <c r="AH106" i="10" s="1"/>
  <c r="AI106" i="10" s="1"/>
  <c r="AF194" i="10"/>
  <c r="AF23" i="10"/>
  <c r="AF49" i="10"/>
  <c r="AF52" i="10"/>
  <c r="AF123" i="10"/>
  <c r="AF68" i="10"/>
  <c r="AF9" i="10"/>
  <c r="AF78" i="10"/>
  <c r="AF16" i="10"/>
  <c r="AF8" i="10"/>
  <c r="AF32" i="10"/>
  <c r="AF124" i="10"/>
  <c r="AG124" i="10" s="1"/>
  <c r="AF112" i="10"/>
  <c r="AF97" i="10"/>
  <c r="AF89" i="10"/>
  <c r="AF126" i="10"/>
  <c r="AO138" i="10"/>
  <c r="AR138" i="10" s="1"/>
  <c r="AP63" i="10"/>
  <c r="AF50" i="10"/>
  <c r="AF22" i="10"/>
  <c r="AF14" i="10"/>
  <c r="AF37" i="10"/>
  <c r="AF17" i="10"/>
  <c r="AF33" i="10"/>
  <c r="AF18" i="10"/>
  <c r="AF141" i="10"/>
  <c r="AH141" i="10" s="1"/>
  <c r="AI141" i="10" s="1"/>
  <c r="AF81" i="10"/>
  <c r="AG81" i="10" s="1"/>
  <c r="AF107" i="10"/>
  <c r="AF140" i="10"/>
  <c r="AF76" i="10"/>
  <c r="AF154" i="10"/>
  <c r="AF201" i="10"/>
  <c r="AF105" i="10"/>
  <c r="AH105" i="10" s="1"/>
  <c r="AI105" i="10" s="1"/>
  <c r="AO93" i="10"/>
  <c r="AR93" i="10" s="1"/>
  <c r="AO61" i="10"/>
  <c r="AR61" i="10" s="1"/>
  <c r="AF24" i="10"/>
  <c r="AP163" i="10"/>
  <c r="AF39" i="10"/>
  <c r="AF47" i="10"/>
  <c r="AF84" i="10"/>
  <c r="AF184" i="10"/>
  <c r="AG184" i="10" s="1"/>
  <c r="AF198" i="10"/>
  <c r="AF104" i="10"/>
  <c r="AH104" i="10" s="1"/>
  <c r="AI104" i="10" s="1"/>
  <c r="AF94" i="10"/>
  <c r="AF133" i="10"/>
  <c r="AF73" i="10"/>
  <c r="AF127" i="10"/>
  <c r="AF178" i="10"/>
  <c r="AF125" i="10"/>
  <c r="AF65" i="10"/>
  <c r="AF172" i="10"/>
  <c r="AG172" i="10" s="1"/>
  <c r="AF108" i="10"/>
  <c r="AF48" i="10"/>
  <c r="AF55" i="10"/>
  <c r="AF40" i="10"/>
  <c r="AF36" i="10"/>
  <c r="AF19" i="10"/>
  <c r="AF75" i="10"/>
  <c r="AF134" i="10"/>
  <c r="AF119" i="10"/>
  <c r="AF71" i="10"/>
  <c r="AF164" i="10"/>
  <c r="AF146" i="10"/>
  <c r="AF92" i="10"/>
  <c r="AF142" i="10"/>
  <c r="AF149" i="10"/>
  <c r="AO141" i="10"/>
  <c r="AR141" i="10" s="1"/>
  <c r="AP117" i="10"/>
  <c r="AO47" i="10"/>
  <c r="AR47" i="10" s="1"/>
  <c r="AO2" i="10"/>
  <c r="AR2" i="10" s="1"/>
  <c r="AO15" i="10"/>
  <c r="AR15" i="10" s="1"/>
  <c r="AF20" i="10"/>
  <c r="AG20" i="10" s="1"/>
  <c r="AF150" i="10"/>
  <c r="AH150" i="10" s="1"/>
  <c r="AI150" i="10" s="1"/>
  <c r="AF28" i="10"/>
  <c r="AF53" i="10"/>
  <c r="AF27" i="10"/>
  <c r="AF26" i="10"/>
  <c r="AF3" i="10"/>
  <c r="AF11" i="10"/>
  <c r="AH11" i="10" s="1"/>
  <c r="AI11" i="10" s="1"/>
  <c r="AF102" i="10"/>
  <c r="AF144" i="10"/>
  <c r="AF80" i="10"/>
  <c r="AF173" i="10"/>
  <c r="AF103" i="10"/>
  <c r="AH103" i="10" s="1"/>
  <c r="AI103" i="10" s="1"/>
  <c r="AF189" i="10"/>
  <c r="AF129" i="10"/>
  <c r="AH129" i="10" s="1"/>
  <c r="AI129" i="10" s="1"/>
  <c r="AF60" i="10"/>
  <c r="AF122" i="10"/>
  <c r="AF163" i="10"/>
  <c r="AF62" i="10"/>
  <c r="AF179" i="10"/>
  <c r="AF58" i="10"/>
  <c r="AF90" i="10"/>
  <c r="AG90" i="10" s="1"/>
  <c r="AF196" i="10"/>
  <c r="AG196" i="10" s="1"/>
  <c r="AF10" i="10"/>
  <c r="AF12" i="10"/>
  <c r="AF35" i="10"/>
  <c r="AF30" i="10"/>
  <c r="AF45" i="10"/>
  <c r="AF15" i="10"/>
  <c r="AH15" i="10" s="1"/>
  <c r="AI15" i="10" s="1"/>
  <c r="AF29" i="10"/>
  <c r="AF54" i="10"/>
  <c r="AG54" i="10" s="1"/>
  <c r="AF153" i="10"/>
  <c r="AF116" i="10"/>
  <c r="AF88" i="10"/>
  <c r="AH88" i="10" s="1"/>
  <c r="AI88" i="10" s="1"/>
  <c r="AF166" i="10"/>
  <c r="AF96" i="10"/>
  <c r="AG96" i="10" s="1"/>
  <c r="AF114" i="10"/>
  <c r="AF139" i="10"/>
  <c r="AF130" i="10"/>
  <c r="AF167" i="10"/>
  <c r="AF193" i="10"/>
  <c r="AG193" i="10" s="1"/>
  <c r="AF83" i="10"/>
  <c r="AG83" i="10" s="1"/>
  <c r="AF181" i="10"/>
  <c r="AF138" i="10"/>
  <c r="AF69" i="10"/>
  <c r="AH69" i="10" s="1"/>
  <c r="AI69" i="10" s="1"/>
  <c r="AF74" i="10"/>
  <c r="AF183" i="10"/>
  <c r="AH183" i="10" s="1"/>
  <c r="AI183" i="10" s="1"/>
  <c r="AF187" i="10"/>
  <c r="AF158" i="10"/>
  <c r="AF171" i="10"/>
  <c r="AF159" i="10"/>
  <c r="AF180" i="10"/>
  <c r="AF77" i="10"/>
  <c r="AF41" i="10"/>
  <c r="AF42" i="10"/>
  <c r="AF21" i="10"/>
  <c r="AF38" i="10"/>
  <c r="AF13" i="10"/>
  <c r="AF51" i="10"/>
  <c r="AG51" i="10" s="1"/>
  <c r="AF34" i="10"/>
  <c r="AF4" i="10"/>
  <c r="AG4" i="10" s="1"/>
  <c r="AF152" i="10"/>
  <c r="AF59" i="10"/>
  <c r="AG59" i="10" s="1"/>
  <c r="AF145" i="10"/>
  <c r="AF86" i="10"/>
  <c r="AF156" i="10"/>
  <c r="AF165" i="10"/>
  <c r="AF67" i="10"/>
  <c r="AF175" i="10"/>
  <c r="AF191" i="10"/>
  <c r="AF79" i="10"/>
  <c r="AF85" i="10"/>
  <c r="AF101" i="10"/>
  <c r="AF117" i="10"/>
  <c r="AF157" i="10"/>
  <c r="AF169" i="10"/>
  <c r="AF63" i="10"/>
  <c r="AF93" i="10"/>
  <c r="AG93" i="10" s="1"/>
  <c r="AF151" i="10"/>
  <c r="AH151" i="10" s="1"/>
  <c r="AI151" i="10" s="1"/>
  <c r="AF61" i="10"/>
  <c r="AH61" i="10" s="1"/>
  <c r="AI61" i="10" s="1"/>
  <c r="AF87" i="10"/>
  <c r="AH87" i="10" s="1"/>
  <c r="AI87" i="10" s="1"/>
  <c r="AF99" i="10"/>
  <c r="AG99" i="10" s="1"/>
  <c r="AF176" i="10"/>
  <c r="AH176" i="10" s="1"/>
  <c r="AI176" i="10" s="1"/>
  <c r="AQ188" i="10"/>
  <c r="AF188" i="10"/>
  <c r="AH188" i="10" s="1"/>
  <c r="AI188" i="10" s="1"/>
  <c r="AF115" i="10"/>
  <c r="AG115" i="10" s="1"/>
  <c r="AF200" i="10"/>
  <c r="AG200" i="10" s="1"/>
  <c r="AF155" i="10"/>
  <c r="AG155" i="10" s="1"/>
  <c r="AF121" i="10"/>
  <c r="AG121" i="10" s="1"/>
  <c r="AF100" i="10"/>
  <c r="AH100" i="10" s="1"/>
  <c r="AI100" i="10" s="1"/>
  <c r="AQ175" i="10"/>
  <c r="AQ145" i="10"/>
  <c r="AQ85" i="10"/>
  <c r="AQ159" i="10"/>
  <c r="AQ64" i="10"/>
  <c r="AQ129" i="10"/>
  <c r="AQ57" i="10"/>
  <c r="AQ84" i="10"/>
  <c r="AQ198" i="10"/>
  <c r="AQ73" i="10"/>
  <c r="AQ127" i="10"/>
  <c r="AQ51" i="10"/>
  <c r="AQ20" i="10"/>
  <c r="AQ101" i="10"/>
  <c r="AQ197" i="10"/>
  <c r="AH5" i="10"/>
  <c r="AI5" i="10" s="1"/>
  <c r="AQ5" i="10"/>
  <c r="AQ15" i="10"/>
  <c r="AQ54" i="10"/>
  <c r="AQ43" i="10"/>
  <c r="AQ75" i="10"/>
  <c r="AQ162" i="10"/>
  <c r="AQ111" i="10"/>
  <c r="AQ134" i="10"/>
  <c r="AH131" i="10"/>
  <c r="AI131" i="10" s="1"/>
  <c r="AQ71" i="10"/>
  <c r="AG160" i="10"/>
  <c r="AH82" i="10"/>
  <c r="AI82" i="10" s="1"/>
  <c r="AH195" i="10"/>
  <c r="AI195" i="10" s="1"/>
  <c r="AG129" i="10"/>
  <c r="AH68" i="10"/>
  <c r="AI68" i="10" s="1"/>
  <c r="AG109" i="10"/>
  <c r="AH109" i="10"/>
  <c r="AI109" i="10" s="1"/>
  <c r="AQ74" i="10"/>
  <c r="AQ148" i="10"/>
  <c r="AQ112" i="10"/>
  <c r="AQ164" i="10"/>
  <c r="AH120" i="10"/>
  <c r="AI120" i="10" s="1"/>
  <c r="AG120" i="10"/>
  <c r="AH64" i="10"/>
  <c r="AI64" i="10" s="1"/>
  <c r="AG64" i="10"/>
  <c r="AH90" i="10"/>
  <c r="AI90" i="10" s="1"/>
  <c r="AQ189" i="10"/>
  <c r="AQ181" i="10"/>
  <c r="AQ178" i="10"/>
  <c r="AQ128" i="10"/>
  <c r="AQ199" i="10"/>
  <c r="AQ108" i="10"/>
  <c r="AQ158" i="10"/>
  <c r="AQ110" i="10"/>
  <c r="AQ202" i="10"/>
  <c r="AG43" i="10"/>
  <c r="AG5" i="10"/>
  <c r="AH143" i="10" l="1"/>
  <c r="AI143" i="10" s="1"/>
  <c r="AT151" i="10"/>
  <c r="AT100" i="10"/>
  <c r="AT87" i="10"/>
  <c r="AG176" i="10"/>
  <c r="AH185" i="10"/>
  <c r="AI185" i="10" s="1"/>
  <c r="AG15" i="10"/>
  <c r="AJ15" i="10" s="1"/>
  <c r="AS15" i="10" s="1"/>
  <c r="AG151" i="10"/>
  <c r="AT61" i="10"/>
  <c r="AT90" i="10"/>
  <c r="AT188" i="10"/>
  <c r="AT176" i="10"/>
  <c r="AH99" i="10"/>
  <c r="AI99" i="10" s="1"/>
  <c r="AT99" i="10" s="1"/>
  <c r="AG100" i="10"/>
  <c r="AJ100" i="10" s="1"/>
  <c r="AS100" i="10" s="1"/>
  <c r="AG61" i="10"/>
  <c r="AH54" i="10"/>
  <c r="AI54" i="10" s="1"/>
  <c r="AT54" i="10" s="1"/>
  <c r="AG188" i="10"/>
  <c r="AJ188" i="10" s="1"/>
  <c r="AS188" i="10" s="1"/>
  <c r="AH155" i="10"/>
  <c r="AI155" i="10" s="1"/>
  <c r="AT155" i="10" s="1"/>
  <c r="AH51" i="10"/>
  <c r="AI51" i="10" s="1"/>
  <c r="AH196" i="10"/>
  <c r="AI196" i="10" s="1"/>
  <c r="AT196" i="10" s="1"/>
  <c r="AH20" i="10"/>
  <c r="AI20" i="10" s="1"/>
  <c r="AT20" i="10" s="1"/>
  <c r="AH93" i="10"/>
  <c r="AI93" i="10" s="1"/>
  <c r="AT93" i="10" s="1"/>
  <c r="AH4" i="10"/>
  <c r="AI4" i="10" s="1"/>
  <c r="AT4" i="10" s="1"/>
  <c r="AH121" i="10"/>
  <c r="AI121" i="10" s="1"/>
  <c r="AT121" i="10" s="1"/>
  <c r="AG87" i="10"/>
  <c r="AJ87" i="10" s="1"/>
  <c r="AS87" i="10" s="1"/>
  <c r="AH200" i="10"/>
  <c r="AI200" i="10" s="1"/>
  <c r="AT200" i="10" s="1"/>
  <c r="AH115" i="10"/>
  <c r="AI115" i="10" s="1"/>
  <c r="AT115" i="10" s="1"/>
  <c r="AG102" i="10"/>
  <c r="AJ102" i="10" s="1"/>
  <c r="AS102" i="10" s="1"/>
  <c r="AH175" i="10"/>
  <c r="AI175" i="10" s="1"/>
  <c r="AT175" i="10" s="1"/>
  <c r="AG79" i="10"/>
  <c r="AJ79" i="10" s="1"/>
  <c r="AS79" i="10" s="1"/>
  <c r="AH191" i="10"/>
  <c r="AI191" i="10" s="1"/>
  <c r="AT191" i="10" s="1"/>
  <c r="AH79" i="10"/>
  <c r="AI79" i="10" s="1"/>
  <c r="AT79" i="10" s="1"/>
  <c r="AH85" i="10"/>
  <c r="AI85" i="10" s="1"/>
  <c r="AT85" i="10" s="1"/>
  <c r="AH59" i="10"/>
  <c r="AI59" i="10" s="1"/>
  <c r="AT59" i="10" s="1"/>
  <c r="AG85" i="10"/>
  <c r="AJ85" i="10" s="1"/>
  <c r="AS85" i="10" s="1"/>
  <c r="AG175" i="10"/>
  <c r="AJ175" i="10" s="1"/>
  <c r="AS175" i="10" s="1"/>
  <c r="AH145" i="10"/>
  <c r="AI145" i="10" s="1"/>
  <c r="AT145" i="10" s="1"/>
  <c r="AG191" i="10"/>
  <c r="AJ191" i="10" s="1"/>
  <c r="AS191" i="10" s="1"/>
  <c r="AG145" i="10"/>
  <c r="AJ145" i="10" s="1"/>
  <c r="AS145" i="10" s="1"/>
  <c r="AH96" i="10"/>
  <c r="AI96" i="10" s="1"/>
  <c r="AT96" i="10" s="1"/>
  <c r="AH123" i="10"/>
  <c r="AI123" i="10" s="1"/>
  <c r="AT123" i="10" s="1"/>
  <c r="AH193" i="10"/>
  <c r="AI193" i="10" s="1"/>
  <c r="AT193" i="10" s="1"/>
  <c r="AG123" i="10"/>
  <c r="AJ123" i="10" s="1"/>
  <c r="AS123" i="10" s="1"/>
  <c r="AH83" i="10"/>
  <c r="AI83" i="10" s="1"/>
  <c r="AT83" i="10" s="1"/>
  <c r="AH65" i="10"/>
  <c r="AI65" i="10" s="1"/>
  <c r="AT65" i="10" s="1"/>
  <c r="AG65" i="10"/>
  <c r="AJ65" i="10" s="1"/>
  <c r="AS65" i="10" s="1"/>
  <c r="AT64" i="10"/>
  <c r="AG159" i="10"/>
  <c r="AJ159" i="10" s="1"/>
  <c r="AS159" i="10" s="1"/>
  <c r="AT129" i="10"/>
  <c r="AH172" i="10"/>
  <c r="AI172" i="10" s="1"/>
  <c r="AT172" i="10" s="1"/>
  <c r="AH159" i="10"/>
  <c r="AI159" i="10" s="1"/>
  <c r="AT159" i="10" s="1"/>
  <c r="AT143" i="10"/>
  <c r="AT185" i="10"/>
  <c r="AT120" i="10"/>
  <c r="AT109" i="10"/>
  <c r="AH57" i="10"/>
  <c r="AI57" i="10" s="1"/>
  <c r="AT57" i="10" s="1"/>
  <c r="AG57" i="10"/>
  <c r="AJ57" i="10" s="1"/>
  <c r="AS57" i="10" s="1"/>
  <c r="AG127" i="10"/>
  <c r="AH169" i="10"/>
  <c r="AI169" i="10" s="1"/>
  <c r="AT169" i="10" s="1"/>
  <c r="AG84" i="10"/>
  <c r="AJ84" i="10" s="1"/>
  <c r="AS84" i="10" s="1"/>
  <c r="AH73" i="10"/>
  <c r="AI73" i="10" s="1"/>
  <c r="AT73" i="10" s="1"/>
  <c r="AH84" i="10"/>
  <c r="AI84" i="10" s="1"/>
  <c r="AT84" i="10" s="1"/>
  <c r="AH102" i="10"/>
  <c r="AI102" i="10" s="1"/>
  <c r="AT102" i="10" s="1"/>
  <c r="AG71" i="10"/>
  <c r="AJ71" i="10" s="1"/>
  <c r="AS71" i="10" s="1"/>
  <c r="AG73" i="10"/>
  <c r="AJ73" i="10" s="1"/>
  <c r="AS73" i="10" s="1"/>
  <c r="AH198" i="10"/>
  <c r="AI198" i="10" s="1"/>
  <c r="AT198" i="10" s="1"/>
  <c r="AH127" i="10"/>
  <c r="AI127" i="10" s="1"/>
  <c r="AT127" i="10" s="1"/>
  <c r="AT5" i="10"/>
  <c r="AH75" i="10"/>
  <c r="AI75" i="10" s="1"/>
  <c r="AT75" i="10" s="1"/>
  <c r="AT43" i="10"/>
  <c r="AT15" i="10"/>
  <c r="AT51" i="10"/>
  <c r="AG2" i="10"/>
  <c r="AJ2" i="10" s="1"/>
  <c r="AS2" i="10" s="1"/>
  <c r="AH2" i="10"/>
  <c r="AI2" i="10" s="1"/>
  <c r="AH71" i="10"/>
  <c r="AI71" i="10" s="1"/>
  <c r="AT71" i="10" s="1"/>
  <c r="AG169" i="10"/>
  <c r="AJ169" i="10" s="1"/>
  <c r="AS169" i="10" s="1"/>
  <c r="AG198" i="10"/>
  <c r="AJ198" i="10" s="1"/>
  <c r="AS198" i="10" s="1"/>
  <c r="AG134" i="10"/>
  <c r="AJ134" i="10" s="1"/>
  <c r="AS134" i="10" s="1"/>
  <c r="AH197" i="10"/>
  <c r="AI197" i="10" s="1"/>
  <c r="AT197" i="10" s="1"/>
  <c r="AH101" i="10"/>
  <c r="AI101" i="10" s="1"/>
  <c r="AT101" i="10" s="1"/>
  <c r="AG75" i="10"/>
  <c r="AJ75" i="10" s="1"/>
  <c r="AS75" i="10" s="1"/>
  <c r="AH190" i="10"/>
  <c r="AI190" i="10" s="1"/>
  <c r="AT190" i="10" s="1"/>
  <c r="AG197" i="10"/>
  <c r="AH134" i="10"/>
  <c r="AI134" i="10" s="1"/>
  <c r="AT134" i="10" s="1"/>
  <c r="AG190" i="10"/>
  <c r="AJ190" i="10" s="1"/>
  <c r="AS190" i="10" s="1"/>
  <c r="AH146" i="10"/>
  <c r="AI146" i="10" s="1"/>
  <c r="AT146" i="10" s="1"/>
  <c r="AH86" i="10"/>
  <c r="AI86" i="10" s="1"/>
  <c r="AT86" i="10" s="1"/>
  <c r="AH107" i="10"/>
  <c r="AI107" i="10" s="1"/>
  <c r="AT107" i="10" s="1"/>
  <c r="AH182" i="10"/>
  <c r="AI182" i="10" s="1"/>
  <c r="AT182" i="10" s="1"/>
  <c r="AG86" i="10"/>
  <c r="AJ86" i="10" s="1"/>
  <c r="AS86" i="10" s="1"/>
  <c r="AG101" i="10"/>
  <c r="AG162" i="10"/>
  <c r="AH111" i="10"/>
  <c r="AI111" i="10" s="1"/>
  <c r="AT111" i="10" s="1"/>
  <c r="AJ54" i="10"/>
  <c r="AS54" i="10" s="1"/>
  <c r="AJ43" i="10"/>
  <c r="AS43" i="10" s="1"/>
  <c r="AH7" i="10"/>
  <c r="AI7" i="10" s="1"/>
  <c r="AQ7" i="10"/>
  <c r="AG55" i="10"/>
  <c r="AQ55" i="10"/>
  <c r="AH44" i="10"/>
  <c r="AI44" i="10" s="1"/>
  <c r="AQ44" i="10"/>
  <c r="AG32" i="10"/>
  <c r="AQ32" i="10"/>
  <c r="AG50" i="10"/>
  <c r="AQ50" i="10"/>
  <c r="AG36" i="10"/>
  <c r="AQ36" i="10"/>
  <c r="AH17" i="10"/>
  <c r="AI17" i="10" s="1"/>
  <c r="AQ17" i="10"/>
  <c r="AH29" i="10"/>
  <c r="AI29" i="10" s="1"/>
  <c r="AQ29" i="10"/>
  <c r="AG30" i="10"/>
  <c r="AQ30" i="10"/>
  <c r="AG16" i="10"/>
  <c r="AQ16" i="10"/>
  <c r="AJ90" i="10"/>
  <c r="AS90" i="10" s="1"/>
  <c r="AJ64" i="10"/>
  <c r="AS64" i="10" s="1"/>
  <c r="AJ115" i="10"/>
  <c r="AS115" i="10" s="1"/>
  <c r="AJ81" i="10"/>
  <c r="AS81" i="10" s="1"/>
  <c r="AH126" i="10"/>
  <c r="AI126" i="10" s="1"/>
  <c r="AQ126" i="10"/>
  <c r="AH133" i="10"/>
  <c r="AI133" i="10" s="1"/>
  <c r="AQ133" i="10"/>
  <c r="AG60" i="10"/>
  <c r="AQ60" i="10"/>
  <c r="AG161" i="10"/>
  <c r="AQ161" i="10"/>
  <c r="AG187" i="10"/>
  <c r="AQ187" i="10"/>
  <c r="AH135" i="10"/>
  <c r="AI135" i="10" s="1"/>
  <c r="AQ135" i="10"/>
  <c r="AG153" i="10"/>
  <c r="AQ153" i="10"/>
  <c r="AH165" i="10"/>
  <c r="AI165" i="10" s="1"/>
  <c r="AQ165" i="10"/>
  <c r="AG171" i="10"/>
  <c r="AQ171" i="10"/>
  <c r="AH138" i="10"/>
  <c r="AI138" i="10" s="1"/>
  <c r="AQ138" i="10"/>
  <c r="AH174" i="10"/>
  <c r="AI174" i="10" s="1"/>
  <c r="AQ174" i="10"/>
  <c r="AH167" i="10"/>
  <c r="AI167" i="10" s="1"/>
  <c r="AQ167" i="10"/>
  <c r="AG139" i="10"/>
  <c r="AQ139" i="10"/>
  <c r="AG141" i="10"/>
  <c r="AQ141" i="10"/>
  <c r="AT141" i="10" s="1"/>
  <c r="AG68" i="10"/>
  <c r="AQ68" i="10"/>
  <c r="AT68" i="10" s="1"/>
  <c r="AG94" i="10"/>
  <c r="AQ94" i="10"/>
  <c r="AH113" i="10"/>
  <c r="AI113" i="10" s="1"/>
  <c r="AQ113" i="10"/>
  <c r="AH98" i="10"/>
  <c r="AI98" i="10" s="1"/>
  <c r="AQ98" i="10"/>
  <c r="AG23" i="10"/>
  <c r="AQ23" i="10"/>
  <c r="AG119" i="10"/>
  <c r="AQ119" i="10"/>
  <c r="AG63" i="10"/>
  <c r="AQ63" i="10"/>
  <c r="AG89" i="10"/>
  <c r="AQ89" i="10"/>
  <c r="AG24" i="10"/>
  <c r="AQ24" i="10"/>
  <c r="AH53" i="10"/>
  <c r="AI53" i="10" s="1"/>
  <c r="AQ53" i="10"/>
  <c r="AH46" i="10"/>
  <c r="AI46" i="10" s="1"/>
  <c r="AQ46" i="10"/>
  <c r="AH21" i="10"/>
  <c r="AI21" i="10" s="1"/>
  <c r="AQ21" i="10"/>
  <c r="AG22" i="10"/>
  <c r="AQ22" i="10"/>
  <c r="AH27" i="10"/>
  <c r="AI27" i="10" s="1"/>
  <c r="AQ27" i="10"/>
  <c r="AH33" i="10"/>
  <c r="AI33" i="10" s="1"/>
  <c r="AQ33" i="10"/>
  <c r="AH45" i="10"/>
  <c r="AI45" i="10" s="1"/>
  <c r="AQ45" i="10"/>
  <c r="AG34" i="10"/>
  <c r="AQ34" i="10"/>
  <c r="AH52" i="10"/>
  <c r="AI52" i="10" s="1"/>
  <c r="AQ52" i="10"/>
  <c r="AH49" i="10"/>
  <c r="AI49" i="10" s="1"/>
  <c r="AQ49" i="10"/>
  <c r="AJ185" i="10"/>
  <c r="AS185" i="10" s="1"/>
  <c r="AJ121" i="10"/>
  <c r="AS121" i="10" s="1"/>
  <c r="AJ61" i="10"/>
  <c r="AS61" i="10" s="1"/>
  <c r="AJ176" i="10"/>
  <c r="AS176" i="10" s="1"/>
  <c r="AJ160" i="10"/>
  <c r="AS160" i="10" s="1"/>
  <c r="AJ95" i="10"/>
  <c r="AS95" i="10" s="1"/>
  <c r="AJ155" i="10"/>
  <c r="AS155" i="10" s="1"/>
  <c r="AJ59" i="10"/>
  <c r="AS59" i="10" s="1"/>
  <c r="AJ172" i="10"/>
  <c r="AS172" i="10" s="1"/>
  <c r="AJ184" i="10"/>
  <c r="AS184" i="10" s="1"/>
  <c r="AG91" i="10"/>
  <c r="AQ91" i="10"/>
  <c r="AH170" i="10"/>
  <c r="AI170" i="10" s="1"/>
  <c r="AQ170" i="10"/>
  <c r="AH122" i="10"/>
  <c r="AI122" i="10" s="1"/>
  <c r="AQ122" i="10"/>
  <c r="AH173" i="10"/>
  <c r="AI173" i="10" s="1"/>
  <c r="AQ173" i="10"/>
  <c r="AH144" i="10"/>
  <c r="AI144" i="10" s="1"/>
  <c r="AQ144" i="10"/>
  <c r="AG194" i="10"/>
  <c r="AQ194" i="10"/>
  <c r="AG147" i="10"/>
  <c r="AQ147" i="10"/>
  <c r="AH180" i="10"/>
  <c r="AI180" i="10" s="1"/>
  <c r="AQ180" i="10"/>
  <c r="AG149" i="10"/>
  <c r="AQ149" i="10"/>
  <c r="AH95" i="10"/>
  <c r="AI95" i="10" s="1"/>
  <c r="AQ95" i="10"/>
  <c r="AH154" i="10"/>
  <c r="AI154" i="10" s="1"/>
  <c r="AQ154" i="10"/>
  <c r="AH140" i="10"/>
  <c r="AI140" i="10" s="1"/>
  <c r="AQ140" i="10"/>
  <c r="AH130" i="10"/>
  <c r="AI130" i="10" s="1"/>
  <c r="AQ130" i="10"/>
  <c r="AH81" i="10"/>
  <c r="AI81" i="10" s="1"/>
  <c r="AQ81" i="10"/>
  <c r="AH118" i="10"/>
  <c r="AI118" i="10" s="1"/>
  <c r="AQ118" i="10"/>
  <c r="AH179" i="10"/>
  <c r="AI179" i="10" s="1"/>
  <c r="AQ179" i="10"/>
  <c r="AG70" i="10"/>
  <c r="AQ70" i="10"/>
  <c r="AJ4" i="10"/>
  <c r="AS4" i="10" s="1"/>
  <c r="AJ51" i="10"/>
  <c r="AS51" i="10" s="1"/>
  <c r="AJ5" i="10"/>
  <c r="AS5" i="10" s="1"/>
  <c r="AG28" i="10"/>
  <c r="AQ28" i="10"/>
  <c r="AH8" i="10"/>
  <c r="AI8" i="10" s="1"/>
  <c r="AQ8" i="10"/>
  <c r="AH6" i="10"/>
  <c r="AI6" i="10" s="1"/>
  <c r="AQ6" i="10"/>
  <c r="AH38" i="10"/>
  <c r="AI38" i="10" s="1"/>
  <c r="AQ38" i="10"/>
  <c r="AH39" i="10"/>
  <c r="AI39" i="10" s="1"/>
  <c r="AQ39" i="10"/>
  <c r="AH3" i="10"/>
  <c r="AI3" i="10" s="1"/>
  <c r="AQ3" i="10"/>
  <c r="AG18" i="10"/>
  <c r="AQ18" i="10"/>
  <c r="AG13" i="10"/>
  <c r="AQ13" i="10"/>
  <c r="AG25" i="10"/>
  <c r="AQ25" i="10"/>
  <c r="AG48" i="10"/>
  <c r="AQ48" i="10"/>
  <c r="AG19" i="10"/>
  <c r="AQ19" i="10"/>
  <c r="AJ196" i="10"/>
  <c r="AS196" i="10" s="1"/>
  <c r="AJ96" i="10"/>
  <c r="AS96" i="10" s="1"/>
  <c r="AJ120" i="10"/>
  <c r="AS120" i="10" s="1"/>
  <c r="AJ83" i="10"/>
  <c r="AS83" i="10" s="1"/>
  <c r="AJ93" i="10"/>
  <c r="AS93" i="10" s="1"/>
  <c r="AJ193" i="10"/>
  <c r="AS193" i="10" s="1"/>
  <c r="AJ200" i="10"/>
  <c r="AS200" i="10" s="1"/>
  <c r="AJ124" i="10"/>
  <c r="AS124" i="10" s="1"/>
  <c r="AJ143" i="10"/>
  <c r="AS143" i="10" s="1"/>
  <c r="AJ129" i="10"/>
  <c r="AS129" i="10" s="1"/>
  <c r="AG58" i="10"/>
  <c r="AQ58" i="10"/>
  <c r="AH163" i="10"/>
  <c r="AI163" i="10" s="1"/>
  <c r="AQ163" i="10"/>
  <c r="AG104" i="10"/>
  <c r="AQ104" i="10"/>
  <c r="AT104" i="10" s="1"/>
  <c r="AG80" i="10"/>
  <c r="AQ80" i="10"/>
  <c r="AH184" i="10"/>
  <c r="AI184" i="10" s="1"/>
  <c r="AQ184" i="10"/>
  <c r="AH117" i="10"/>
  <c r="AI117" i="10" s="1"/>
  <c r="AQ117" i="10"/>
  <c r="AH125" i="10"/>
  <c r="AI125" i="10" s="1"/>
  <c r="AQ125" i="10"/>
  <c r="AG168" i="10"/>
  <c r="AQ168" i="10"/>
  <c r="AG69" i="10"/>
  <c r="AQ69" i="10"/>
  <c r="AT69" i="10" s="1"/>
  <c r="AH201" i="10"/>
  <c r="AI201" i="10" s="1"/>
  <c r="AQ201" i="10"/>
  <c r="AG76" i="10"/>
  <c r="AQ76" i="10"/>
  <c r="AH136" i="10"/>
  <c r="AI136" i="10" s="1"/>
  <c r="AQ136" i="10"/>
  <c r="AH166" i="10"/>
  <c r="AI166" i="10" s="1"/>
  <c r="AQ166" i="10"/>
  <c r="AH177" i="10"/>
  <c r="AI177" i="10" s="1"/>
  <c r="AQ177" i="10"/>
  <c r="AG78" i="10"/>
  <c r="AQ78" i="10"/>
  <c r="AG66" i="10"/>
  <c r="AQ66" i="10"/>
  <c r="AG72" i="10"/>
  <c r="AQ72" i="10"/>
  <c r="AT72" i="10" s="1"/>
  <c r="AG131" i="10"/>
  <c r="AQ131" i="10"/>
  <c r="AT131" i="10" s="1"/>
  <c r="AG47" i="10"/>
  <c r="AQ47" i="10"/>
  <c r="AG31" i="10"/>
  <c r="AQ31" i="10"/>
  <c r="AG41" i="10"/>
  <c r="AQ41" i="10"/>
  <c r="AG42" i="10"/>
  <c r="AQ42" i="10"/>
  <c r="AG10" i="10"/>
  <c r="AQ10" i="10"/>
  <c r="AG26" i="10"/>
  <c r="AQ26" i="10"/>
  <c r="AH37" i="10"/>
  <c r="AI37" i="10" s="1"/>
  <c r="AQ37" i="10"/>
  <c r="AG40" i="10"/>
  <c r="AQ40" i="10"/>
  <c r="AH35" i="10"/>
  <c r="AI35" i="10" s="1"/>
  <c r="AQ35" i="10"/>
  <c r="AH12" i="10"/>
  <c r="AI12" i="10" s="1"/>
  <c r="AQ12" i="10"/>
  <c r="AG56" i="10"/>
  <c r="AQ56" i="10"/>
  <c r="AG14" i="10"/>
  <c r="AQ14" i="10"/>
  <c r="AJ99" i="10"/>
  <c r="AS99" i="10" s="1"/>
  <c r="AJ109" i="10"/>
  <c r="AS109" i="10" s="1"/>
  <c r="AJ151" i="10"/>
  <c r="AS151" i="10" s="1"/>
  <c r="AG97" i="10"/>
  <c r="AQ97" i="10"/>
  <c r="AG62" i="10"/>
  <c r="AQ62" i="10"/>
  <c r="AH124" i="10"/>
  <c r="AI124" i="10" s="1"/>
  <c r="AQ124" i="10"/>
  <c r="AG157" i="10"/>
  <c r="AQ157" i="10"/>
  <c r="AG77" i="10"/>
  <c r="AQ77" i="10"/>
  <c r="AH137" i="10"/>
  <c r="AI137" i="10" s="1"/>
  <c r="AQ137" i="10"/>
  <c r="AG195" i="10"/>
  <c r="AQ195" i="10"/>
  <c r="AT195" i="10" s="1"/>
  <c r="AG106" i="10"/>
  <c r="AQ106" i="10"/>
  <c r="AT106" i="10" s="1"/>
  <c r="AG183" i="10"/>
  <c r="AQ183" i="10"/>
  <c r="AT183" i="10" s="1"/>
  <c r="AG105" i="10"/>
  <c r="AQ105" i="10"/>
  <c r="AT105" i="10" s="1"/>
  <c r="AG82" i="10"/>
  <c r="AQ82" i="10"/>
  <c r="AT82" i="10" s="1"/>
  <c r="AH160" i="10"/>
  <c r="AI160" i="10" s="1"/>
  <c r="AQ160" i="10"/>
  <c r="AG88" i="10"/>
  <c r="AQ88" i="10"/>
  <c r="AT88" i="10" s="1"/>
  <c r="AH9" i="10"/>
  <c r="AI9" i="10" s="1"/>
  <c r="AQ9" i="10"/>
  <c r="AG103" i="10"/>
  <c r="AQ103" i="10"/>
  <c r="AT103" i="10" s="1"/>
  <c r="AG150" i="10"/>
  <c r="AQ150" i="10"/>
  <c r="AT150" i="10" s="1"/>
  <c r="AG11" i="10"/>
  <c r="AQ11" i="10"/>
  <c r="AT11" i="10" s="1"/>
  <c r="AJ20" i="10"/>
  <c r="AS20" i="10" s="1"/>
  <c r="AG138" i="10"/>
  <c r="AG192" i="10"/>
  <c r="AH23" i="10"/>
  <c r="AI23" i="10" s="1"/>
  <c r="AH132" i="10"/>
  <c r="AI132" i="10" s="1"/>
  <c r="AT132" i="10" s="1"/>
  <c r="AH192" i="10"/>
  <c r="AI192" i="10" s="1"/>
  <c r="AT192" i="10" s="1"/>
  <c r="AH94" i="10"/>
  <c r="AI94" i="10" s="1"/>
  <c r="AG182" i="10"/>
  <c r="AG98" i="10"/>
  <c r="AH139" i="10"/>
  <c r="AI139" i="10" s="1"/>
  <c r="AH70" i="10"/>
  <c r="AI70" i="10" s="1"/>
  <c r="AG132" i="10"/>
  <c r="AH162" i="10"/>
  <c r="AI162" i="10" s="1"/>
  <c r="AT162" i="10" s="1"/>
  <c r="AG135" i="10"/>
  <c r="AG107" i="10"/>
  <c r="AG111" i="10"/>
  <c r="AG146" i="10"/>
  <c r="AG179" i="10"/>
  <c r="AG113" i="10"/>
  <c r="AG174" i="10"/>
  <c r="AH63" i="10"/>
  <c r="AI63" i="10" s="1"/>
  <c r="AH60" i="10"/>
  <c r="AI60" i="10" s="1"/>
  <c r="AH89" i="10"/>
  <c r="AI89" i="10" s="1"/>
  <c r="AH119" i="10"/>
  <c r="AI119" i="10" s="1"/>
  <c r="AH147" i="10"/>
  <c r="AI147" i="10" s="1"/>
  <c r="AG118" i="10"/>
  <c r="AG167" i="10"/>
  <c r="AH194" i="10"/>
  <c r="AI194" i="10" s="1"/>
  <c r="AH171" i="10"/>
  <c r="AI171" i="10" s="1"/>
  <c r="AG133" i="10"/>
  <c r="AH187" i="10"/>
  <c r="AI187" i="10" s="1"/>
  <c r="AH47" i="10"/>
  <c r="AI47" i="10" s="1"/>
  <c r="AH80" i="10"/>
  <c r="AI80" i="10" s="1"/>
  <c r="AH66" i="10"/>
  <c r="AI66" i="10" s="1"/>
  <c r="AH168" i="10"/>
  <c r="AI168" i="10" s="1"/>
  <c r="AG163" i="10"/>
  <c r="AG9" i="10"/>
  <c r="AH62" i="10"/>
  <c r="AI62" i="10" s="1"/>
  <c r="AG125" i="10"/>
  <c r="AH76" i="10"/>
  <c r="AI76" i="10" s="1"/>
  <c r="AG166" i="10"/>
  <c r="AH157" i="10"/>
  <c r="AI157" i="10" s="1"/>
  <c r="AH34" i="10"/>
  <c r="AI34" i="10" s="1"/>
  <c r="AG49" i="10"/>
  <c r="AG117" i="10"/>
  <c r="AH153" i="10"/>
  <c r="AI153" i="10" s="1"/>
  <c r="AG165" i="10"/>
  <c r="AH97" i="10"/>
  <c r="AI97" i="10" s="1"/>
  <c r="AH161" i="10"/>
  <c r="AI161" i="10" s="1"/>
  <c r="AG126" i="10"/>
  <c r="AG122" i="10"/>
  <c r="AG180" i="10"/>
  <c r="AG154" i="10"/>
  <c r="AG136" i="10"/>
  <c r="AG177" i="10"/>
  <c r="AG201" i="10"/>
  <c r="AH78" i="10"/>
  <c r="AI78" i="10" s="1"/>
  <c r="AH58" i="10"/>
  <c r="AI58" i="10" s="1"/>
  <c r="AG170" i="10"/>
  <c r="AG144" i="10"/>
  <c r="AH149" i="10"/>
  <c r="AI149" i="10" s="1"/>
  <c r="AG140" i="10"/>
  <c r="AG130" i="10"/>
  <c r="AH91" i="10"/>
  <c r="AI91" i="10" s="1"/>
  <c r="AQ2" i="10"/>
  <c r="AG173" i="10"/>
  <c r="AH77" i="10"/>
  <c r="AI77" i="10" s="1"/>
  <c r="AG137" i="10"/>
  <c r="AH128" i="10"/>
  <c r="AI128" i="10" s="1"/>
  <c r="AT128" i="10" s="1"/>
  <c r="AG128" i="10"/>
  <c r="AH148" i="10"/>
  <c r="AI148" i="10" s="1"/>
  <c r="AT148" i="10" s="1"/>
  <c r="AG148" i="10"/>
  <c r="AG110" i="10"/>
  <c r="AH110" i="10"/>
  <c r="AI110" i="10" s="1"/>
  <c r="AT110" i="10" s="1"/>
  <c r="AG181" i="10"/>
  <c r="AH181" i="10"/>
  <c r="AI181" i="10" s="1"/>
  <c r="AT181" i="10" s="1"/>
  <c r="AH112" i="10"/>
  <c r="AI112" i="10" s="1"/>
  <c r="AT112" i="10" s="1"/>
  <c r="AG112" i="10"/>
  <c r="AH202" i="10"/>
  <c r="AI202" i="10" s="1"/>
  <c r="AT202" i="10" s="1"/>
  <c r="AG202" i="10"/>
  <c r="AH108" i="10"/>
  <c r="AI108" i="10" s="1"/>
  <c r="AT108" i="10" s="1"/>
  <c r="AG108" i="10"/>
  <c r="AG178" i="10"/>
  <c r="AH178" i="10"/>
  <c r="AI178" i="10" s="1"/>
  <c r="AT178" i="10" s="1"/>
  <c r="AG142" i="10"/>
  <c r="AH142" i="10"/>
  <c r="AI142" i="10" s="1"/>
  <c r="AT142" i="10" s="1"/>
  <c r="AH164" i="10"/>
  <c r="AI164" i="10" s="1"/>
  <c r="AT164" i="10" s="1"/>
  <c r="AG164" i="10"/>
  <c r="AH114" i="10"/>
  <c r="AI114" i="10" s="1"/>
  <c r="AT114" i="10" s="1"/>
  <c r="AG114" i="10"/>
  <c r="AG158" i="10"/>
  <c r="AH158" i="10"/>
  <c r="AI158" i="10" s="1"/>
  <c r="AT158" i="10" s="1"/>
  <c r="AH116" i="10"/>
  <c r="AI116" i="10" s="1"/>
  <c r="AT116" i="10" s="1"/>
  <c r="AG116" i="10"/>
  <c r="AH92" i="10"/>
  <c r="AI92" i="10" s="1"/>
  <c r="AT92" i="10" s="1"/>
  <c r="AG92" i="10"/>
  <c r="AG199" i="10"/>
  <c r="AH199" i="10"/>
  <c r="AI199" i="10" s="1"/>
  <c r="AT199" i="10" s="1"/>
  <c r="AG67" i="10"/>
  <c r="AH67" i="10"/>
  <c r="AI67" i="10" s="1"/>
  <c r="AT67" i="10" s="1"/>
  <c r="AH186" i="10"/>
  <c r="AI186" i="10" s="1"/>
  <c r="AT186" i="10" s="1"/>
  <c r="AG186" i="10"/>
  <c r="AH152" i="10"/>
  <c r="AI152" i="10" s="1"/>
  <c r="AT152" i="10" s="1"/>
  <c r="AG152" i="10"/>
  <c r="AH189" i="10"/>
  <c r="AI189" i="10" s="1"/>
  <c r="AT189" i="10" s="1"/>
  <c r="AG189" i="10"/>
  <c r="AH156" i="10"/>
  <c r="AI156" i="10" s="1"/>
  <c r="AT156" i="10" s="1"/>
  <c r="AG156" i="10"/>
  <c r="AH74" i="10"/>
  <c r="AI74" i="10" s="1"/>
  <c r="AT74" i="10" s="1"/>
  <c r="AG74" i="10"/>
  <c r="AH14" i="10"/>
  <c r="AI14" i="10" s="1"/>
  <c r="AH19" i="10"/>
  <c r="AI19" i="10" s="1"/>
  <c r="AH16" i="10"/>
  <c r="AI16" i="10" s="1"/>
  <c r="AG38" i="10"/>
  <c r="AG17" i="10"/>
  <c r="AH32" i="10"/>
  <c r="AI32" i="10" s="1"/>
  <c r="AH30" i="10"/>
  <c r="AI30" i="10" s="1"/>
  <c r="AH50" i="10"/>
  <c r="AI50" i="10" s="1"/>
  <c r="AH25" i="10"/>
  <c r="AI25" i="10" s="1"/>
  <c r="AH18" i="10"/>
  <c r="AI18" i="10" s="1"/>
  <c r="AG33" i="10"/>
  <c r="AG52" i="10"/>
  <c r="AG45" i="10"/>
  <c r="AH13" i="10"/>
  <c r="AI13" i="10" s="1"/>
  <c r="AG6" i="10"/>
  <c r="AH48" i="10"/>
  <c r="AI48" i="10" s="1"/>
  <c r="AG53" i="10"/>
  <c r="AG3" i="10"/>
  <c r="AG12" i="10"/>
  <c r="AG37" i="10"/>
  <c r="AG35" i="10"/>
  <c r="AG29" i="10"/>
  <c r="AH56" i="10"/>
  <c r="AI56" i="10" s="1"/>
  <c r="AH22" i="10"/>
  <c r="AI22" i="10" s="1"/>
  <c r="AH10" i="10"/>
  <c r="AI10" i="10" s="1"/>
  <c r="AG8" i="10"/>
  <c r="AH40" i="10"/>
  <c r="AI40" i="10" s="1"/>
  <c r="AH36" i="10"/>
  <c r="AI36" i="10" s="1"/>
  <c r="AG27" i="10"/>
  <c r="AH55" i="10"/>
  <c r="AI55" i="10" s="1"/>
  <c r="AH41" i="10"/>
  <c r="AI41" i="10" s="1"/>
  <c r="AG44" i="10"/>
  <c r="AG39" i="10"/>
  <c r="AH42" i="10"/>
  <c r="AI42" i="10" s="1"/>
  <c r="AH26" i="10"/>
  <c r="AI26" i="10" s="1"/>
  <c r="AG7" i="10"/>
  <c r="AG21" i="10"/>
  <c r="AH31" i="10"/>
  <c r="AI31" i="10" s="1"/>
  <c r="AG46" i="10"/>
  <c r="AH28" i="10"/>
  <c r="AI28" i="10" s="1"/>
  <c r="AH24" i="10"/>
  <c r="AI24" i="10" s="1"/>
  <c r="AJ127" i="10" l="1"/>
  <c r="AS127" i="10" s="1"/>
  <c r="B2" i="10"/>
  <c r="AT149" i="10"/>
  <c r="AT147" i="10"/>
  <c r="AT16" i="10"/>
  <c r="AT9" i="10"/>
  <c r="AT160" i="10"/>
  <c r="AT137" i="10"/>
  <c r="AT63" i="10"/>
  <c r="AT171" i="10"/>
  <c r="AT37" i="10"/>
  <c r="AT184" i="10"/>
  <c r="AT35" i="10"/>
  <c r="AT166" i="10"/>
  <c r="AT125" i="10"/>
  <c r="AT13" i="10"/>
  <c r="AT3" i="10"/>
  <c r="AT38" i="10"/>
  <c r="AT8" i="10"/>
  <c r="AT118" i="10"/>
  <c r="AT130" i="10"/>
  <c r="AT154" i="10"/>
  <c r="AT144" i="10"/>
  <c r="AT122" i="10"/>
  <c r="AT91" i="10"/>
  <c r="AT49" i="10"/>
  <c r="AT33" i="10"/>
  <c r="AT46" i="10"/>
  <c r="AT23" i="10"/>
  <c r="AT113" i="10"/>
  <c r="AT174" i="10"/>
  <c r="AT126" i="10"/>
  <c r="AT29" i="10"/>
  <c r="AT32" i="10"/>
  <c r="AT55" i="10"/>
  <c r="AT40" i="10"/>
  <c r="AT26" i="10"/>
  <c r="AT80" i="10"/>
  <c r="AT24" i="10"/>
  <c r="AT187" i="10"/>
  <c r="AT42" i="10"/>
  <c r="AT70" i="10"/>
  <c r="AT34" i="10"/>
  <c r="AT31" i="10"/>
  <c r="AT62" i="10"/>
  <c r="AT153" i="10"/>
  <c r="AT14" i="10"/>
  <c r="AT177" i="10"/>
  <c r="AT136" i="10"/>
  <c r="AT117" i="10"/>
  <c r="AT163" i="10"/>
  <c r="AT77" i="10"/>
  <c r="AT124" i="10"/>
  <c r="AT97" i="10"/>
  <c r="AT19" i="10"/>
  <c r="AT25" i="10"/>
  <c r="AT18" i="10"/>
  <c r="AT39" i="10"/>
  <c r="AT6" i="10"/>
  <c r="AT28" i="10"/>
  <c r="AT179" i="10"/>
  <c r="AT81" i="10"/>
  <c r="AT140" i="10"/>
  <c r="AT95" i="10"/>
  <c r="AT180" i="10"/>
  <c r="AT194" i="10"/>
  <c r="AT173" i="10"/>
  <c r="AT170" i="10"/>
  <c r="AT52" i="10"/>
  <c r="AT45" i="10"/>
  <c r="AT27" i="10"/>
  <c r="AT21" i="10"/>
  <c r="AT53" i="10"/>
  <c r="AT89" i="10"/>
  <c r="AT119" i="10"/>
  <c r="AT98" i="10"/>
  <c r="AT94" i="10"/>
  <c r="AT167" i="10"/>
  <c r="AT138" i="10"/>
  <c r="AT165" i="10"/>
  <c r="AT135" i="10"/>
  <c r="AT161" i="10"/>
  <c r="AT133" i="10"/>
  <c r="AT30" i="10"/>
  <c r="AT17" i="10"/>
  <c r="AT50" i="10"/>
  <c r="AT44" i="10"/>
  <c r="AT7" i="10"/>
  <c r="AT157" i="10"/>
  <c r="AT48" i="10"/>
  <c r="AT22" i="10"/>
  <c r="AT139" i="10"/>
  <c r="AT60" i="10"/>
  <c r="AT36" i="10"/>
  <c r="AT12" i="10"/>
  <c r="AT66" i="10"/>
  <c r="AT201" i="10"/>
  <c r="AT168" i="10"/>
  <c r="AT2" i="10"/>
  <c r="AT56" i="10"/>
  <c r="AT10" i="10"/>
  <c r="AT41" i="10"/>
  <c r="AT47" i="10"/>
  <c r="AT78" i="10"/>
  <c r="AT76" i="10"/>
  <c r="AT58" i="10"/>
  <c r="AJ162" i="10"/>
  <c r="AS162" i="10" s="1"/>
  <c r="AJ197" i="10"/>
  <c r="AS197" i="10" s="1"/>
  <c r="AJ101" i="10"/>
  <c r="AS101" i="10" s="1"/>
  <c r="AJ39" i="10"/>
  <c r="AS39" i="10" s="1"/>
  <c r="AJ53" i="10"/>
  <c r="AS53" i="10" s="1"/>
  <c r="AJ67" i="10"/>
  <c r="AS67" i="10" s="1"/>
  <c r="AJ178" i="10"/>
  <c r="AS178" i="10" s="1"/>
  <c r="AJ181" i="10"/>
  <c r="AS181" i="10" s="1"/>
  <c r="AJ170" i="10"/>
  <c r="AS170" i="10" s="1"/>
  <c r="AJ122" i="10"/>
  <c r="AS122" i="10" s="1"/>
  <c r="AJ167" i="10"/>
  <c r="AS167" i="10" s="1"/>
  <c r="AJ113" i="10"/>
  <c r="AS113" i="10" s="1"/>
  <c r="AJ107" i="10"/>
  <c r="AS107" i="10" s="1"/>
  <c r="AJ29" i="10"/>
  <c r="AS29" i="10" s="1"/>
  <c r="AJ156" i="10"/>
  <c r="AS156" i="10" s="1"/>
  <c r="AJ92" i="10"/>
  <c r="AS92" i="10" s="1"/>
  <c r="AJ164" i="10"/>
  <c r="AS164" i="10" s="1"/>
  <c r="AJ202" i="10"/>
  <c r="AS202" i="10" s="1"/>
  <c r="AJ148" i="10"/>
  <c r="AS148" i="10" s="1"/>
  <c r="AJ201" i="10"/>
  <c r="AS201" i="10" s="1"/>
  <c r="AJ163" i="10"/>
  <c r="AS163" i="10" s="1"/>
  <c r="AJ174" i="10"/>
  <c r="AS174" i="10" s="1"/>
  <c r="AJ132" i="10"/>
  <c r="AS132" i="10" s="1"/>
  <c r="AJ105" i="10"/>
  <c r="AS105" i="10" s="1"/>
  <c r="AJ62" i="10"/>
  <c r="AS62" i="10" s="1"/>
  <c r="AJ56" i="10"/>
  <c r="AS56" i="10" s="1"/>
  <c r="AJ41" i="10"/>
  <c r="AS41" i="10" s="1"/>
  <c r="AJ72" i="10"/>
  <c r="AS72" i="10" s="1"/>
  <c r="AJ69" i="10"/>
  <c r="AS69" i="10" s="1"/>
  <c r="AJ104" i="10"/>
  <c r="AS104" i="10" s="1"/>
  <c r="AJ48" i="10"/>
  <c r="AS48" i="10" s="1"/>
  <c r="AJ70" i="10"/>
  <c r="AS70" i="10" s="1"/>
  <c r="AJ149" i="10"/>
  <c r="AS149" i="10" s="1"/>
  <c r="AJ147" i="10"/>
  <c r="AS147" i="10" s="1"/>
  <c r="AJ89" i="10"/>
  <c r="AS89" i="10" s="1"/>
  <c r="AJ141" i="10"/>
  <c r="AS141" i="10" s="1"/>
  <c r="AJ16" i="10"/>
  <c r="AS16" i="10" s="1"/>
  <c r="AJ36" i="10"/>
  <c r="AS36" i="10" s="1"/>
  <c r="AJ46" i="10"/>
  <c r="AS46" i="10" s="1"/>
  <c r="AJ6" i="10"/>
  <c r="AS6" i="10" s="1"/>
  <c r="AJ7" i="10"/>
  <c r="AS7" i="10" s="1"/>
  <c r="AJ44" i="10"/>
  <c r="AS44" i="10" s="1"/>
  <c r="AJ37" i="10"/>
  <c r="AS37" i="10" s="1"/>
  <c r="AJ52" i="10"/>
  <c r="AS52" i="10" s="1"/>
  <c r="AJ38" i="10"/>
  <c r="AS38" i="10" s="1"/>
  <c r="AJ74" i="10"/>
  <c r="AS74" i="10" s="1"/>
  <c r="AJ189" i="10"/>
  <c r="AS189" i="10" s="1"/>
  <c r="AJ186" i="10"/>
  <c r="AS186" i="10" s="1"/>
  <c r="AJ116" i="10"/>
  <c r="AS116" i="10" s="1"/>
  <c r="AJ114" i="10"/>
  <c r="AS114" i="10" s="1"/>
  <c r="AJ108" i="10"/>
  <c r="AS108" i="10" s="1"/>
  <c r="AJ112" i="10"/>
  <c r="AS112" i="10" s="1"/>
  <c r="AJ128" i="10"/>
  <c r="AS128" i="10" s="1"/>
  <c r="AJ173" i="10"/>
  <c r="AS173" i="10" s="1"/>
  <c r="AJ140" i="10"/>
  <c r="AS140" i="10" s="1"/>
  <c r="AJ136" i="10"/>
  <c r="AS136" i="10" s="1"/>
  <c r="AJ126" i="10"/>
  <c r="AS126" i="10" s="1"/>
  <c r="AJ133" i="10"/>
  <c r="AS133" i="10" s="1"/>
  <c r="AJ118" i="10"/>
  <c r="AS118" i="10" s="1"/>
  <c r="AJ179" i="10"/>
  <c r="AS179" i="10" s="1"/>
  <c r="AJ135" i="10"/>
  <c r="AS135" i="10" s="1"/>
  <c r="AJ138" i="10"/>
  <c r="AS138" i="10" s="1"/>
  <c r="AJ11" i="10"/>
  <c r="AS11" i="10" s="1"/>
  <c r="AJ103" i="10"/>
  <c r="AS103" i="10" s="1"/>
  <c r="AJ88" i="10"/>
  <c r="AS88" i="10" s="1"/>
  <c r="AJ82" i="10"/>
  <c r="AS82" i="10" s="1"/>
  <c r="AJ183" i="10"/>
  <c r="AS183" i="10" s="1"/>
  <c r="AJ195" i="10"/>
  <c r="AS195" i="10" s="1"/>
  <c r="AJ77" i="10"/>
  <c r="AS77" i="10" s="1"/>
  <c r="AJ97" i="10"/>
  <c r="AS97" i="10" s="1"/>
  <c r="AJ14" i="10"/>
  <c r="AS14" i="10" s="1"/>
  <c r="AJ40" i="10"/>
  <c r="AS40" i="10" s="1"/>
  <c r="AJ26" i="10"/>
  <c r="AS26" i="10" s="1"/>
  <c r="AJ42" i="10"/>
  <c r="AS42" i="10" s="1"/>
  <c r="AJ31" i="10"/>
  <c r="AS31" i="10" s="1"/>
  <c r="AJ131" i="10"/>
  <c r="AS131" i="10" s="1"/>
  <c r="AJ66" i="10"/>
  <c r="AS66" i="10" s="1"/>
  <c r="AJ168" i="10"/>
  <c r="AS168" i="10" s="1"/>
  <c r="AJ80" i="10"/>
  <c r="AS80" i="10" s="1"/>
  <c r="AJ19" i="10"/>
  <c r="AS19" i="10" s="1"/>
  <c r="AJ25" i="10"/>
  <c r="AS25" i="10" s="1"/>
  <c r="AJ18" i="10"/>
  <c r="AS18" i="10" s="1"/>
  <c r="AJ28" i="10"/>
  <c r="AS28" i="10" s="1"/>
  <c r="AJ194" i="10"/>
  <c r="AS194" i="10" s="1"/>
  <c r="AJ34" i="10"/>
  <c r="AS34" i="10" s="1"/>
  <c r="AJ22" i="10"/>
  <c r="AS22" i="10" s="1"/>
  <c r="AJ24" i="10"/>
  <c r="AS24" i="10" s="1"/>
  <c r="AJ63" i="10"/>
  <c r="AS63" i="10" s="1"/>
  <c r="AJ23" i="10"/>
  <c r="AS23" i="10" s="1"/>
  <c r="AJ68" i="10"/>
  <c r="AS68" i="10" s="1"/>
  <c r="AJ139" i="10"/>
  <c r="AS139" i="10" s="1"/>
  <c r="AJ171" i="10"/>
  <c r="AS171" i="10" s="1"/>
  <c r="AJ153" i="10"/>
  <c r="AS153" i="10" s="1"/>
  <c r="AJ187" i="10"/>
  <c r="AS187" i="10" s="1"/>
  <c r="AJ60" i="10"/>
  <c r="AS60" i="10" s="1"/>
  <c r="AJ30" i="10"/>
  <c r="AS30" i="10" s="1"/>
  <c r="AJ50" i="10"/>
  <c r="AS50" i="10" s="1"/>
  <c r="AJ21" i="10"/>
  <c r="AS21" i="10" s="1"/>
  <c r="AJ27" i="10"/>
  <c r="AS27" i="10" s="1"/>
  <c r="AJ35" i="10"/>
  <c r="AS35" i="10" s="1"/>
  <c r="AJ45" i="10"/>
  <c r="AS45" i="10" s="1"/>
  <c r="AJ17" i="10"/>
  <c r="AS17" i="10" s="1"/>
  <c r="AJ158" i="10"/>
  <c r="AS158" i="10" s="1"/>
  <c r="AJ130" i="10"/>
  <c r="AS130" i="10" s="1"/>
  <c r="AJ177" i="10"/>
  <c r="AS177" i="10" s="1"/>
  <c r="AJ165" i="10"/>
  <c r="AS165" i="10" s="1"/>
  <c r="AJ125" i="10"/>
  <c r="AS125" i="10" s="1"/>
  <c r="AJ192" i="10"/>
  <c r="AS192" i="10" s="1"/>
  <c r="AJ8" i="10"/>
  <c r="AS8" i="10" s="1"/>
  <c r="AJ3" i="10"/>
  <c r="AS3" i="10" s="1"/>
  <c r="AJ152" i="10"/>
  <c r="AS152" i="10" s="1"/>
  <c r="AJ137" i="10"/>
  <c r="AS137" i="10" s="1"/>
  <c r="AJ144" i="10"/>
  <c r="AS144" i="10" s="1"/>
  <c r="AJ180" i="10"/>
  <c r="AS180" i="10" s="1"/>
  <c r="AJ49" i="10"/>
  <c r="AS49" i="10" s="1"/>
  <c r="AJ111" i="10"/>
  <c r="AS111" i="10" s="1"/>
  <c r="AJ182" i="10"/>
  <c r="AS182" i="10" s="1"/>
  <c r="AJ150" i="10"/>
  <c r="AS150" i="10" s="1"/>
  <c r="AJ106" i="10"/>
  <c r="AS106" i="10" s="1"/>
  <c r="AJ157" i="10"/>
  <c r="AS157" i="10" s="1"/>
  <c r="AJ10" i="10"/>
  <c r="AS10" i="10" s="1"/>
  <c r="AJ47" i="10"/>
  <c r="AS47" i="10" s="1"/>
  <c r="AJ78" i="10"/>
  <c r="AS78" i="10" s="1"/>
  <c r="AJ76" i="10"/>
  <c r="AS76" i="10" s="1"/>
  <c r="AJ58" i="10"/>
  <c r="AS58" i="10" s="1"/>
  <c r="AJ13" i="10"/>
  <c r="AS13" i="10" s="1"/>
  <c r="AJ91" i="10"/>
  <c r="AS91" i="10" s="1"/>
  <c r="AJ119" i="10"/>
  <c r="AS119" i="10" s="1"/>
  <c r="AJ94" i="10"/>
  <c r="AS94" i="10" s="1"/>
  <c r="AJ161" i="10"/>
  <c r="AS161" i="10" s="1"/>
  <c r="AJ32" i="10"/>
  <c r="AS32" i="10" s="1"/>
  <c r="AJ55" i="10"/>
  <c r="AS55" i="10" s="1"/>
  <c r="AJ12" i="10"/>
  <c r="AS12" i="10" s="1"/>
  <c r="AJ33" i="10"/>
  <c r="AS33" i="10" s="1"/>
  <c r="AJ199" i="10"/>
  <c r="AS199" i="10" s="1"/>
  <c r="AJ142" i="10"/>
  <c r="AS142" i="10" s="1"/>
  <c r="AJ110" i="10"/>
  <c r="AS110" i="10" s="1"/>
  <c r="AJ154" i="10"/>
  <c r="AS154" i="10" s="1"/>
  <c r="AJ117" i="10"/>
  <c r="AS117" i="10" s="1"/>
  <c r="AJ166" i="10"/>
  <c r="AS166" i="10" s="1"/>
  <c r="AJ9" i="10"/>
  <c r="AS9" i="10" s="1"/>
  <c r="AJ146" i="10"/>
  <c r="AS146" i="10" s="1"/>
  <c r="AJ98" i="10"/>
  <c r="AS98" i="10" s="1"/>
  <c r="B7" i="10" l="1"/>
  <c r="B5" i="10"/>
  <c r="B6" i="10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Nominal Input Voltage</t>
        </r>
      </text>
    </comment>
  </commentList>
</comments>
</file>

<file path=xl/sharedStrings.xml><?xml version="1.0" encoding="utf-8"?>
<sst xmlns="http://schemas.openxmlformats.org/spreadsheetml/2006/main" count="203" uniqueCount="137">
  <si>
    <t>Vin</t>
  </si>
  <si>
    <t>Vout</t>
  </si>
  <si>
    <t>Iout</t>
  </si>
  <si>
    <t>Lo</t>
  </si>
  <si>
    <t>Co</t>
  </si>
  <si>
    <t>Resr</t>
  </si>
  <si>
    <t>Sc</t>
  </si>
  <si>
    <t>D'</t>
  </si>
  <si>
    <t>Fsw</t>
  </si>
  <si>
    <t>Tsw</t>
  </si>
  <si>
    <t>wn</t>
  </si>
  <si>
    <t>Qp</t>
  </si>
  <si>
    <t>wz1</t>
  </si>
  <si>
    <t>wz2</t>
  </si>
  <si>
    <t>wp1</t>
  </si>
  <si>
    <t>M</t>
  </si>
  <si>
    <t>mc</t>
  </si>
  <si>
    <t>Sn</t>
  </si>
  <si>
    <t>Rout</t>
  </si>
  <si>
    <t>Vout(s)/Verr(s)</t>
  </si>
  <si>
    <t>s</t>
  </si>
  <si>
    <t>g1</t>
  </si>
  <si>
    <t>g2</t>
  </si>
  <si>
    <t>g3</t>
  </si>
  <si>
    <t>g4</t>
  </si>
  <si>
    <t>|Vout(s)/Verr(s)|</t>
  </si>
  <si>
    <t>ang</t>
  </si>
  <si>
    <t>f</t>
  </si>
  <si>
    <t>°</t>
  </si>
  <si>
    <t>db</t>
  </si>
  <si>
    <t>sa</t>
  </si>
  <si>
    <t>Design Parameters</t>
  </si>
  <si>
    <t>Min</t>
  </si>
  <si>
    <t>Nominal</t>
  </si>
  <si>
    <t>Max</t>
  </si>
  <si>
    <t>Dmax</t>
  </si>
  <si>
    <t>Units</t>
  </si>
  <si>
    <t>V</t>
  </si>
  <si>
    <t>A</t>
  </si>
  <si>
    <t>%</t>
  </si>
  <si>
    <t>Vdrv</t>
  </si>
  <si>
    <t>Which Resistor Would you Like to Select?</t>
  </si>
  <si>
    <t>Ideal Vout</t>
  </si>
  <si>
    <t>Ω</t>
  </si>
  <si>
    <t>Device Current Limit</t>
  </si>
  <si>
    <t>mV</t>
  </si>
  <si>
    <t>kHz</t>
  </si>
  <si>
    <t>Maximum Average Inductor Current</t>
  </si>
  <si>
    <t>A/s</t>
  </si>
  <si>
    <t>Desired Peak to Peak Ripple Percentage At Low Vin</t>
  </si>
  <si>
    <t>Peak to Peak Current Ripple at Low Vin</t>
  </si>
  <si>
    <t>Assumed Efficiency</t>
  </si>
  <si>
    <t>Minimum Inductor Value</t>
  </si>
  <si>
    <t>μH</t>
  </si>
  <si>
    <t>Inductor Value Used</t>
  </si>
  <si>
    <t>Peak to Peak Current Ripple at Low Vin, Actual Inductor</t>
  </si>
  <si>
    <t>Irms</t>
  </si>
  <si>
    <t>Ipeak</t>
  </si>
  <si>
    <t>Peak Current</t>
  </si>
  <si>
    <t>Desired Current Limit</t>
  </si>
  <si>
    <t>Recommended Current Sense Resistor</t>
  </si>
  <si>
    <t>Current Sense Resistor Used</t>
  </si>
  <si>
    <r>
      <t>m</t>
    </r>
    <r>
      <rPr>
        <sz val="11"/>
        <color theme="1"/>
        <rFont val="Calibri"/>
        <family val="2"/>
      </rPr>
      <t>Ω</t>
    </r>
  </si>
  <si>
    <t>Power Loss in Rsense at low vin, max rated current</t>
  </si>
  <si>
    <t>D</t>
  </si>
  <si>
    <t>Nom</t>
  </si>
  <si>
    <t>Real Peak Current (min)</t>
  </si>
  <si>
    <t>Real Peak Current (max)</t>
  </si>
  <si>
    <t>W</t>
  </si>
  <si>
    <t>Output Capacitance Used</t>
  </si>
  <si>
    <t>ESR at Switching Frequency</t>
  </si>
  <si>
    <t>Input Capacitance Used</t>
  </si>
  <si>
    <t>Voltage Required</t>
  </si>
  <si>
    <t>Power Dissipation</t>
  </si>
  <si>
    <t>Switching Losses</t>
  </si>
  <si>
    <t>Conduction Losses</t>
  </si>
  <si>
    <t>RDS,ON</t>
  </si>
  <si>
    <t>Forward Voltage Drop</t>
  </si>
  <si>
    <t>Power Loss</t>
  </si>
  <si>
    <t>Required Reverse Voltage</t>
  </si>
  <si>
    <t>Average Current</t>
  </si>
  <si>
    <t>Output Voltage Ripple</t>
  </si>
  <si>
    <t>Current Ripple Rating Required</t>
  </si>
  <si>
    <t>μF</t>
  </si>
  <si>
    <t>Input Voltage Ripple</t>
  </si>
  <si>
    <t>Input Current Ripple</t>
  </si>
  <si>
    <t>Worst Case Input Voltage</t>
  </si>
  <si>
    <t>nC</t>
  </si>
  <si>
    <t>Switch Turn On Time</t>
  </si>
  <si>
    <t>Switch Turn Off Time</t>
  </si>
  <si>
    <t>ns</t>
  </si>
  <si>
    <t>Graph Settings</t>
  </si>
  <si>
    <t>Minimum Frequency</t>
  </si>
  <si>
    <t>Maximum Frequency</t>
  </si>
  <si>
    <t>Hz</t>
  </si>
  <si>
    <t>R</t>
  </si>
  <si>
    <t>C1</t>
  </si>
  <si>
    <t>C2</t>
  </si>
  <si>
    <t>ota1</t>
  </si>
  <si>
    <t>ota2</t>
  </si>
  <si>
    <t>ota3</t>
  </si>
  <si>
    <t>g(s)</t>
  </si>
  <si>
    <t>nF</t>
  </si>
  <si>
    <t>|(g(s)|</t>
  </si>
  <si>
    <t>Desired Crossover Frequency</t>
  </si>
  <si>
    <t>Pole Location</t>
  </si>
  <si>
    <t>Zero Location</t>
  </si>
  <si>
    <t>R value used</t>
  </si>
  <si>
    <t>C1 value used</t>
  </si>
  <si>
    <t>C2 value used</t>
  </si>
  <si>
    <t>Gain At Frequency</t>
  </si>
  <si>
    <t>Suggested RC value</t>
  </si>
  <si>
    <t>Suggested CC1 value</t>
  </si>
  <si>
    <t>Suggested CC2 value</t>
  </si>
  <si>
    <t>It is intended to provide first pass values and does not replace simulation and prototyping.</t>
  </si>
  <si>
    <t>Enter values into the green cells in order by sheet for best results.</t>
  </si>
  <si>
    <t>This tool is intended to assist the user when designing with the NCV898031 for continuous conduction mode boost applications.</t>
  </si>
  <si>
    <t>Rev 1 (May 2014): Corrected current sense power loss equation</t>
  </si>
  <si>
    <t>Rev 2 (12 June 2014):  Corrected compensation analysis.  1) s =  i*f corrected to s = i*2*pie*f.  2) Improved the OTA model (ref How2power.com Alain Laprade paper)</t>
  </si>
  <si>
    <t>OTA Parameters</t>
  </si>
  <si>
    <t>C0</t>
  </si>
  <si>
    <t>F</t>
  </si>
  <si>
    <t>R0</t>
  </si>
  <si>
    <t>Rotaesd</t>
  </si>
  <si>
    <t>gm</t>
  </si>
  <si>
    <t>wz1e</t>
  </si>
  <si>
    <t>wz2e</t>
  </si>
  <si>
    <t>wp1e</t>
  </si>
  <si>
    <t>wp2e</t>
  </si>
  <si>
    <t>comp_C1</t>
  </si>
  <si>
    <t>comp_C2</t>
  </si>
  <si>
    <r>
      <t>mV/</t>
    </r>
    <r>
      <rPr>
        <sz val="11"/>
        <color theme="1"/>
        <rFont val="Calibri"/>
        <family val="2"/>
      </rPr>
      <t>μs</t>
    </r>
  </si>
  <si>
    <t>Qg(tot) at operational MOSFET Vgs (used to verify IC gate drive capability, not for loss analysis).  A warning message appears to the right if total gate charge is too high.</t>
  </si>
  <si>
    <t>Revision 3:  Correction &amp; usage clarification to mazimum recommended MOSFET Gate Charge.</t>
  </si>
  <si>
    <r>
      <t>Revision 4:  Revised Slope compensation information from 34 mV/</t>
    </r>
    <r>
      <rPr>
        <sz val="11"/>
        <color theme="1"/>
        <rFont val="Calibri"/>
        <family val="2"/>
      </rPr>
      <t>µs to 68 mV/µs</t>
    </r>
  </si>
  <si>
    <t>NCV898031 Boost Design Tool Revision 5 (23JAN19)</t>
  </si>
  <si>
    <t>Revision 5:  Correction made in compensation component selection (section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</si>
</sst>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1" applyNumberFormat="0" applyAlignment="0">
      <protection hidden="1"/>
    </xf>
    <xf numFmtId="0" fontId="1" fillId="3" borderId="0">
      <protection locked="0"/>
    </xf>
  </cellStyleXfs>
  <cellXfs count="20">
    <xf numFmtId="0" fontId="0" fillId="0" borderId="0" xfId="0"/>
    <xf numFmtId="0" fontId="3" fillId="0" borderId="0" xfId="0" applyFont="1"/>
    <xf numFmtId="0" fontId="1" fillId="3" borderId="0" xfId="2">
      <protection locked="0"/>
    </xf>
    <xf numFmtId="0" fontId="2" fillId="2" borderId="1" xfId="1">
      <protection hidden="1"/>
    </xf>
    <xf numFmtId="0" fontId="3" fillId="0" borderId="0" xfId="0" applyFont="1" applyFill="1" applyBorder="1"/>
    <xf numFmtId="0" fontId="0" fillId="0" borderId="0" xfId="0" applyProtection="1">
      <protection hidden="1"/>
    </xf>
    <xf numFmtId="0" fontId="1" fillId="3" borderId="0" xfId="2" applyProtection="1">
      <protection locked="0" hidden="1"/>
    </xf>
    <xf numFmtId="0" fontId="5" fillId="0" borderId="0" xfId="0" applyFont="1"/>
    <xf numFmtId="0" fontId="0" fillId="0" borderId="0" xfId="0" applyProtection="1">
      <protection locked="0" hidden="1"/>
    </xf>
    <xf numFmtId="0" fontId="2" fillId="2" borderId="1" xfId="1" applyProtection="1">
      <protection locked="0"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3" borderId="0" xfId="2" applyAlignment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2" applyFill="1" applyAlignment="1" applyProtection="1">
      <alignment horizontal="center"/>
    </xf>
    <xf numFmtId="0" fontId="1" fillId="0" borderId="0" xfId="2" applyFill="1" applyBorder="1" applyAlignment="1" applyProtection="1">
      <alignment horizontal="center"/>
    </xf>
    <xf numFmtId="0" fontId="8" fillId="0" borderId="0" xfId="0" applyFont="1" applyProtection="1">
      <protection hidden="1"/>
    </xf>
    <xf numFmtId="0" fontId="0" fillId="0" borderId="0" xfId="0" applyAlignment="1">
      <alignment wrapText="1"/>
    </xf>
    <xf numFmtId="0" fontId="9" fillId="0" borderId="0" xfId="0" applyFont="1"/>
    <xf numFmtId="0" fontId="2" fillId="2" borderId="1" xfId="1" quotePrefix="1">
      <protection hidden="1"/>
    </xf>
  </cellXfs>
  <cellStyles count="3">
    <cellStyle name="Calculation" xfId="1" builtinId="22" customBuiltin="1"/>
    <cellStyle name="Normal" xfId="0" builtinId="0"/>
    <cellStyle name="ONInput" xfId="2"/>
  </cellStyles>
  <dxfs count="2"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Vout</a:t>
            </a:r>
            <a:r>
              <a:rPr lang="en-US" baseline="0"/>
              <a:t> / Verr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Compensation'!$AI$1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Compensation'!$AI$2:$AI$201</c:f>
              <c:numCache>
                <c:formatCode>General</c:formatCode>
                <c:ptCount val="200"/>
                <c:pt idx="0">
                  <c:v>-5.506444015694532</c:v>
                </c:pt>
                <c:pt idx="1">
                  <c:v>-5.8975640651023644</c:v>
                </c:pt>
                <c:pt idx="2">
                  <c:v>-6.316041556212733</c:v>
                </c:pt>
                <c:pt idx="3">
                  <c:v>-6.7636937970554749</c:v>
                </c:pt>
                <c:pt idx="4">
                  <c:v>-7.2424369628325254</c:v>
                </c:pt>
                <c:pt idx="5">
                  <c:v>-7.7542863922059064</c:v>
                </c:pt>
                <c:pt idx="6">
                  <c:v>-8.30135549853917</c:v>
                </c:pt>
                <c:pt idx="7">
                  <c:v>-8.8858529328691791</c:v>
                </c:pt>
                <c:pt idx="8">
                  <c:v>-9.5100775709511769</c:v>
                </c:pt>
                <c:pt idx="9">
                  <c:v>-10.176410826761312</c:v>
                </c:pt>
                <c:pt idx="10">
                  <c:v>-10.887305721305257</c:v>
                </c:pt>
                <c:pt idx="11">
                  <c:v>-11.645272061750113</c:v>
                </c:pt>
                <c:pt idx="12">
                  <c:v>-12.452857016858019</c:v>
                </c:pt>
                <c:pt idx="13">
                  <c:v>-13.312620317835128</c:v>
                </c:pt>
                <c:pt idx="14">
                  <c:v>-14.227103279272978</c:v>
                </c:pt>
                <c:pt idx="15">
                  <c:v>-15.198790836384477</c:v>
                </c:pt>
                <c:pt idx="16">
                  <c:v>-16.230065849450455</c:v>
                </c:pt>
                <c:pt idx="17">
                  <c:v>-17.32315505495956</c:v>
                </c:pt>
                <c:pt idx="18">
                  <c:v>-18.480066268897545</c:v>
                </c:pt>
                <c:pt idx="19">
                  <c:v>-19.702516795545257</c:v>
                </c:pt>
                <c:pt idx="20">
                  <c:v>-20.991853487500862</c:v>
                </c:pt>
                <c:pt idx="21">
                  <c:v>-22.34896555512837</c:v>
                </c:pt>
                <c:pt idx="22">
                  <c:v>-23.774192038527364</c:v>
                </c:pt>
                <c:pt idx="23">
                  <c:v>-25.267226813254378</c:v>
                </c:pt>
                <c:pt idx="24">
                  <c:v>-26.827025053190788</c:v>
                </c:pt>
                <c:pt idx="25">
                  <c:v>-28.451716133681103</c:v>
                </c:pt>
                <c:pt idx="26">
                  <c:v>-30.138528898520544</c:v>
                </c:pt>
                <c:pt idx="27">
                  <c:v>-31.883735872844397</c:v>
                </c:pt>
                <c:pt idx="28">
                  <c:v>-33.682623197192868</c:v>
                </c:pt>
                <c:pt idx="29">
                  <c:v>-35.529492610101343</c:v>
                </c:pt>
                <c:pt idx="30">
                  <c:v>-37.417700587934391</c:v>
                </c:pt>
                <c:pt idx="31">
                  <c:v>-39.339737721964894</c:v>
                </c:pt>
                <c:pt idx="32">
                  <c:v>-41.287348662652626</c:v>
                </c:pt>
                <c:pt idx="33">
                  <c:v>-43.251689724755735</c:v>
                </c:pt>
                <c:pt idx="34">
                  <c:v>-45.223517892016353</c:v>
                </c:pt>
                <c:pt idx="35">
                  <c:v>-47.193401936357105</c:v>
                </c:pt>
                <c:pt idx="36">
                  <c:v>-49.151944123787239</c:v>
                </c:pt>
                <c:pt idx="37">
                  <c:v>-51.089999873874291</c:v>
                </c:pt>
                <c:pt idx="38">
                  <c:v>-52.99888295352833</c:v>
                </c:pt>
                <c:pt idx="39">
                  <c:v>-54.870545283499013</c:v>
                </c:pt>
                <c:pt idx="40">
                  <c:v>-56.697722972949428</c:v>
                </c:pt>
                <c:pt idx="41">
                  <c:v>-58.474043377580131</c:v>
                </c:pt>
                <c:pt idx="42">
                  <c:v>-60.194091340088292</c:v>
                </c:pt>
                <c:pt idx="43">
                  <c:v>-61.853435887046174</c:v>
                </c:pt>
                <c:pt idx="44">
                  <c:v>-63.44862119451129</c:v>
                </c:pt>
                <c:pt idx="45">
                  <c:v>-64.977127407657207</c:v>
                </c:pt>
                <c:pt idx="46">
                  <c:v>-66.437307862822649</c:v>
                </c:pt>
                <c:pt idx="47">
                  <c:v>-67.828309486387965</c:v>
                </c:pt>
                <c:pt idx="48">
                  <c:v>-69.149982782923388</c:v>
                </c:pt>
                <c:pt idx="49">
                  <c:v>-70.402787057080261</c:v>
                </c:pt>
                <c:pt idx="50">
                  <c:v>-71.587695518898926</c:v>
                </c:pt>
                <c:pt idx="51">
                  <c:v>-72.706103852898508</c:v>
                </c:pt>
                <c:pt idx="52">
                  <c:v>-73.759744801519332</c:v>
                </c:pt>
                <c:pt idx="53">
                  <c:v>-74.750610397186207</c:v>
                </c:pt>
                <c:pt idx="54">
                  <c:v>-75.680882713154404</c:v>
                </c:pt>
                <c:pt idx="55">
                  <c:v>-76.552873402807421</c:v>
                </c:pt>
                <c:pt idx="56">
                  <c:v>-77.368971852788704</c:v>
                </c:pt>
                <c:pt idx="57">
                  <c:v>-78.131601468817138</c:v>
                </c:pt>
                <c:pt idx="58">
                  <c:v>-78.84318342062663</c:v>
                </c:pt>
                <c:pt idx="59">
                  <c:v>-79.506107069723427</c:v>
                </c:pt>
                <c:pt idx="60">
                  <c:v>-80.122706267811068</c:v>
                </c:pt>
                <c:pt idx="61">
                  <c:v>-80.695240725160275</c:v>
                </c:pt>
                <c:pt idx="62">
                  <c:v>-81.225881690885927</c:v>
                </c:pt>
                <c:pt idx="63">
                  <c:v>-81.716701248584755</c:v>
                </c:pt>
                <c:pt idx="64">
                  <c:v>-82.169664601802893</c:v>
                </c:pt>
                <c:pt idx="65">
                  <c:v>-82.586624797758347</c:v>
                </c:pt>
                <c:pt idx="66">
                  <c:v>-82.969319410182266</c:v>
                </c:pt>
                <c:pt idx="67">
                  <c:v>-83.319368770251941</c:v>
                </c:pt>
                <c:pt idx="68">
                  <c:v>-83.638275396774588</c:v>
                </c:pt>
                <c:pt idx="69">
                  <c:v>-83.927424332314615</c:v>
                </c:pt>
                <c:pt idx="70">
                  <c:v>-84.188084140683031</c:v>
                </c:pt>
                <c:pt idx="71">
                  <c:v>-84.421408363383776</c:v>
                </c:pt>
                <c:pt idx="72">
                  <c:v>-84.628437268687208</c:v>
                </c:pt>
                <c:pt idx="73">
                  <c:v>-84.810099757579167</c:v>
                </c:pt>
                <c:pt idx="74">
                  <c:v>-84.967215316549542</c:v>
                </c:pt>
                <c:pt idx="75">
                  <c:v>-85.100495928682207</c:v>
                </c:pt>
                <c:pt idx="76">
                  <c:v>-85.210547872399104</c:v>
                </c:pt>
                <c:pt idx="77">
                  <c:v>-85.297873352070113</c:v>
                </c:pt>
                <c:pt idx="78">
                  <c:v>-85.362871917048864</c:v>
                </c:pt>
                <c:pt idx="79">
                  <c:v>-85.405841636000261</c:v>
                </c:pt>
                <c:pt idx="80">
                  <c:v>-85.426980002080796</c:v>
                </c:pt>
                <c:pt idx="81">
                  <c:v>-85.426384551991347</c:v>
                </c:pt>
                <c:pt idx="82">
                  <c:v>-85.404053188506694</c:v>
                </c:pt>
                <c:pt idx="83">
                  <c:v>-85.359884202110337</c:v>
                </c:pt>
                <c:pt idx="84">
                  <c:v>-85.293675993145953</c:v>
                </c:pt>
                <c:pt idx="85">
                  <c:v>-85.205126501734625</c:v>
                </c:pt>
                <c:pt idx="86">
                  <c:v>-85.093832358903782</c:v>
                </c:pt>
                <c:pt idx="87">
                  <c:v>-84.959287779247333</c:v>
                </c:pt>
                <c:pt idx="88">
                  <c:v>-84.800883223315566</c:v>
                </c:pt>
                <c:pt idx="89">
                  <c:v>-84.617903867183102</c:v>
                </c:pt>
                <c:pt idx="90">
                  <c:v>-84.409527927662097</c:v>
                </c:pt>
                <c:pt idx="91">
                  <c:v>-84.174824904854717</c:v>
                </c:pt>
                <c:pt idx="92">
                  <c:v>-83.912753819664687</c:v>
                </c:pt>
                <c:pt idx="93">
                  <c:v>-83.622161543054958</c:v>
                </c:pt>
                <c:pt idx="94">
                  <c:v>-83.301781336831752</c:v>
                </c:pt>
                <c:pt idx="95">
                  <c:v>-82.950231753183644</c:v>
                </c:pt>
                <c:pt idx="96">
                  <c:v>-82.566016072755929</c:v>
                </c:pt>
                <c:pt idx="97">
                  <c:v>-82.147522499317418</c:v>
                </c:pt>
                <c:pt idx="98">
                  <c:v>-81.693025373644943</c:v>
                </c:pt>
                <c:pt idx="99">
                  <c:v>-81.200687720501548</c:v>
                </c:pt>
                <c:pt idx="100">
                  <c:v>-80.668565500642941</c:v>
                </c:pt>
                <c:pt idx="101">
                  <c:v>-80.094614004322324</c:v>
                </c:pt>
                <c:pt idx="102">
                  <c:v>-79.476696892764139</c:v>
                </c:pt>
                <c:pt idx="103">
                  <c:v>-78.81259846755178</c:v>
                </c:pt>
                <c:pt idx="104">
                  <c:v>-78.100039821470304</c:v>
                </c:pt>
                <c:pt idx="105">
                  <c:v>-77.33669959288666</c:v>
                </c:pt>
                <c:pt idx="106">
                  <c:v>-76.520240101739319</c:v>
                </c:pt>
                <c:pt idx="107">
                  <c:v>-75.648339678265756</c:v>
                </c:pt>
                <c:pt idx="108">
                  <c:v>-74.718731992005914</c:v>
                </c:pt>
                <c:pt idx="109">
                  <c:v>-73.729253131035563</c:v>
                </c:pt>
                <c:pt idx="110">
                  <c:v>-72.677897048942555</c:v>
                </c:pt>
                <c:pt idx="111">
                  <c:v>-71.562879766168095</c:v>
                </c:pt>
                <c:pt idx="112">
                  <c:v>-70.382712358445332</c:v>
                </c:pt>
                <c:pt idx="113">
                  <c:v>-69.136282265868388</c:v>
                </c:pt>
                <c:pt idx="114">
                  <c:v>-67.822941796374479</c:v>
                </c:pt>
                <c:pt idx="115">
                  <c:v>-66.442601875606258</c:v>
                </c:pt>
                <c:pt idx="116">
                  <c:v>-64.995828131591523</c:v>
                </c:pt>
                <c:pt idx="117">
                  <c:v>-63.48393534811796</c:v>
                </c:pt>
                <c:pt idx="118">
                  <c:v>-61.909075263381197</c:v>
                </c:pt>
                <c:pt idx="119">
                  <c:v>-60.274311758993186</c:v>
                </c:pt>
                <c:pt idx="120">
                  <c:v>-58.583676842825902</c:v>
                </c:pt>
                <c:pt idx="121">
                  <c:v>-56.842200661047627</c:v>
                </c:pt>
                <c:pt idx="122">
                  <c:v>-55.055909254797491</c:v>
                </c:pt>
                <c:pt idx="123">
                  <c:v>-53.231785031768965</c:v>
                </c:pt>
                <c:pt idx="124">
                  <c:v>-51.377686986874487</c:v>
                </c:pt>
                <c:pt idx="125">
                  <c:v>-49.502230484129278</c:v>
                </c:pt>
                <c:pt idx="126">
                  <c:v>-47.614629662361999</c:v>
                </c:pt>
                <c:pt idx="127">
                  <c:v>-45.724508877687796</c:v>
                </c:pt>
                <c:pt idx="128">
                  <c:v>-43.841692594247633</c:v>
                </c:pt>
                <c:pt idx="129">
                  <c:v>-41.975985333715855</c:v>
                </c:pt>
                <c:pt idx="130">
                  <c:v>-40.136954343441943</c:v>
                </c:pt>
                <c:pt idx="131">
                  <c:v>-38.333727369994691</c:v>
                </c:pt>
                <c:pt idx="132">
                  <c:v>-36.574816374740458</c:v>
                </c:pt>
                <c:pt idx="133">
                  <c:v>-34.867975453510333</c:v>
                </c:pt>
                <c:pt idx="134">
                  <c:v>-33.220098024463212</c:v>
                </c:pt>
                <c:pt idx="135">
                  <c:v>-31.637154987425848</c:v>
                </c:pt>
                <c:pt idx="136">
                  <c:v>-30.12417246229586</c:v>
                </c:pt>
                <c:pt idx="137">
                  <c:v>-28.685245206861307</c:v>
                </c:pt>
                <c:pt idx="138">
                  <c:v>-27.323580077160674</c:v>
                </c:pt>
                <c:pt idx="139">
                  <c:v>-26.041562964949868</c:v>
                </c:pt>
                <c:pt idx="140">
                  <c:v>-24.840842449789701</c:v>
                </c:pt>
                <c:pt idx="141">
                  <c:v>-23.722423786195762</c:v>
                </c:pt>
                <c:pt idx="142">
                  <c:v>-22.686767626574809</c:v>
                </c:pt>
                <c:pt idx="143">
                  <c:v>-21.733888879839434</c:v>
                </c:pt>
                <c:pt idx="144">
                  <c:v>-20.863452172720617</c:v>
                </c:pt>
                <c:pt idx="145">
                  <c:v>-20.074861403549921</c:v>
                </c:pt>
                <c:pt idx="146">
                  <c:v>-19.367341784201443</c:v>
                </c:pt>
                <c:pt idx="147">
                  <c:v>-18.740013517459257</c:v>
                </c:pt>
                <c:pt idx="148">
                  <c:v>-18.191956843672465</c:v>
                </c:pt>
                <c:pt idx="149">
                  <c:v>-17.722268619950615</c:v>
                </c:pt>
                <c:pt idx="150">
                  <c:v>-17.330110885820613</c:v>
                </c:pt>
                <c:pt idx="151">
                  <c:v>-17.01475204458993</c:v>
                </c:pt>
                <c:pt idx="152">
                  <c:v>-16.77560137367573</c:v>
                </c:pt>
                <c:pt idx="153">
                  <c:v>-16.612237592075942</c:v>
                </c:pt>
                <c:pt idx="154">
                  <c:v>-16.524432177990821</c:v>
                </c:pt>
                <c:pt idx="155">
                  <c:v>-16.512168059762761</c:v>
                </c:pt>
                <c:pt idx="156">
                  <c:v>-16.575654210685997</c:v>
                </c:pt>
                <c:pt idx="157">
                  <c:v>-16.715336571689768</c:v>
                </c:pt>
                <c:pt idx="158">
                  <c:v>-16.931905611821335</c:v>
                </c:pt>
                <c:pt idx="159">
                  <c:v>-17.226300719431521</c:v>
                </c:pt>
                <c:pt idx="160">
                  <c:v>-17.599711500501659</c:v>
                </c:pt>
                <c:pt idx="161">
                  <c:v>-18.053575947691119</c:v>
                </c:pt>
                <c:pt idx="162">
                  <c:v>-18.589575337699827</c:v>
                </c:pt>
                <c:pt idx="163">
                  <c:v>-19.209625619633385</c:v>
                </c:pt>
                <c:pt idx="164">
                  <c:v>-19.915864979043889</c:v>
                </c:pt>
                <c:pt idx="165">
                  <c:v>-20.710637209387325</c:v>
                </c:pt>
                <c:pt idx="166">
                  <c:v>-21.596470506151604</c:v>
                </c:pt>
                <c:pt idx="167">
                  <c:v>-22.576051334099411</c:v>
                </c:pt>
                <c:pt idx="168">
                  <c:v>-23.652193124734612</c:v>
                </c:pt>
                <c:pt idx="169">
                  <c:v>-24.827799763933605</c:v>
                </c:pt>
                <c:pt idx="170">
                  <c:v>-26.105824158209675</c:v>
                </c:pt>
                <c:pt idx="171">
                  <c:v>-27.48922265576757</c:v>
                </c:pt>
                <c:pt idx="172">
                  <c:v>-28.980906780943364</c:v>
                </c:pt>
                <c:pt idx="173">
                  <c:v>-30.583694652305827</c:v>
                </c:pt>
                <c:pt idx="174">
                  <c:v>-32.300265624626192</c:v>
                </c:pt>
                <c:pt idx="175">
                  <c:v>-34.13312314131683</c:v>
                </c:pt>
                <c:pt idx="176">
                  <c:v>-36.084572509151798</c:v>
                </c:pt>
                <c:pt idx="177">
                  <c:v>-38.156722294990963</c:v>
                </c:pt>
                <c:pt idx="178">
                  <c:v>-40.351520263289331</c:v>
                </c:pt>
                <c:pt idx="179">
                  <c:v>-42.670837189470959</c:v>
                </c:pt>
                <c:pt idx="180">
                  <c:v>-45.116614489689731</c:v>
                </c:pt>
                <c:pt idx="181">
                  <c:v>-47.691094466824623</c:v>
                </c:pt>
                <c:pt idx="182">
                  <c:v>-50.397155291627911</c:v>
                </c:pt>
                <c:pt idx="183">
                  <c:v>-53.23877705017901</c:v>
                </c:pt>
                <c:pt idx="184">
                  <c:v>-56.221671051320534</c:v>
                </c:pt>
                <c:pt idx="185">
                  <c:v>-59.354113267708904</c:v>
                </c:pt>
                <c:pt idx="186">
                  <c:v>-62.648035897185935</c:v>
                </c:pt>
                <c:pt idx="187">
                  <c:v>-66.120450544257039</c:v>
                </c:pt>
                <c:pt idx="188">
                  <c:v>-69.795304301372411</c:v>
                </c:pt>
                <c:pt idx="189">
                  <c:v>-73.705906449385807</c:v>
                </c:pt>
                <c:pt idx="190">
                  <c:v>-77.898103766033572</c:v>
                </c:pt>
                <c:pt idx="191">
                  <c:v>-82.434406744078089</c:v>
                </c:pt>
                <c:pt idx="192">
                  <c:v>-87.399218379398874</c:v>
                </c:pt>
                <c:pt idx="193">
                  <c:v>-92.905036101231971</c:v>
                </c:pt>
                <c:pt idx="194">
                  <c:v>-99.098611078101769</c:v>
                </c:pt>
                <c:pt idx="195">
                  <c:v>-106.16375427948637</c:v>
                </c:pt>
                <c:pt idx="196">
                  <c:v>-114.31242854652494</c:v>
                </c:pt>
                <c:pt idx="197">
                  <c:v>-123.74717832727862</c:v>
                </c:pt>
                <c:pt idx="198">
                  <c:v>-134.57142133645661</c:v>
                </c:pt>
                <c:pt idx="199">
                  <c:v>-146.64431116354916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2B5-4055-B765-050E9433F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65544"/>
        <c:axId val="173767112"/>
      </c:scatterChart>
      <c:valAx>
        <c:axId val="17376554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767112"/>
        <c:crosses val="autoZero"/>
        <c:crossBetween val="midCat"/>
      </c:valAx>
      <c:valAx>
        <c:axId val="173767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765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|Vout</a:t>
            </a:r>
            <a:r>
              <a:rPr lang="en-US" baseline="0"/>
              <a:t> / Verr|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Compensation'!$AJ$1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Compensation'!$AJ$2:$AJ$200</c:f>
              <c:numCache>
                <c:formatCode>General</c:formatCode>
                <c:ptCount val="199"/>
                <c:pt idx="0">
                  <c:v>33.576186964503911</c:v>
                </c:pt>
                <c:pt idx="1">
                  <c:v>33.570247564622818</c:v>
                </c:pt>
                <c:pt idx="2">
                  <c:v>33.563438223130817</c:v>
                </c:pt>
                <c:pt idx="3">
                  <c:v>33.555633196691815</c:v>
                </c:pt>
                <c:pt idx="4">
                  <c:v>33.546689091482655</c:v>
                </c:pt>
                <c:pt idx="5">
                  <c:v>33.536442549173614</c:v>
                </c:pt>
                <c:pt idx="6">
                  <c:v>33.524707680606383</c:v>
                </c:pt>
                <c:pt idx="7">
                  <c:v>33.511273236021275</c:v>
                </c:pt>
                <c:pt idx="8">
                  <c:v>33.495899506141555</c:v>
                </c:pt>
                <c:pt idx="9">
                  <c:v>33.478314956370077</c:v>
                </c:pt>
                <c:pt idx="10">
                  <c:v>33.458212607442775</c:v>
                </c:pt>
                <c:pt idx="11">
                  <c:v>33.435246190837915</c:v>
                </c:pt>
                <c:pt idx="12">
                  <c:v>33.409026126838945</c:v>
                </c:pt>
                <c:pt idx="13">
                  <c:v>33.379115398155356</c:v>
                </c:pt>
                <c:pt idx="14">
                  <c:v>33.345025423079051</c:v>
                </c:pt>
                <c:pt idx="15">
                  <c:v>33.306212069698859</c:v>
                </c:pt>
                <c:pt idx="16">
                  <c:v>33.262071996655436</c:v>
                </c:pt>
                <c:pt idx="17">
                  <c:v>33.211939555501282</c:v>
                </c:pt>
                <c:pt idx="18">
                  <c:v>33.155084543063211</c:v>
                </c:pt>
                <c:pt idx="19">
                  <c:v>33.09071114596329</c:v>
                </c:pt>
                <c:pt idx="20">
                  <c:v>33.017958468476237</c:v>
                </c:pt>
                <c:pt idx="21">
                  <c:v>32.935903071925267</c:v>
                </c:pt>
                <c:pt idx="22">
                  <c:v>32.843563969436744</c:v>
                </c:pt>
                <c:pt idx="23">
                  <c:v>32.739910502908309</c:v>
                </c:pt>
                <c:pt idx="24">
                  <c:v>32.623873467533024</c:v>
                </c:pt>
                <c:pt idx="25">
                  <c:v>32.494359732157903</c:v>
                </c:pt>
                <c:pt idx="26">
                  <c:v>32.350270423659914</c:v>
                </c:pt>
                <c:pt idx="27">
                  <c:v>32.190522499603865</c:v>
                </c:pt>
                <c:pt idx="28">
                  <c:v>32.014073234885252</c:v>
                </c:pt>
                <c:pt idx="29">
                  <c:v>31.819946816492418</c:v>
                </c:pt>
                <c:pt idx="30">
                  <c:v>31.607261910628146</c:v>
                </c:pt>
                <c:pt idx="31">
                  <c:v>31.375258783511136</c:v>
                </c:pt>
                <c:pt idx="32">
                  <c:v>31.123324371143049</c:v>
                </c:pt>
                <c:pt idx="33">
                  <c:v>30.851013649467735</c:v>
                </c:pt>
                <c:pt idx="34">
                  <c:v>30.558065784615486</c:v>
                </c:pt>
                <c:pt idx="35">
                  <c:v>30.244413848417082</c:v>
                </c:pt>
                <c:pt idx="36">
                  <c:v>29.91018734227309</c:v>
                </c:pt>
                <c:pt idx="37">
                  <c:v>29.555707329655743</c:v>
                </c:pt>
                <c:pt idx="38">
                  <c:v>29.181474561440716</c:v>
                </c:pt>
                <c:pt idx="39">
                  <c:v>28.78815151097125</c:v>
                </c:pt>
                <c:pt idx="40">
                  <c:v>28.376539649549311</c:v>
                </c:pt>
                <c:pt idx="41">
                  <c:v>27.947553543212351</c:v>
                </c:pt>
                <c:pt idx="42">
                  <c:v>27.502193423090006</c:v>
                </c:pt>
                <c:pt idx="43">
                  <c:v>27.041517788202796</c:v>
                </c:pt>
                <c:pt idx="44">
                  <c:v>26.566617377257955</c:v>
                </c:pt>
                <c:pt idx="45">
                  <c:v>26.078591542728656</c:v>
                </c:pt>
                <c:pt idx="46">
                  <c:v>25.578527725576432</c:v>
                </c:pt>
                <c:pt idx="47">
                  <c:v>25.067484404787564</c:v>
                </c:pt>
                <c:pt idx="48">
                  <c:v>24.546477613054218</c:v>
                </c:pt>
                <c:pt idx="49">
                  <c:v>24.016470885930971</c:v>
                </c:pt>
                <c:pt idx="50">
                  <c:v>23.478368352300031</c:v>
                </c:pt>
                <c:pt idx="51">
                  <c:v>22.933010575690702</c:v>
                </c:pt>
                <c:pt idx="52">
                  <c:v>22.381172710003476</c:v>
                </c:pt>
                <c:pt idx="53">
                  <c:v>21.823564527921356</c:v>
                </c:pt>
                <c:pt idx="54">
                  <c:v>21.260831903899323</c:v>
                </c:pt>
                <c:pt idx="55">
                  <c:v>20.693559375415724</c:v>
                </c:pt>
                <c:pt idx="56">
                  <c:v>20.122273457405065</c:v>
                </c:pt>
                <c:pt idx="57">
                  <c:v>19.547446438902519</c:v>
                </c:pt>
                <c:pt idx="58">
                  <c:v>18.969500443376312</c:v>
                </c:pt>
                <c:pt idx="59">
                  <c:v>18.388811582182182</c:v>
                </c:pt>
                <c:pt idx="60">
                  <c:v>17.805714072565799</c:v>
                </c:pt>
                <c:pt idx="61">
                  <c:v>17.220504227134278</c:v>
                </c:pt>
                <c:pt idx="62">
                  <c:v>16.633444250838096</c:v>
                </c:pt>
                <c:pt idx="63">
                  <c:v>16.044765804755375</c:v>
                </c:pt>
                <c:pt idx="64">
                  <c:v>15.454673314058056</c:v>
                </c:pt>
                <c:pt idx="65">
                  <c:v>14.863347011242558</c:v>
                </c:pt>
                <c:pt idx="66">
                  <c:v>14.270945715791063</c:v>
                </c:pt>
                <c:pt idx="67">
                  <c:v>13.677609358602119</c:v>
                </c:pt>
                <c:pt idx="68">
                  <c:v>13.083461264405607</c:v>
                </c:pt>
                <c:pt idx="69">
                  <c:v>12.488610208496953</c:v>
                </c:pt>
                <c:pt idx="70">
                  <c:v>11.893152265909235</c:v>
                </c:pt>
                <c:pt idx="71">
                  <c:v>11.297172471966217</c:v>
                </c:pt>
                <c:pt idx="72">
                  <c:v>10.70074631328283</c:v>
                </c:pt>
                <c:pt idx="73">
                  <c:v>10.103941067945716</c:v>
                </c:pt>
                <c:pt idx="74">
                  <c:v>9.5068170129665557</c:v>
                </c:pt>
                <c:pt idx="75">
                  <c:v>8.9094285162969662</c:v>
                </c:pt>
                <c:pt idx="76">
                  <c:v>8.3118250298148837</c:v>
                </c:pt>
                <c:pt idx="77">
                  <c:v>7.7140519988158163</c:v>
                </c:pt>
                <c:pt idx="78">
                  <c:v>7.1161517027109724</c:v>
                </c:pt>
                <c:pt idx="79">
                  <c:v>6.5181640408977408</c:v>
                </c:pt>
                <c:pt idx="80">
                  <c:v>5.9201272771379099</c:v>
                </c:pt>
                <c:pt idx="81">
                  <c:v>5.322078755287226</c:v>
                </c:pt>
                <c:pt idx="82">
                  <c:v>4.7240555988622592</c:v>
                </c:pt>
                <c:pt idx="83">
                  <c:v>4.1260954067330076</c:v>
                </c:pt>
                <c:pt idx="84">
                  <c:v>3.5282369571772283</c:v>
                </c:pt>
                <c:pt idx="85">
                  <c:v>2.9305209326397756</c:v>
                </c:pt>
                <c:pt idx="86">
                  <c:v>2.3329906777973557</c:v>
                </c:pt>
                <c:pt idx="87">
                  <c:v>1.7356930039381633</c:v>
                </c:pt>
                <c:pt idx="88">
                  <c:v>1.1386790532076405</c:v>
                </c:pt>
                <c:pt idx="89">
                  <c:v>0.54200523694672909</c:v>
                </c:pt>
                <c:pt idx="90">
                  <c:v>-5.4265736878193548E-2</c:v>
                </c:pt>
                <c:pt idx="91">
                  <c:v>-0.65006373129865525</c:v>
                </c:pt>
                <c:pt idx="92">
                  <c:v>-1.2453099262826341</c:v>
                </c:pt>
                <c:pt idx="93">
                  <c:v>-1.8399154253861871</c:v>
                </c:pt>
                <c:pt idx="94">
                  <c:v>-2.4337797047577174</c:v>
                </c:pt>
                <c:pt idx="95">
                  <c:v>-3.0267888855898577</c:v>
                </c:pt>
                <c:pt idx="96">
                  <c:v>-3.6188138109183727</c:v>
                </c:pt>
                <c:pt idx="97">
                  <c:v>-4.2097079080199089</c:v>
                </c:pt>
                <c:pt idx="98">
                  <c:v>-4.7993048187914766</c:v>
                </c:pt>
                <c:pt idx="99">
                  <c:v>-5.3874157827181328</c:v>
                </c:pt>
                <c:pt idx="100">
                  <c:v>-5.9738267607365856</c:v>
                </c:pt>
                <c:pt idx="101">
                  <c:v>-6.5582952939415069</c:v>
                </c:pt>
                <c:pt idx="102">
                  <c:v>-7.140547099234599</c:v>
                </c:pt>
                <c:pt idx="103">
                  <c:v>-7.7202724153255158</c:v>
                </c:pt>
                <c:pt idx="104">
                  <c:v>-8.2971221276937293</c:v>
                </c:pt>
                <c:pt idx="105">
                  <c:v>-8.8707037209940669</c:v>
                </c:pt>
                <c:pt idx="106">
                  <c:v>-9.4405771326886985</c:v>
                </c:pt>
                <c:pt idx="107">
                  <c:v>-10.006250613080059</c:v>
                </c:pt>
                <c:pt idx="108">
                  <c:v>-10.56717673477835</c:v>
                </c:pt>
                <c:pt idx="109">
                  <c:v>-11.122748738893733</c:v>
                </c:pt>
                <c:pt idx="110">
                  <c:v>-11.672297455056242</c:v>
                </c:pt>
                <c:pt idx="111">
                  <c:v>-12.215089085811101</c:v>
                </c:pt>
                <c:pt idx="112">
                  <c:v>-12.750324199616616</c:v>
                </c:pt>
                <c:pt idx="113">
                  <c:v>-13.277138325331224</c:v>
                </c:pt>
                <c:pt idx="114">
                  <c:v>-13.794604577359312</c:v>
                </c:pt>
                <c:pt idx="115">
                  <c:v>-14.301738755038977</c:v>
                </c:pt>
                <c:pt idx="116">
                  <c:v>-14.797507341145653</c:v>
                </c:pt>
                <c:pt idx="117">
                  <c:v>-15.280838760608875</c:v>
                </c:pt>
                <c:pt idx="118">
                  <c:v>-15.750638140770082</c:v>
                </c:pt>
                <c:pt idx="119">
                  <c:v>-16.205805631502511</c:v>
                </c:pt>
                <c:pt idx="120">
                  <c:v>-16.645258096851649</c:v>
                </c:pt>
                <c:pt idx="121">
                  <c:v>-17.06795368922403</c:v>
                </c:pt>
                <c:pt idx="122">
                  <c:v>-17.47291848477709</c:v>
                </c:pt>
                <c:pt idx="123">
                  <c:v>-17.859274029768994</c:v>
                </c:pt>
                <c:pt idx="124">
                  <c:v>-18.226264367877004</c:v>
                </c:pt>
                <c:pt idx="125">
                  <c:v>-18.573280937801307</c:v>
                </c:pt>
                <c:pt idx="126">
                  <c:v>-18.899883693678674</c:v>
                </c:pt>
                <c:pt idx="127">
                  <c:v>-19.205816936958705</c:v>
                </c:pt>
                <c:pt idx="128">
                  <c:v>-19.491018661280869</c:v>
                </c:pt>
                <c:pt idx="129">
                  <c:v>-19.755622675362915</c:v>
                </c:pt>
                <c:pt idx="130">
                  <c:v>-19.999953328758647</c:v>
                </c:pt>
                <c:pt idx="131">
                  <c:v>-20.224513248420305</c:v>
                </c:pt>
                <c:pt idx="132">
                  <c:v>-20.429965022508387</c:v>
                </c:pt>
                <c:pt idx="133">
                  <c:v>-20.61710817489714</c:v>
                </c:pt>
                <c:pt idx="134">
                  <c:v>-20.786853015850994</c:v>
                </c:pt>
                <c:pt idx="135">
                  <c:v>-20.940193017631159</c:v>
                </c:pt>
                <c:pt idx="136">
                  <c:v>-21.078177263360583</c:v>
                </c:pt>
                <c:pt idx="137">
                  <c:v>-21.201884290073352</c:v>
                </c:pt>
                <c:pt idx="138">
                  <c:v>-21.312398340682886</c:v>
                </c:pt>
                <c:pt idx="139">
                  <c:v>-21.410788703766265</c:v>
                </c:pt>
                <c:pt idx="140">
                  <c:v>-21.498092496521572</c:v>
                </c:pt>
                <c:pt idx="141">
                  <c:v>-21.575300965034671</c:v>
                </c:pt>
                <c:pt idx="142">
                  <c:v>-21.643349154004838</c:v>
                </c:pt>
                <c:pt idx="143">
                  <c:v>-21.703108640514664</c:v>
                </c:pt>
                <c:pt idx="144">
                  <c:v>-21.755382929670152</c:v>
                </c:pt>
                <c:pt idx="145">
                  <c:v>-21.800905064871184</c:v>
                </c:pt>
                <c:pt idx="146">
                  <c:v>-21.84033700048434</c:v>
                </c:pt>
                <c:pt idx="147">
                  <c:v>-21.87427030794252</c:v>
                </c:pt>
                <c:pt idx="148">
                  <c:v>-21.903227827172188</c:v>
                </c:pt>
                <c:pt idx="149">
                  <c:v>-21.927665925113917</c:v>
                </c:pt>
                <c:pt idx="150">
                  <c:v>-21.947977075486147</c:v>
                </c:pt>
                <c:pt idx="151">
                  <c:v>-21.964492524416443</c:v>
                </c:pt>
                <c:pt idx="152">
                  <c:v>-21.977484852412452</c:v>
                </c:pt>
                <c:pt idx="153">
                  <c:v>-21.987170282984994</c:v>
                </c:pt>
                <c:pt idx="154">
                  <c:v>-21.99371062165898</c:v>
                </c:pt>
                <c:pt idx="155">
                  <c:v>-21.997214736363894</c:v>
                </c:pt>
                <c:pt idx="156">
                  <c:v>-21.997739511949149</c:v>
                </c:pt>
                <c:pt idx="157">
                  <c:v>-21.995290228735307</c:v>
                </c:pt>
                <c:pt idx="158">
                  <c:v>-21.989820328615913</c:v>
                </c:pt>
                <c:pt idx="159">
                  <c:v>-21.981230543362692</c:v>
                </c:pt>
                <c:pt idx="160">
                  <c:v>-21.969367369559556</c:v>
                </c:pt>
                <c:pt idx="161">
                  <c:v>-21.954020884099016</c:v>
                </c:pt>
                <c:pt idx="162">
                  <c:v>-21.934921904521435</c:v>
                </c:pt>
                <c:pt idx="163">
                  <c:v>-21.91173851073281</c:v>
                </c:pt>
                <c:pt idx="164">
                  <c:v>-21.884071959850782</c:v>
                </c:pt>
                <c:pt idx="165">
                  <c:v>-21.851452045065432</c:v>
                </c:pt>
                <c:pt idx="166">
                  <c:v>-21.813331973271353</c:v>
                </c:pt>
                <c:pt idx="167">
                  <c:v>-21.769082865366812</c:v>
                </c:pt>
                <c:pt idx="168">
                  <c:v>-21.717988017595729</c:v>
                </c:pt>
                <c:pt idx="169">
                  <c:v>-21.659237101492529</c:v>
                </c:pt>
                <c:pt idx="170">
                  <c:v>-21.591920522231803</c:v>
                </c:pt>
                <c:pt idx="171">
                  <c:v>-21.515024197437711</c:v>
                </c:pt>
                <c:pt idx="172">
                  <c:v>-21.427425056047824</c:v>
                </c:pt>
                <c:pt idx="173">
                  <c:v>-21.327887582903138</c:v>
                </c:pt>
                <c:pt idx="174">
                  <c:v>-21.215061740655084</c:v>
                </c:pt>
                <c:pt idx="175">
                  <c:v>-21.087482576051659</c:v>
                </c:pt>
                <c:pt idx="176">
                  <c:v>-20.943571751913829</c:v>
                </c:pt>
                <c:pt idx="177">
                  <c:v>-20.781641129908081</c:v>
                </c:pt>
                <c:pt idx="178">
                  <c:v>-20.599898357975178</c:v>
                </c:pt>
                <c:pt idx="179">
                  <c:v>-20.396454194445447</c:v>
                </c:pt>
                <c:pt idx="180">
                  <c:v>-20.169331047484921</c:v>
                </c:pt>
                <c:pt idx="181">
                  <c:v>-19.916471963824062</c:v>
                </c:pt>
                <c:pt idx="182">
                  <c:v>-19.635749134098376</c:v>
                </c:pt>
                <c:pt idx="183">
                  <c:v>-19.324971002354197</c:v>
                </c:pt>
                <c:pt idx="184">
                  <c:v>-18.981887438615178</c:v>
                </c:pt>
                <c:pt idx="185">
                  <c:v>-18.604193405125272</c:v>
                </c:pt>
                <c:pt idx="186">
                  <c:v>-18.189533511413913</c:v>
                </c:pt>
                <c:pt idx="187">
                  <c:v>-17.735513460806963</c:v>
                </c:pt>
                <c:pt idx="188">
                  <c:v>-17.239730767831279</c:v>
                </c:pt>
                <c:pt idx="189">
                  <c:v>-16.699848275339427</c:v>
                </c:pt>
                <c:pt idx="190">
                  <c:v>-16.113753495535246</c:v>
                </c:pt>
                <c:pt idx="191">
                  <c:v>-15.479880868317007</c:v>
                </c:pt>
                <c:pt idx="192">
                  <c:v>-14.797832843252419</c:v>
                </c:pt>
                <c:pt idx="193">
                  <c:v>-14.069533286798334</c:v>
                </c:pt>
                <c:pt idx="194">
                  <c:v>-13.30129293076488</c:v>
                </c:pt>
                <c:pt idx="195">
                  <c:v>-12.507328841238257</c:v>
                </c:pt>
                <c:pt idx="196">
                  <c:v>-11.715257574169829</c:v>
                </c:pt>
                <c:pt idx="197">
                  <c:v>-10.97321481769759</c:v>
                </c:pt>
                <c:pt idx="198">
                  <c:v>-10.355190440124593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0B4-4A76-87CD-AE2B9C6E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91264"/>
        <c:axId val="173590872"/>
      </c:scatterChart>
      <c:valAx>
        <c:axId val="17359126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590872"/>
        <c:crosses val="autoZero"/>
        <c:crossBetween val="midCat"/>
      </c:valAx>
      <c:valAx>
        <c:axId val="173590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91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Verr</a:t>
            </a:r>
            <a:r>
              <a:rPr lang="en-US" baseline="0"/>
              <a:t> / Vout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Compensation'!$AQ$1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Compensation'!$AQ$2:$AQ$201</c:f>
              <c:numCache>
                <c:formatCode>General</c:formatCode>
                <c:ptCount val="200"/>
                <c:pt idx="0">
                  <c:v>172.69763257822828</c:v>
                </c:pt>
                <c:pt idx="1">
                  <c:v>172.18190561935674</c:v>
                </c:pt>
                <c:pt idx="2">
                  <c:v>171.63077317178909</c:v>
                </c:pt>
                <c:pt idx="3">
                  <c:v>171.04203332670909</c:v>
                </c:pt>
                <c:pt idx="4">
                  <c:v>170.41339863476998</c:v>
                </c:pt>
                <c:pt idx="5">
                  <c:v>169.74250493670559</c:v>
                </c:pt>
                <c:pt idx="6">
                  <c:v>169.02692364777369</c:v>
                </c:pt>
                <c:pt idx="7">
                  <c:v>168.26417816459087</c:v>
                </c:pt>
                <c:pt idx="8">
                  <c:v>167.45176512909376</c:v>
                </c:pt>
                <c:pt idx="9">
                  <c:v>166.58718133546631</c:v>
                </c:pt>
                <c:pt idx="10">
                  <c:v>165.6679570906453</c:v>
                </c:pt>
                <c:pt idx="11">
                  <c:v>164.69169682279161</c:v>
                </c:pt>
                <c:pt idx="12">
                  <c:v>163.65612765652727</c:v>
                </c:pt>
                <c:pt idx="13">
                  <c:v>162.55915651711169</c:v>
                </c:pt>
                <c:pt idx="14">
                  <c:v>161.39893606393062</c:v>
                </c:pt>
                <c:pt idx="15">
                  <c:v>160.17393936243579</c:v>
                </c:pt>
                <c:pt idx="16">
                  <c:v>158.8830426619987</c:v>
                </c:pt>
                <c:pt idx="17">
                  <c:v>157.52561494283401</c:v>
                </c:pt>
                <c:pt idx="18">
                  <c:v>156.10161203176065</c:v>
                </c:pt>
                <c:pt idx="19">
                  <c:v>154.61167209186965</c:v>
                </c:pt>
                <c:pt idx="20">
                  <c:v>153.05720822548977</c:v>
                </c:pt>
                <c:pt idx="21">
                  <c:v>151.4404928923681</c:v>
                </c:pt>
                <c:pt idx="22">
                  <c:v>149.76472797483976</c:v>
                </c:pt>
                <c:pt idx="23">
                  <c:v>148.03409379038297</c:v>
                </c:pt>
                <c:pt idx="24">
                  <c:v>146.25377034390451</c:v>
                </c:pt>
                <c:pt idx="25">
                  <c:v>144.42992479323314</c:v>
                </c:pt>
                <c:pt idx="26">
                  <c:v>142.56966057737685</c:v>
                </c:pt>
                <c:pt idx="27">
                  <c:v>140.68092593043684</c:v>
                </c:pt>
                <c:pt idx="28">
                  <c:v>138.77238244032165</c:v>
                </c:pt>
                <c:pt idx="29">
                  <c:v>136.85323763035589</c:v>
                </c:pt>
                <c:pt idx="30">
                  <c:v>134.93304884270171</c:v>
                </c:pt>
                <c:pt idx="31">
                  <c:v>133.02150852560317</c:v>
                </c:pt>
                <c:pt idx="32">
                  <c:v>131.12822294132005</c:v>
                </c:pt>
                <c:pt idx="33">
                  <c:v>129.26249700976453</c:v>
                </c:pt>
                <c:pt idx="34">
                  <c:v>127.43313736872607</c:v>
                </c:pt>
                <c:pt idx="35">
                  <c:v>125.64828387021394</c:v>
                </c:pt>
                <c:pt idx="36">
                  <c:v>123.91527694430582</c:v>
                </c:pt>
                <c:pt idx="37">
                  <c:v>122.24056497357245</c:v>
                </c:pt>
                <c:pt idx="38">
                  <c:v>120.62965249300527</c:v>
                </c:pt>
                <c:pt idx="39">
                  <c:v>119.08708706773699</c:v>
                </c:pt>
                <c:pt idx="40">
                  <c:v>117.61648039063759</c:v>
                </c:pt>
                <c:pt idx="41">
                  <c:v>116.22055762550968</c:v>
                </c:pt>
                <c:pt idx="42">
                  <c:v>114.90122830273179</c:v>
                </c:pt>
                <c:pt idx="43">
                  <c:v>113.65967205102572</c:v>
                </c:pt>
                <c:pt idx="44">
                  <c:v>112.49643295751058</c:v>
                </c:pt>
                <c:pt idx="45">
                  <c:v>111.41151720376432</c:v>
                </c:pt>
                <c:pt idx="46">
                  <c:v>110.40448965550728</c:v>
                </c:pt>
                <c:pt idx="47">
                  <c:v>109.47456614661391</c:v>
                </c:pt>
                <c:pt idx="48">
                  <c:v>108.62069919312536</c:v>
                </c:pt>
                <c:pt idx="49">
                  <c:v>107.84165573745935</c:v>
                </c:pt>
                <c:pt idx="50">
                  <c:v>107.136086227642</c:v>
                </c:pt>
                <c:pt idx="51">
                  <c:v>106.50258487629625</c:v>
                </c:pt>
                <c:pt idx="52">
                  <c:v>105.93974133056726</c:v>
                </c:pt>
                <c:pt idx="53">
                  <c:v>105.44618423740899</c:v>
                </c:pt>
                <c:pt idx="54">
                  <c:v>105.02061733246546</c:v>
                </c:pt>
                <c:pt idx="55">
                  <c:v>104.66184873878021</c:v>
                </c:pt>
                <c:pt idx="56">
                  <c:v>104.36881415504818</c:v>
                </c:pt>
                <c:pt idx="57">
                  <c:v>104.14059455995456</c:v>
                </c:pt>
                <c:pt idx="58">
                  <c:v>103.97642897359368</c:v>
                </c:pt>
                <c:pt idx="59">
                  <c:v>103.87572270982733</c:v>
                </c:pt>
                <c:pt idx="60">
                  <c:v>103.83805143260956</c:v>
                </c:pt>
                <c:pt idx="61">
                  <c:v>103.86316120038504</c:v>
                </c:pt>
                <c:pt idx="62">
                  <c:v>103.9509645496054</c:v>
                </c:pt>
                <c:pt idx="63">
                  <c:v>104.10153253424681</c:v>
                </c:pt>
                <c:pt idx="64">
                  <c:v>104.31508250567731</c:v>
                </c:pt>
                <c:pt idx="65">
                  <c:v>104.59196128945823</c:v>
                </c:pt>
                <c:pt idx="66">
                  <c:v>104.93262329684701</c:v>
                </c:pt>
                <c:pt idx="67">
                  <c:v>105.33760300481838</c:v>
                </c:pt>
                <c:pt idx="68">
                  <c:v>105.80748115766829</c:v>
                </c:pt>
                <c:pt idx="69">
                  <c:v>106.34284399704708</c:v>
                </c:pt>
                <c:pt idx="70">
                  <c:v>106.94423483043226</c:v>
                </c:pt>
                <c:pt idx="71">
                  <c:v>107.61209731910255</c:v>
                </c:pt>
                <c:pt idx="72">
                  <c:v>108.34671002741393</c:v>
                </c:pt>
                <c:pt idx="73">
                  <c:v>109.14811204954195</c:v>
                </c:pt>
                <c:pt idx="74">
                  <c:v>110.01601994147269</c:v>
                </c:pt>
                <c:pt idx="75">
                  <c:v>110.94973675434154</c:v>
                </c:pt>
                <c:pt idx="76">
                  <c:v>111.94805469977378</c:v>
                </c:pt>
                <c:pt idx="77">
                  <c:v>113.00915387085344</c:v>
                </c:pt>
                <c:pt idx="78">
                  <c:v>114.13050046014619</c:v>
                </c:pt>
                <c:pt idx="79">
                  <c:v>115.30874899120076</c:v>
                </c:pt>
                <c:pt idx="80">
                  <c:v>116.53965410502913</c:v>
                </c:pt>
                <c:pt idx="81">
                  <c:v>117.81799827198553</c:v>
                </c:pt>
                <c:pt idx="82">
                  <c:v>119.13754225654795</c:v>
                </c:pt>
                <c:pt idx="83">
                  <c:v>120.4910050644536</c:v>
                </c:pt>
                <c:pt idx="84">
                  <c:v>121.87007929157765</c:v>
                </c:pt>
                <c:pt idx="85">
                  <c:v>123.26548618393598</c:v>
                </c:pt>
                <c:pt idx="86">
                  <c:v>124.66707233173295</c:v>
                </c:pt>
                <c:pt idx="87">
                  <c:v>126.06394692167555</c:v>
                </c:pt>
                <c:pt idx="88">
                  <c:v>127.44465516885479</c:v>
                </c:pt>
                <c:pt idx="89">
                  <c:v>128.79738036111635</c:v>
                </c:pt>
                <c:pt idx="90">
                  <c:v>130.11016433635302</c:v>
                </c:pt>
                <c:pt idx="91">
                  <c:v>131.37113458912205</c:v>
                </c:pt>
                <c:pt idx="92">
                  <c:v>132.56872584064473</c:v>
                </c:pt>
                <c:pt idx="93">
                  <c:v>133.69188487506588</c:v>
                </c:pt>
                <c:pt idx="94">
                  <c:v>134.73024959321526</c:v>
                </c:pt>
                <c:pt idx="95">
                  <c:v>135.6742962246565</c:v>
                </c:pt>
                <c:pt idx="96">
                  <c:v>136.51545201998604</c:v>
                </c:pt>
                <c:pt idx="97">
                  <c:v>137.24617405058356</c:v>
                </c:pt>
                <c:pt idx="98">
                  <c:v>137.85999757148713</c:v>
                </c:pt>
                <c:pt idx="99">
                  <c:v>138.35155947711237</c:v>
                </c:pt>
                <c:pt idx="100">
                  <c:v>138.71660356474544</c:v>
                </c:pt>
                <c:pt idx="101">
                  <c:v>138.95197461327041</c:v>
                </c:pt>
                <c:pt idx="102">
                  <c:v>139.05560777806929</c:v>
                </c:pt>
                <c:pt idx="103">
                  <c:v>139.0265186483237</c:v>
                </c:pt>
                <c:pt idx="104">
                  <c:v>138.86479768360351</c:v>
                </c:pt>
                <c:pt idx="105">
                  <c:v>138.57161081612077</c:v>
                </c:pt>
                <c:pt idx="106">
                  <c:v>138.14920593782247</c:v>
                </c:pt>
                <c:pt idx="107">
                  <c:v>137.60092294533743</c:v>
                </c:pt>
                <c:pt idx="108">
                  <c:v>136.93120314956334</c:v>
                </c:pt>
                <c:pt idx="109">
                  <c:v>136.1455923374231</c:v>
                </c:pt>
                <c:pt idx="110">
                  <c:v>135.25073077597727</c:v>
                </c:pt>
                <c:pt idx="111">
                  <c:v>134.25432314388334</c:v>
                </c:pt>
                <c:pt idx="112">
                  <c:v>133.1650819014728</c:v>
                </c:pt>
                <c:pt idx="113">
                  <c:v>131.99263903981398</c:v>
                </c:pt>
                <c:pt idx="114">
                  <c:v>130.74742344481544</c:v>
                </c:pt>
                <c:pt idx="115">
                  <c:v>129.44050410189982</c:v>
                </c:pt>
                <c:pt idx="116">
                  <c:v>128.0834027358093</c:v>
                </c:pt>
                <c:pt idx="117">
                  <c:v>126.68788280300299</c:v>
                </c:pt>
                <c:pt idx="118">
                  <c:v>125.26572455900418</c:v>
                </c:pt>
                <c:pt idx="119">
                  <c:v>123.82849778139881</c:v>
                </c:pt>
                <c:pt idx="120">
                  <c:v>122.38734434664153</c:v>
                </c:pt>
                <c:pt idx="121">
                  <c:v>120.95278214188721</c:v>
                </c:pt>
                <c:pt idx="122">
                  <c:v>119.53453986977196</c:v>
                </c:pt>
                <c:pt idx="123">
                  <c:v>118.14142949293731</c:v>
                </c:pt>
                <c:pt idx="124">
                  <c:v>116.78125980122832</c:v>
                </c:pt>
                <c:pt idx="125">
                  <c:v>115.46079132615681</c:v>
                </c:pt>
                <c:pt idx="126">
                  <c:v>114.18572996887622</c:v>
                </c:pt>
                <c:pt idx="127">
                  <c:v>112.96075452062627</c:v>
                </c:pt>
                <c:pt idx="128">
                  <c:v>111.78957186326964</c:v>
                </c:pt>
                <c:pt idx="129">
                  <c:v>110.67499303209132</c:v>
                </c:pt>
                <c:pt idx="130">
                  <c:v>109.61902339273315</c:v>
                </c:pt>
                <c:pt idx="131">
                  <c:v>108.62296076111937</c:v>
                </c:pt>
                <c:pt idx="132">
                  <c:v>107.68749619551092</c:v>
                </c:pt>
                <c:pt idx="133">
                  <c:v>106.81281324408454</c:v>
                </c:pt>
                <c:pt idx="134">
                  <c:v>105.99868250359869</c:v>
                </c:pt>
                <c:pt idx="135">
                  <c:v>105.24454933864408</c:v>
                </c:pt>
                <c:pt idx="136">
                  <c:v>104.549613469118</c:v>
                </c:pt>
                <c:pt idx="137">
                  <c:v>103.91289983025334</c:v>
                </c:pt>
                <c:pt idx="138">
                  <c:v>103.3333206427144</c:v>
                </c:pt>
                <c:pt idx="139">
                  <c:v>102.80972901305256</c:v>
                </c:pt>
                <c:pt idx="140">
                  <c:v>102.34096463858607</c:v>
                </c:pt>
                <c:pt idx="141">
                  <c:v>101.9258923399227</c:v>
                </c:pt>
                <c:pt idx="142">
                  <c:v>101.56343421279891</c:v>
                </c:pt>
                <c:pt idx="143">
                  <c:v>101.25259620007846</c:v>
                </c:pt>
                <c:pt idx="144">
                  <c:v>100.99248985256934</c:v>
                </c:pt>
                <c:pt idx="145">
                  <c:v>100.78234998802395</c:v>
                </c:pt>
                <c:pt idx="146">
                  <c:v>100.62154888204046</c:v>
                </c:pt>
                <c:pt idx="147">
                  <c:v>100.50960754031621</c:v>
                </c:pt>
                <c:pt idx="148">
                  <c:v>100.44620451403212</c:v>
                </c:pt>
                <c:pt idx="149">
                  <c:v>100.43118263232272</c:v>
                </c:pt>
                <c:pt idx="150">
                  <c:v>100.46455393952787</c:v>
                </c:pt>
                <c:pt idx="151">
                  <c:v>100.54650304087166</c:v>
                </c:pt>
                <c:pt idx="152">
                  <c:v>100.67738897820277</c:v>
                </c:pt>
                <c:pt idx="153">
                  <c:v>100.8577456768141</c:v>
                </c:pt>
                <c:pt idx="154">
                  <c:v>101.08828092419108</c:v>
                </c:pt>
                <c:pt idx="155">
                  <c:v>101.3698737607959</c:v>
                </c:pt>
                <c:pt idx="156">
                  <c:v>101.70357008075443</c:v>
                </c:pt>
                <c:pt idx="157">
                  <c:v>102.09057615595016</c:v>
                </c:pt>
                <c:pt idx="158">
                  <c:v>102.53224971045658</c:v>
                </c:pt>
                <c:pt idx="159">
                  <c:v>103.03008808415771</c:v>
                </c:pt>
                <c:pt idx="160">
                  <c:v>103.58571293667448</c:v>
                </c:pt>
                <c:pt idx="161">
                  <c:v>104.20085085872891</c:v>
                </c:pt>
                <c:pt idx="162">
                  <c:v>104.87730918327206</c:v>
                </c:pt>
                <c:pt idx="163">
                  <c:v>105.6169462310465</c:v>
                </c:pt>
                <c:pt idx="164">
                  <c:v>106.4216351958263</c:v>
                </c:pt>
                <c:pt idx="165">
                  <c:v>107.29322088792203</c:v>
                </c:pt>
                <c:pt idx="166">
                  <c:v>108.23346862891214</c:v>
                </c:pt>
                <c:pt idx="167">
                  <c:v>109.24400474761511</c:v>
                </c:pt>
                <c:pt idx="168">
                  <c:v>110.32624839102465</c:v>
                </c:pt>
                <c:pt idx="169">
                  <c:v>111.48133475845367</c:v>
                </c:pt>
                <c:pt idx="170">
                  <c:v>112.71003041310684</c:v>
                </c:pt>
                <c:pt idx="171">
                  <c:v>114.01264203446907</c:v>
                </c:pt>
                <c:pt idx="172">
                  <c:v>115.38892084290524</c:v>
                </c:pt>
                <c:pt idx="173">
                  <c:v>116.83796592590002</c:v>
                </c:pt>
                <c:pt idx="174">
                  <c:v>118.35813076178907</c:v>
                </c:pt>
                <c:pt idx="175">
                  <c:v>119.94693827099483</c:v>
                </c:pt>
                <c:pt idx="176">
                  <c:v>121.60101058622178</c:v>
                </c:pt>
                <c:pt idx="177">
                  <c:v>123.3160202494598</c:v>
                </c:pt>
                <c:pt idx="178">
                  <c:v>125.08666953047728</c:v>
                </c:pt>
                <c:pt idx="179">
                  <c:v>126.90670385422058</c:v>
                </c:pt>
                <c:pt idx="180">
                  <c:v>128.76896382031777</c:v>
                </c:pt>
                <c:pt idx="181">
                  <c:v>130.66547799866066</c:v>
                </c:pt>
                <c:pt idx="182">
                  <c:v>132.5875957303009</c:v>
                </c:pt>
                <c:pt idx="183">
                  <c:v>134.52615583764523</c:v>
                </c:pt>
                <c:pt idx="184">
                  <c:v>136.47168385631207</c:v>
                </c:pt>
                <c:pt idx="185">
                  <c:v>138.41460760315854</c:v>
                </c:pt>
                <c:pt idx="186">
                  <c:v>140.34547901865446</c:v>
                </c:pt>
                <c:pt idx="187">
                  <c:v>142.25518956972513</c:v>
                </c:pt>
                <c:pt idx="188">
                  <c:v>144.13516717939004</c:v>
                </c:pt>
                <c:pt idx="189">
                  <c:v>145.97754454942975</c:v>
                </c:pt>
                <c:pt idx="190">
                  <c:v>147.77529155569138</c:v>
                </c:pt>
                <c:pt idx="191">
                  <c:v>149.52230769303651</c:v>
                </c:pt>
                <c:pt idx="192">
                  <c:v>151.21347386854407</c:v>
                </c:pt>
                <c:pt idx="193">
                  <c:v>152.8446657852472</c:v>
                </c:pt>
                <c:pt idx="194">
                  <c:v>154.41273344231482</c:v>
                </c:pt>
                <c:pt idx="195">
                  <c:v>155.91545276480971</c:v>
                </c:pt>
                <c:pt idx="196">
                  <c:v>157.35145606760895</c:v>
                </c:pt>
                <c:pt idx="197">
                  <c:v>158.72014805837523</c:v>
                </c:pt>
                <c:pt idx="198">
                  <c:v>160.0216135589628</c:v>
                </c:pt>
                <c:pt idx="199">
                  <c:v>161.25652225786678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A16-4008-A2E4-8D9BF941D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18552"/>
        <c:axId val="173018160"/>
      </c:scatterChart>
      <c:valAx>
        <c:axId val="17301855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018160"/>
        <c:crosses val="autoZero"/>
        <c:crossBetween val="midCat"/>
      </c:valAx>
      <c:valAx>
        <c:axId val="17301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018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|Verr</a:t>
            </a:r>
            <a:r>
              <a:rPr lang="en-US" baseline="0"/>
              <a:t> / Vout|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Compensation'!$AR$1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Compensation'!$AR$2:$AR$200</c:f>
              <c:numCache>
                <c:formatCode>General</c:formatCode>
                <c:ptCount val="199"/>
                <c:pt idx="0">
                  <c:v>46.616204801406212</c:v>
                </c:pt>
                <c:pt idx="1">
                  <c:v>46.605512116937611</c:v>
                </c:pt>
                <c:pt idx="2">
                  <c:v>46.593267669776601</c:v>
                </c:pt>
                <c:pt idx="3">
                  <c:v>46.579251629636637</c:v>
                </c:pt>
                <c:pt idx="4">
                  <c:v>46.563214681322421</c:v>
                </c:pt>
                <c:pt idx="5">
                  <c:v>46.544874578214504</c:v>
                </c:pt>
                <c:pt idx="6">
                  <c:v>46.523912449559162</c:v>
                </c:pt>
                <c:pt idx="7">
                  <c:v>46.49996889555311</c:v>
                </c:pt>
                <c:pt idx="8">
                  <c:v>46.472639925444518</c:v>
                </c:pt>
                <c:pt idx="9">
                  <c:v>46.441472820740671</c:v>
                </c:pt>
                <c:pt idx="10">
                  <c:v>46.405962038710257</c:v>
                </c:pt>
                <c:pt idx="11">
                  <c:v>46.365545310984764</c:v>
                </c:pt>
                <c:pt idx="12">
                  <c:v>46.319600137937599</c:v>
                </c:pt>
                <c:pt idx="13">
                  <c:v>46.267440930561968</c:v>
                </c:pt>
                <c:pt idx="14">
                  <c:v>46.208317105485179</c:v>
                </c:pt>
                <c:pt idx="15">
                  <c:v>46.141412491686239</c:v>
                </c:pt>
                <c:pt idx="16">
                  <c:v>46.065846453615535</c:v>
                </c:pt>
                <c:pt idx="17">
                  <c:v>45.980677166802266</c:v>
                </c:pt>
                <c:pt idx="18">
                  <c:v>45.884907488644295</c:v>
                </c:pt>
                <c:pt idx="19">
                  <c:v>45.77749383733979</c:v>
                </c:pt>
                <c:pt idx="20">
                  <c:v>45.657358413950256</c:v>
                </c:pt>
                <c:pt idx="21">
                  <c:v>45.523404966184522</c:v>
                </c:pt>
                <c:pt idx="22">
                  <c:v>45.374538091926979</c:v>
                </c:pt>
                <c:pt idx="23">
                  <c:v>45.209685817835918</c:v>
                </c:pt>
                <c:pt idx="24">
                  <c:v>45.02782487641322</c:v>
                </c:pt>
                <c:pt idx="25">
                  <c:v>44.828007769627611</c:v>
                </c:pt>
                <c:pt idx="26">
                  <c:v>44.609390386917411</c:v>
                </c:pt>
                <c:pt idx="27">
                  <c:v>44.371258687790409</c:v>
                </c:pt>
                <c:pt idx="28">
                  <c:v>44.113052813844305</c:v>
                </c:pt>
                <c:pt idx="29">
                  <c:v>43.8343870034521</c:v>
                </c:pt>
                <c:pt idx="30">
                  <c:v>43.535063867573804</c:v>
                </c:pt>
                <c:pt idx="31">
                  <c:v>43.21508194306891</c:v>
                </c:pt>
                <c:pt idx="32">
                  <c:v>42.874635936207653</c:v>
                </c:pt>
                <c:pt idx="33">
                  <c:v>42.514109643282126</c:v>
                </c:pt>
                <c:pt idx="34">
                  <c:v>42.134062111360976</c:v>
                </c:pt>
                <c:pt idx="35">
                  <c:v>41.735208103971985</c:v>
                </c:pt>
                <c:pt idx="36">
                  <c:v>41.318394302280772</c:v>
                </c:pt>
                <c:pt idx="37">
                  <c:v>40.884572866422928</c:v>
                </c:pt>
                <c:pt idx="38">
                  <c:v>40.434773998524037</c:v>
                </c:pt>
                <c:pt idx="39">
                  <c:v>39.97007901041674</c:v>
                </c:pt>
                <c:pt idx="40">
                  <c:v>39.491595146087867</c:v>
                </c:pt>
                <c:pt idx="41">
                  <c:v>39.000433090891484</c:v>
                </c:pt>
                <c:pt idx="42">
                  <c:v>38.497687764414152</c:v>
                </c:pt>
                <c:pt idx="43">
                  <c:v>37.984422680605469</c:v>
                </c:pt>
                <c:pt idx="44">
                  <c:v>37.461657893857165</c:v>
                </c:pt>
                <c:pt idx="45">
                  <c:v>36.930361346642385</c:v>
                </c:pt>
                <c:pt idx="46">
                  <c:v>36.391443295600865</c:v>
                </c:pt>
                <c:pt idx="47">
                  <c:v>35.845753413153759</c:v>
                </c:pt>
                <c:pt idx="48">
                  <c:v>35.294080130794285</c:v>
                </c:pt>
                <c:pt idx="49">
                  <c:v>34.73715179627154</c:v>
                </c:pt>
                <c:pt idx="50">
                  <c:v>34.175639248339834</c:v>
                </c:pt>
                <c:pt idx="51">
                  <c:v>33.610159459445541</c:v>
                </c:pt>
                <c:pt idx="52">
                  <c:v>33.041279950600632</c:v>
                </c:pt>
                <c:pt idx="53">
                  <c:v>32.469523737796621</c:v>
                </c:pt>
                <c:pt idx="54">
                  <c:v>31.895374621657378</c:v>
                </c:pt>
                <c:pt idx="55">
                  <c:v>31.31928267918676</c:v>
                </c:pt>
                <c:pt idx="56">
                  <c:v>30.741669857203831</c:v>
                </c:pt>
                <c:pt idx="57">
                  <c:v>30.162935600967579</c:v>
                </c:pt>
                <c:pt idx="58">
                  <c:v>29.583462478674218</c:v>
                </c:pt>
                <c:pt idx="59">
                  <c:v>29.003621783339312</c:v>
                </c:pt>
                <c:pt idx="60">
                  <c:v>28.423779108525629</c:v>
                </c:pt>
                <c:pt idx="61">
                  <c:v>27.844299903878703</c:v>
                </c:pt>
                <c:pt idx="62">
                  <c:v>27.26555502081867</c:v>
                </c:pt>
                <c:pt idx="63">
                  <c:v>26.687926258166307</c:v>
                </c:pt>
                <c:pt idx="64">
                  <c:v>26.111811911942326</c:v>
                </c:pt>
                <c:pt idx="65">
                  <c:v>25.537632322870483</c:v>
                </c:pt>
                <c:pt idx="66">
                  <c:v>24.965835398884927</c:v>
                </c:pt>
                <c:pt idx="67">
                  <c:v>24.396902067736388</c:v>
                </c:pt>
                <c:pt idx="68">
                  <c:v>23.831351586135678</c:v>
                </c:pt>
                <c:pt idx="69">
                  <c:v>23.2697465964171</c:v>
                </c:pt>
                <c:pt idx="70">
                  <c:v>22.71269777939597</c:v>
                </c:pt>
                <c:pt idx="71">
                  <c:v>22.160867903441584</c:v>
                </c:pt>
                <c:pt idx="72">
                  <c:v>21.614975016171236</c:v>
                </c:pt>
                <c:pt idx="73">
                  <c:v>21.075794469219382</c:v>
                </c:pt>
                <c:pt idx="74">
                  <c:v>20.544159412513455</c:v>
                </c:pt>
                <c:pt idx="75">
                  <c:v>20.020959348648528</c:v>
                </c:pt>
                <c:pt idx="76">
                  <c:v>19.507136308682046</c:v>
                </c:pt>
                <c:pt idx="77">
                  <c:v>19.003678208400729</c:v>
                </c:pt>
                <c:pt idx="78">
                  <c:v>18.511608980583535</c:v>
                </c:pt>
                <c:pt idx="79">
                  <c:v>18.03197516576596</c:v>
                </c:pt>
                <c:pt idx="80">
                  <c:v>17.565828791058514</c:v>
                </c:pt>
                <c:pt idx="81">
                  <c:v>17.114206578171476</c:v>
                </c:pt>
                <c:pt idx="82">
                  <c:v>16.678105794008985</c:v>
                </c:pt>
                <c:pt idx="83">
                  <c:v>16.258457374702285</c:v>
                </c:pt>
                <c:pt idx="84">
                  <c:v>15.856097288366485</c:v>
                </c:pt>
                <c:pt idx="85">
                  <c:v>15.471737412619749</c:v>
                </c:pt>
                <c:pt idx="86">
                  <c:v>15.105937441499083</c:v>
                </c:pt>
                <c:pt idx="87">
                  <c:v>14.759079454203635</c:v>
                </c:pt>
                <c:pt idx="88">
                  <c:v>14.431346736645567</c:v>
                </c:pt>
                <c:pt idx="89">
                  <c:v>14.122708228304253</c:v>
                </c:pt>
                <c:pt idx="90">
                  <c:v>13.832909581852064</c:v>
                </c:pt>
                <c:pt idx="91">
                  <c:v>13.561471312038398</c:v>
                </c:pt>
                <c:pt idx="92">
                  <c:v>13.307693938626649</c:v>
                </c:pt>
                <c:pt idx="93">
                  <c:v>13.070669473757073</c:v>
                </c:pt>
                <c:pt idx="94">
                  <c:v>12.849298142227495</c:v>
                </c:pt>
                <c:pt idx="95">
                  <c:v>12.642308911734686</c:v>
                </c:pt>
                <c:pt idx="96">
                  <c:v>12.448282279635883</c:v>
                </c:pt>
                <c:pt idx="97">
                  <c:v>12.265673813489942</c:v>
                </c:pt>
                <c:pt idx="98">
                  <c:v>12.092837148333276</c:v>
                </c:pt>
                <c:pt idx="99">
                  <c:v>11.928045460494927</c:v>
                </c:pt>
                <c:pt idx="100">
                  <c:v>11.769510814692341</c:v>
                </c:pt>
                <c:pt idx="101">
                  <c:v>11.615401169141325</c:v>
                </c:pt>
                <c:pt idx="102">
                  <c:v>11.463855181691551</c:v>
                </c:pt>
                <c:pt idx="103">
                  <c:v>11.312995258690879</c:v>
                </c:pt>
                <c:pt idx="104">
                  <c:v>11.160939508077918</c:v>
                </c:pt>
                <c:pt idx="105">
                  <c:v>11.005813388215273</c:v>
                </c:pt>
                <c:pt idx="106">
                  <c:v>10.845761879126275</c:v>
                </c:pt>
                <c:pt idx="107">
                  <c:v>10.678962941893101</c:v>
                </c:pt>
                <c:pt idx="108">
                  <c:v>10.503642877132249</c:v>
                </c:pt>
                <c:pt idx="109">
                  <c:v>10.318093951078627</c:v>
                </c:pt>
                <c:pt idx="110">
                  <c:v>10.120694340781702</c:v>
                </c:pt>
                <c:pt idx="111">
                  <c:v>9.9099300802215531</c:v>
                </c:pt>
                <c:pt idx="112">
                  <c:v>9.6844182996628145</c:v>
                </c:pt>
                <c:pt idx="113">
                  <c:v>9.4429306846675747</c:v>
                </c:pt>
                <c:pt idx="114">
                  <c:v>9.1844157892279412</c:v>
                </c:pt>
                <c:pt idx="115">
                  <c:v>8.9080186695686621</c:v>
                </c:pt>
                <c:pt idx="116">
                  <c:v>8.6130963014397981</c:v>
                </c:pt>
                <c:pt idx="117">
                  <c:v>8.2992274239662667</c:v>
                </c:pt>
                <c:pt idx="118">
                  <c:v>7.966215809113133</c:v>
                </c:pt>
                <c:pt idx="119">
                  <c:v>7.6140864490926718</c:v>
                </c:pt>
                <c:pt idx="120">
                  <c:v>7.2430747207740325</c:v>
                </c:pt>
                <c:pt idx="121">
                  <c:v>6.8536091488235629</c:v>
                </c:pt>
                <c:pt idx="122">
                  <c:v>6.4462888718876998</c:v>
                </c:pt>
                <c:pt idx="123">
                  <c:v>6.0218572590637587</c:v>
                </c:pt>
                <c:pt idx="124">
                  <c:v>5.5811732944601662</c:v>
                </c:pt>
                <c:pt idx="125">
                  <c:v>5.1251823433685262</c:v>
                </c:pt>
                <c:pt idx="126">
                  <c:v>4.6548877587242865</c:v>
                </c:pt>
                <c:pt idx="127">
                  <c:v>4.1713245233705871</c:v>
                </c:pt>
                <c:pt idx="128">
                  <c:v>3.6755358017007906</c:v>
                </c:pt>
                <c:pt idx="129">
                  <c:v>3.16855294053016</c:v>
                </c:pt>
                <c:pt idx="130">
                  <c:v>2.6513791511112181</c:v>
                </c:pt>
                <c:pt idx="131">
                  <c:v>2.1249768468752834</c:v>
                </c:pt>
                <c:pt idx="132">
                  <c:v>1.5902584168000375</c:v>
                </c:pt>
                <c:pt idx="133">
                  <c:v>1.0480800836064634</c:v>
                </c:pt>
                <c:pt idx="134">
                  <c:v>0.49923842312474326</c:v>
                </c:pt>
                <c:pt idx="135">
                  <c:v>-5.5530904280328107E-2</c:v>
                </c:pt>
                <c:pt idx="136">
                  <c:v>-0.61555264927954034</c:v>
                </c:pt>
                <c:pt idx="137">
                  <c:v>-1.1802101011466084</c:v>
                </c:pt>
                <c:pt idx="138">
                  <c:v>-1.7489422041634235</c:v>
                </c:pt>
                <c:pt idx="139">
                  <c:v>-2.3212399652167566</c:v>
                </c:pt>
                <c:pt idx="140">
                  <c:v>-2.8966423998001813</c:v>
                </c:pt>
                <c:pt idx="141">
                  <c:v>-3.4747322115610464</c:v>
                </c:pt>
                <c:pt idx="142">
                  <c:v>-4.0551313537225067</c:v>
                </c:pt>
                <c:pt idx="143">
                  <c:v>-4.6374965801752142</c:v>
                </c:pt>
                <c:pt idx="144">
                  <c:v>-5.2215150599834068</c:v>
                </c:pt>
                <c:pt idx="145">
                  <c:v>-5.8069001011687407</c:v>
                </c:pt>
                <c:pt idx="146">
                  <c:v>-6.3933870073173278</c:v>
                </c:pt>
                <c:pt idx="147">
                  <c:v>-6.9807290730638307</c:v>
                </c:pt>
                <c:pt idx="148">
                  <c:v>-7.5686937110874357</c:v>
                </c:pt>
                <c:pt idx="149">
                  <c:v>-8.1570586931963369</c:v>
                </c:pt>
                <c:pt idx="150">
                  <c:v>-8.7456084807757648</c:v>
                </c:pt>
                <c:pt idx="151">
                  <c:v>-9.334130614823966</c:v>
                </c:pt>
                <c:pt idx="152">
                  <c:v>-9.9224121326283097</c:v>
                </c:pt>
                <c:pt idx="153">
                  <c:v>-10.510235976589314</c:v>
                </c:pt>
                <c:pt idx="154">
                  <c:v>-11.097377360666032</c:v>
                </c:pt>
                <c:pt idx="155">
                  <c:v>-11.683600061389976</c:v>
                </c:pt>
                <c:pt idx="156">
                  <c:v>-12.268652603513797</c:v>
                </c:pt>
                <c:pt idx="157">
                  <c:v>-12.852264315381124</c:v>
                </c:pt>
                <c:pt idx="158">
                  <c:v>-13.434141236404937</c:v>
                </c:pt>
                <c:pt idx="159">
                  <c:v>-14.013961869139141</c:v>
                </c:pt>
                <c:pt idx="160">
                  <c:v>-14.591372781934842</c:v>
                </c:pt>
                <c:pt idx="161">
                  <c:v>-15.165984085797813</c:v>
                </c:pt>
                <c:pt idx="162">
                  <c:v>-15.73736483156021</c:v>
                </c:pt>
                <c:pt idx="163">
                  <c:v>-16.305038401576322</c:v>
                </c:pt>
                <c:pt idx="164">
                  <c:v>-16.868478004416392</c:v>
                </c:pt>
                <c:pt idx="165">
                  <c:v>-17.427102421744888</c:v>
                </c:pt>
                <c:pt idx="166">
                  <c:v>-17.980272203434208</c:v>
                </c:pt>
                <c:pt idx="167">
                  <c:v>-18.527286558866937</c:v>
                </c:pt>
                <c:pt idx="168">
                  <c:v>-19.067381246973316</c:v>
                </c:pt>
                <c:pt idx="169">
                  <c:v>-19.59972782092127</c:v>
                </c:pt>
                <c:pt idx="170">
                  <c:v>-20.123434629642514</c:v>
                </c:pt>
                <c:pt idx="171">
                  <c:v>-20.637550009525725</c:v>
                </c:pt>
                <c:pt idx="172">
                  <c:v>-21.141068105537087</c:v>
                </c:pt>
                <c:pt idx="173">
                  <c:v>-21.63293773014685</c:v>
                </c:pt>
                <c:pt idx="174">
                  <c:v>-22.112074588882074</c:v>
                </c:pt>
                <c:pt idx="175">
                  <c:v>-22.577377062996391</c:v>
                </c:pt>
                <c:pt idx="176">
                  <c:v>-23.02774553714357</c:v>
                </c:pt>
                <c:pt idx="177">
                  <c:v>-23.462104995410332</c:v>
                </c:pt>
                <c:pt idx="178">
                  <c:v>-23.879430295964678</c:v>
                </c:pt>
                <c:pt idx="179">
                  <c:v>-24.278773199173923</c:v>
                </c:pt>
                <c:pt idx="180">
                  <c:v>-24.659289905232495</c:v>
                </c:pt>
                <c:pt idx="181">
                  <c:v>-25.02026760287897</c:v>
                </c:pt>
                <c:pt idx="182">
                  <c:v>-25.361148390165404</c:v>
                </c:pt>
                <c:pt idx="183">
                  <c:v>-25.681548942586303</c:v>
                </c:pt>
                <c:pt idx="184">
                  <c:v>-25.981274495336137</c:v>
                </c:pt>
                <c:pt idx="185">
                  <c:v>-26.260326069913241</c:v>
                </c:pt>
                <c:pt idx="186">
                  <c:v>-26.518900375401287</c:v>
                </c:pt>
                <c:pt idx="187">
                  <c:v>-26.757382390263675</c:v>
                </c:pt>
                <c:pt idx="188">
                  <c:v>-26.976331205145861</c:v>
                </c:pt>
                <c:pt idx="189">
                  <c:v>-27.176460204944984</c:v>
                </c:pt>
                <c:pt idx="190">
                  <c:v>-27.358613028437308</c:v>
                </c:pt>
                <c:pt idx="191">
                  <c:v>-27.523736931368511</c:v>
                </c:pt>
                <c:pt idx="192">
                  <c:v>-27.672855189598007</c:v>
                </c:pt>
                <c:pt idx="193">
                  <c:v>-27.807040035298023</c:v>
                </c:pt>
                <c:pt idx="194">
                  <c:v>-27.927387362767881</c:v>
                </c:pt>
                <c:pt idx="195">
                  <c:v>-28.034994120648122</c:v>
                </c:pt>
                <c:pt idx="196">
                  <c:v>-28.130938971885847</c:v>
                </c:pt>
                <c:pt idx="197">
                  <c:v>-28.216266490323282</c:v>
                </c:pt>
                <c:pt idx="198">
                  <c:v>-28.291974899263991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B3-4D86-8D71-26C139FD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11352"/>
        <c:axId val="173614488"/>
      </c:scatterChart>
      <c:valAx>
        <c:axId val="17361135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614488"/>
        <c:crosses val="autoZero"/>
        <c:crossBetween val="midCat"/>
      </c:valAx>
      <c:valAx>
        <c:axId val="173614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611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Vloop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Compensation'!$AT$1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Compensation'!$AT$2:$AT$201</c:f>
              <c:numCache>
                <c:formatCode>General</c:formatCode>
                <c:ptCount val="200"/>
                <c:pt idx="0">
                  <c:v>167.19118856253374</c:v>
                </c:pt>
                <c:pt idx="1">
                  <c:v>166.28434155425438</c:v>
                </c:pt>
                <c:pt idx="2">
                  <c:v>165.31473161557636</c:v>
                </c:pt>
                <c:pt idx="3">
                  <c:v>164.27833952965361</c:v>
                </c:pt>
                <c:pt idx="4">
                  <c:v>163.17096167193745</c:v>
                </c:pt>
                <c:pt idx="5">
                  <c:v>161.98821854449969</c:v>
                </c:pt>
                <c:pt idx="6">
                  <c:v>160.7255681492345</c:v>
                </c:pt>
                <c:pt idx="7">
                  <c:v>159.3783252317217</c:v>
                </c:pt>
                <c:pt idx="8">
                  <c:v>157.94168755814258</c:v>
                </c:pt>
                <c:pt idx="9">
                  <c:v>156.41077050870501</c:v>
                </c:pt>
                <c:pt idx="10">
                  <c:v>154.78065136934003</c:v>
                </c:pt>
                <c:pt idx="11">
                  <c:v>153.04642476104149</c:v>
                </c:pt>
                <c:pt idx="12">
                  <c:v>151.20327063966926</c:v>
                </c:pt>
                <c:pt idx="13">
                  <c:v>149.24653619927656</c:v>
                </c:pt>
                <c:pt idx="14">
                  <c:v>147.17183278465765</c:v>
                </c:pt>
                <c:pt idx="15">
                  <c:v>144.9751485260513</c:v>
                </c:pt>
                <c:pt idx="16">
                  <c:v>142.65297681254825</c:v>
                </c:pt>
                <c:pt idx="17">
                  <c:v>140.20245988787445</c:v>
                </c:pt>
                <c:pt idx="18">
                  <c:v>137.62154576286309</c:v>
                </c:pt>
                <c:pt idx="19">
                  <c:v>134.9091552963244</c:v>
                </c:pt>
                <c:pt idx="20">
                  <c:v>132.06535473798891</c:v>
                </c:pt>
                <c:pt idx="21">
                  <c:v>129.09152733723974</c:v>
                </c:pt>
                <c:pt idx="22">
                  <c:v>125.9905359363124</c:v>
                </c:pt>
                <c:pt idx="23">
                  <c:v>122.76686697712859</c:v>
                </c:pt>
                <c:pt idx="24">
                  <c:v>119.42674529071371</c:v>
                </c:pt>
                <c:pt idx="25">
                  <c:v>115.97820865955204</c:v>
                </c:pt>
                <c:pt idx="26">
                  <c:v>112.4311316788563</c:v>
                </c:pt>
                <c:pt idx="27">
                  <c:v>108.79719005759245</c:v>
                </c:pt>
                <c:pt idx="28">
                  <c:v>105.08975924312878</c:v>
                </c:pt>
                <c:pt idx="29">
                  <c:v>101.32374502025455</c:v>
                </c:pt>
                <c:pt idx="30">
                  <c:v>97.515348254767318</c:v>
                </c:pt>
                <c:pt idx="31">
                  <c:v>93.681770803638273</c:v>
                </c:pt>
                <c:pt idx="32">
                  <c:v>89.840874278667428</c:v>
                </c:pt>
                <c:pt idx="33">
                  <c:v>86.010807285008795</c:v>
                </c:pt>
                <c:pt idx="34">
                  <c:v>82.209619476709719</c:v>
                </c:pt>
                <c:pt idx="35">
                  <c:v>78.454881933856839</c:v>
                </c:pt>
                <c:pt idx="36">
                  <c:v>74.763332820518571</c:v>
                </c:pt>
                <c:pt idx="37">
                  <c:v>71.150565099698156</c:v>
                </c:pt>
                <c:pt idx="38">
                  <c:v>67.630769539476944</c:v>
                </c:pt>
                <c:pt idx="39">
                  <c:v>64.216541784237975</c:v>
                </c:pt>
                <c:pt idx="40">
                  <c:v>60.918757417688163</c:v>
                </c:pt>
                <c:pt idx="41">
                  <c:v>57.746514247929554</c:v>
                </c:pt>
                <c:pt idx="42">
                  <c:v>54.707136962643503</c:v>
                </c:pt>
                <c:pt idx="43">
                  <c:v>51.806236163979548</c:v>
                </c:pt>
                <c:pt idx="44">
                  <c:v>49.047811762999288</c:v>
                </c:pt>
                <c:pt idx="45">
                  <c:v>46.434389796107112</c:v>
                </c:pt>
                <c:pt idx="46">
                  <c:v>43.967181792684627</c:v>
                </c:pt>
                <c:pt idx="47">
                  <c:v>41.646256660225944</c:v>
                </c:pt>
                <c:pt idx="48">
                  <c:v>39.470716410201973</c:v>
                </c:pt>
                <c:pt idx="49">
                  <c:v>37.438868680379088</c:v>
                </c:pt>
                <c:pt idx="50">
                  <c:v>35.548390708743071</c:v>
                </c:pt>
                <c:pt idx="51">
                  <c:v>33.796481023397746</c:v>
                </c:pt>
                <c:pt idx="52">
                  <c:v>32.179996529047926</c:v>
                </c:pt>
                <c:pt idx="53">
                  <c:v>30.695573840222778</c:v>
                </c:pt>
                <c:pt idx="54">
                  <c:v>29.339734619311059</c:v>
                </c:pt>
                <c:pt idx="55">
                  <c:v>28.108975335972787</c:v>
                </c:pt>
                <c:pt idx="56">
                  <c:v>26.999842302259481</c:v>
                </c:pt>
                <c:pt idx="57">
                  <c:v>26.008993091137427</c:v>
                </c:pt>
                <c:pt idx="58">
                  <c:v>25.133245552967054</c:v>
                </c:pt>
                <c:pt idx="59">
                  <c:v>24.369615640103902</c:v>
                </c:pt>
                <c:pt idx="60">
                  <c:v>23.715345164798492</c:v>
                </c:pt>
                <c:pt idx="61">
                  <c:v>23.167920475224761</c:v>
                </c:pt>
                <c:pt idx="62">
                  <c:v>22.725082858719475</c:v>
                </c:pt>
                <c:pt idx="63">
                  <c:v>22.384831285662059</c:v>
                </c:pt>
                <c:pt idx="64">
                  <c:v>22.145417903874417</c:v>
                </c:pt>
                <c:pt idx="65">
                  <c:v>22.005336491699879</c:v>
                </c:pt>
                <c:pt idx="66">
                  <c:v>21.963303886664747</c:v>
                </c:pt>
                <c:pt idx="67">
                  <c:v>22.018234234566435</c:v>
                </c:pt>
                <c:pt idx="68">
                  <c:v>22.169205760893703</c:v>
                </c:pt>
                <c:pt idx="69">
                  <c:v>22.415419664732468</c:v>
                </c:pt>
                <c:pt idx="70">
                  <c:v>22.756150689749234</c:v>
                </c:pt>
                <c:pt idx="71">
                  <c:v>23.19068895571877</c:v>
                </c:pt>
                <c:pt idx="72">
                  <c:v>23.718272758726727</c:v>
                </c:pt>
                <c:pt idx="73">
                  <c:v>24.338012291962784</c:v>
                </c:pt>
                <c:pt idx="74">
                  <c:v>25.04880462492315</c:v>
                </c:pt>
                <c:pt idx="75">
                  <c:v>25.849240825659336</c:v>
                </c:pt>
                <c:pt idx="76">
                  <c:v>26.737506827374673</c:v>
                </c:pt>
                <c:pt idx="77">
                  <c:v>27.711280518783326</c:v>
                </c:pt>
                <c:pt idx="78">
                  <c:v>28.767628543097331</c:v>
                </c:pt>
                <c:pt idx="79">
                  <c:v>29.902907355200497</c:v>
                </c:pt>
                <c:pt idx="80">
                  <c:v>31.112674102948333</c:v>
                </c:pt>
                <c:pt idx="81">
                  <c:v>32.391613719994183</c:v>
                </c:pt>
                <c:pt idx="82">
                  <c:v>33.733489068041251</c:v>
                </c:pt>
                <c:pt idx="83">
                  <c:v>35.131120862343266</c:v>
                </c:pt>
                <c:pt idx="84">
                  <c:v>36.5764032984317</c:v>
                </c:pt>
                <c:pt idx="85">
                  <c:v>38.060359682201351</c:v>
                </c:pt>
                <c:pt idx="86">
                  <c:v>39.573239972829171</c:v>
                </c:pt>
                <c:pt idx="87">
                  <c:v>41.104659142428218</c:v>
                </c:pt>
                <c:pt idx="88">
                  <c:v>42.643771945539228</c:v>
                </c:pt>
                <c:pt idx="89">
                  <c:v>44.179476493933251</c:v>
                </c:pt>
                <c:pt idx="90">
                  <c:v>45.700636408690926</c:v>
                </c:pt>
                <c:pt idx="91">
                  <c:v>47.196309684267334</c:v>
                </c:pt>
                <c:pt idx="92">
                  <c:v>48.655972020980045</c:v>
                </c:pt>
                <c:pt idx="93">
                  <c:v>50.069723332010923</c:v>
                </c:pt>
                <c:pt idx="94">
                  <c:v>51.42846825638351</c:v>
                </c:pt>
                <c:pt idx="95">
                  <c:v>52.724064471472857</c:v>
                </c:pt>
                <c:pt idx="96">
                  <c:v>53.949435947230114</c:v>
                </c:pt>
                <c:pt idx="97">
                  <c:v>55.098651551266144</c:v>
                </c:pt>
                <c:pt idx="98">
                  <c:v>56.166972197842185</c:v>
                </c:pt>
                <c:pt idx="99">
                  <c:v>57.150871756610826</c:v>
                </c:pt>
                <c:pt idx="100">
                  <c:v>58.048038064102499</c:v>
                </c:pt>
                <c:pt idx="101">
                  <c:v>58.857360608948085</c:v>
                </c:pt>
                <c:pt idx="102">
                  <c:v>59.578910885305149</c:v>
                </c:pt>
                <c:pt idx="103">
                  <c:v>60.213920180771922</c:v>
                </c:pt>
                <c:pt idx="104">
                  <c:v>60.764757862133209</c:v>
                </c:pt>
                <c:pt idx="105">
                  <c:v>61.234911223234107</c:v>
                </c:pt>
                <c:pt idx="106">
                  <c:v>61.628965836083154</c:v>
                </c:pt>
                <c:pt idx="107">
                  <c:v>61.952583267071674</c:v>
                </c:pt>
                <c:pt idx="108">
                  <c:v>62.212471157557431</c:v>
                </c:pt>
                <c:pt idx="109">
                  <c:v>62.416339206387534</c:v>
                </c:pt>
                <c:pt idx="110">
                  <c:v>62.57283372703472</c:v>
                </c:pt>
                <c:pt idx="111">
                  <c:v>62.691443377715245</c:v>
                </c:pt>
                <c:pt idx="112">
                  <c:v>62.782369543027471</c:v>
                </c:pt>
                <c:pt idx="113">
                  <c:v>62.856356773945592</c:v>
                </c:pt>
                <c:pt idx="114">
                  <c:v>62.92448164844096</c:v>
                </c:pt>
                <c:pt idx="115">
                  <c:v>62.997902226293562</c:v>
                </c:pt>
                <c:pt idx="116">
                  <c:v>63.087574604217778</c:v>
                </c:pt>
                <c:pt idx="117">
                  <c:v>63.203947454885032</c:v>
                </c:pt>
                <c:pt idx="118">
                  <c:v>63.356649295622987</c:v>
                </c:pt>
                <c:pt idx="119">
                  <c:v>63.554186022405624</c:v>
                </c:pt>
                <c:pt idx="120">
                  <c:v>63.803667503815625</c:v>
                </c:pt>
                <c:pt idx="121">
                  <c:v>64.110581480839585</c:v>
                </c:pt>
                <c:pt idx="122">
                  <c:v>64.478630614974463</c:v>
                </c:pt>
                <c:pt idx="123">
                  <c:v>64.909644461168341</c:v>
                </c:pt>
                <c:pt idx="124">
                  <c:v>65.403572814353822</c:v>
                </c:pt>
                <c:pt idx="125">
                  <c:v>65.958560842027538</c:v>
                </c:pt>
                <c:pt idx="126">
                  <c:v>66.571100306514211</c:v>
                </c:pt>
                <c:pt idx="127">
                  <c:v>67.236245642938471</c:v>
                </c:pt>
                <c:pt idx="128">
                  <c:v>67.94787926902201</c:v>
                </c:pt>
                <c:pt idx="129">
                  <c:v>68.699007698375468</c:v>
                </c:pt>
                <c:pt idx="130">
                  <c:v>69.482069049291212</c:v>
                </c:pt>
                <c:pt idx="131">
                  <c:v>70.289233391124682</c:v>
                </c:pt>
                <c:pt idx="132">
                  <c:v>71.112679820770467</c:v>
                </c:pt>
                <c:pt idx="133">
                  <c:v>71.944837790574212</c:v>
                </c:pt>
                <c:pt idx="134">
                  <c:v>72.778584479135475</c:v>
                </c:pt>
                <c:pt idx="135">
                  <c:v>73.607394351218232</c:v>
                </c:pt>
                <c:pt idx="136">
                  <c:v>74.42544100682214</c:v>
                </c:pt>
                <c:pt idx="137">
                  <c:v>75.227654623392027</c:v>
                </c:pt>
                <c:pt idx="138">
                  <c:v>76.009740565553727</c:v>
                </c:pt>
                <c:pt idx="139">
                  <c:v>76.7681660481027</c:v>
                </c:pt>
                <c:pt idx="140">
                  <c:v>77.500122188796368</c:v>
                </c:pt>
                <c:pt idx="141">
                  <c:v>78.203468553726935</c:v>
                </c:pt>
                <c:pt idx="142">
                  <c:v>78.876666586224104</c:v>
                </c:pt>
                <c:pt idx="143">
                  <c:v>79.518707320239031</c:v>
                </c:pt>
                <c:pt idx="144">
                  <c:v>80.129037679848722</c:v>
                </c:pt>
                <c:pt idx="145">
                  <c:v>80.707488584474035</c:v>
                </c:pt>
                <c:pt idx="146">
                  <c:v>81.254207097839014</c:v>
                </c:pt>
                <c:pt idx="147">
                  <c:v>81.76959402285695</c:v>
                </c:pt>
                <c:pt idx="148">
                  <c:v>82.254247670359661</c:v>
                </c:pt>
                <c:pt idx="149">
                  <c:v>82.708914012372105</c:v>
                </c:pt>
                <c:pt idx="150">
                  <c:v>83.134443053707258</c:v>
                </c:pt>
                <c:pt idx="151">
                  <c:v>83.53175099628173</c:v>
                </c:pt>
                <c:pt idx="152">
                  <c:v>83.901787604527044</c:v>
                </c:pt>
                <c:pt idx="153">
                  <c:v>84.245508084738162</c:v>
                </c:pt>
                <c:pt idx="154">
                  <c:v>84.563848746200264</c:v>
                </c:pt>
                <c:pt idx="155">
                  <c:v>84.85770570103314</c:v>
                </c:pt>
                <c:pt idx="156">
                  <c:v>85.127915870068435</c:v>
                </c:pt>
                <c:pt idx="157">
                  <c:v>85.375239584260385</c:v>
                </c:pt>
                <c:pt idx="158">
                  <c:v>85.600344098635247</c:v>
                </c:pt>
                <c:pt idx="159">
                  <c:v>85.80378736472619</c:v>
                </c:pt>
                <c:pt idx="160">
                  <c:v>85.986001436172828</c:v>
                </c:pt>
                <c:pt idx="161">
                  <c:v>86.147274911037798</c:v>
                </c:pt>
                <c:pt idx="162">
                  <c:v>86.287733845572234</c:v>
                </c:pt>
                <c:pt idx="163">
                  <c:v>86.407320611413112</c:v>
                </c:pt>
                <c:pt idx="164">
                  <c:v>86.505770216782409</c:v>
                </c:pt>
                <c:pt idx="165">
                  <c:v>86.582583678534704</c:v>
                </c:pt>
                <c:pt idx="166">
                  <c:v>86.636998122760531</c:v>
                </c:pt>
                <c:pt idx="167">
                  <c:v>86.667953413515704</c:v>
                </c:pt>
                <c:pt idx="168">
                  <c:v>86.67405526629004</c:v>
                </c:pt>
                <c:pt idx="169">
                  <c:v>86.653534994520072</c:v>
                </c:pt>
                <c:pt idx="170">
                  <c:v>86.604206254897164</c:v>
                </c:pt>
                <c:pt idx="171">
                  <c:v>86.523419378701504</c:v>
                </c:pt>
                <c:pt idx="172">
                  <c:v>86.408014061961865</c:v>
                </c:pt>
                <c:pt idx="173">
                  <c:v>86.254271273594199</c:v>
                </c:pt>
                <c:pt idx="174">
                  <c:v>86.057865137162878</c:v>
                </c:pt>
                <c:pt idx="175">
                  <c:v>85.813815129678005</c:v>
                </c:pt>
                <c:pt idx="176">
                  <c:v>85.516438077069978</c:v>
                </c:pt>
                <c:pt idx="177">
                  <c:v>85.159297954468826</c:v>
                </c:pt>
                <c:pt idx="178">
                  <c:v>84.73514926718795</c:v>
                </c:pt>
                <c:pt idx="179">
                  <c:v>84.235866664749622</c:v>
                </c:pt>
                <c:pt idx="180">
                  <c:v>83.652349330628027</c:v>
                </c:pt>
                <c:pt idx="181">
                  <c:v>82.97438353183604</c:v>
                </c:pt>
                <c:pt idx="182">
                  <c:v>82.190440438672994</c:v>
                </c:pt>
                <c:pt idx="183">
                  <c:v>81.287378787466224</c:v>
                </c:pt>
                <c:pt idx="184">
                  <c:v>80.250012804991542</c:v>
                </c:pt>
                <c:pt idx="185">
                  <c:v>79.060494335449647</c:v>
                </c:pt>
                <c:pt idx="186">
                  <c:v>77.697443121468524</c:v>
                </c:pt>
                <c:pt idx="187">
                  <c:v>76.134739025468093</c:v>
                </c:pt>
                <c:pt idx="188">
                  <c:v>74.339862878017627</c:v>
                </c:pt>
                <c:pt idx="189">
                  <c:v>72.271638100043944</c:v>
                </c:pt>
                <c:pt idx="190">
                  <c:v>69.87718778965781</c:v>
                </c:pt>
                <c:pt idx="191">
                  <c:v>67.087900948958421</c:v>
                </c:pt>
                <c:pt idx="192">
                  <c:v>63.814255489145197</c:v>
                </c:pt>
                <c:pt idx="193">
                  <c:v>59.93962968401523</c:v>
                </c:pt>
                <c:pt idx="194">
                  <c:v>55.314122364213048</c:v>
                </c:pt>
                <c:pt idx="195">
                  <c:v>49.751698485323345</c:v>
                </c:pt>
                <c:pt idx="196">
                  <c:v>43.039027521084009</c:v>
                </c:pt>
                <c:pt idx="197">
                  <c:v>34.972969731096612</c:v>
                </c:pt>
                <c:pt idx="198">
                  <c:v>25.450192222506189</c:v>
                </c:pt>
                <c:pt idx="199">
                  <c:v>14.612211094317615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CF4-4260-96A2-3289A60AD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831616"/>
        <c:axId val="240832008"/>
      </c:scatterChart>
      <c:valAx>
        <c:axId val="240831616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832008"/>
        <c:crosses val="autoZero"/>
        <c:crossBetween val="midCat"/>
      </c:valAx>
      <c:valAx>
        <c:axId val="240832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831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|Vloop</a:t>
            </a:r>
            <a:r>
              <a:rPr lang="en-US" baseline="0"/>
              <a:t>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Compensation'!$AS$1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Compensation'!$AS$2:$AS$200</c:f>
              <c:numCache>
                <c:formatCode>General</c:formatCode>
                <c:ptCount val="199"/>
                <c:pt idx="0">
                  <c:v>80.192391765910116</c:v>
                </c:pt>
                <c:pt idx="1">
                  <c:v>80.175759681560436</c:v>
                </c:pt>
                <c:pt idx="2">
                  <c:v>80.156705892907411</c:v>
                </c:pt>
                <c:pt idx="3">
                  <c:v>80.134884826328459</c:v>
                </c:pt>
                <c:pt idx="4">
                  <c:v>80.109903772805069</c:v>
                </c:pt>
                <c:pt idx="5">
                  <c:v>80.081317127388118</c:v>
                </c:pt>
                <c:pt idx="6">
                  <c:v>80.048620130165546</c:v>
                </c:pt>
                <c:pt idx="7">
                  <c:v>80.011242131574392</c:v>
                </c:pt>
                <c:pt idx="8">
                  <c:v>79.968539431586066</c:v>
                </c:pt>
                <c:pt idx="9">
                  <c:v>79.919787777110741</c:v>
                </c:pt>
                <c:pt idx="10">
                  <c:v>79.864174646153032</c:v>
                </c:pt>
                <c:pt idx="11">
                  <c:v>79.800791501822687</c:v>
                </c:pt>
                <c:pt idx="12">
                  <c:v>79.728626264776551</c:v>
                </c:pt>
                <c:pt idx="13">
                  <c:v>79.646556328717324</c:v>
                </c:pt>
                <c:pt idx="14">
                  <c:v>79.553342528564229</c:v>
                </c:pt>
                <c:pt idx="15">
                  <c:v>79.447624561385098</c:v>
                </c:pt>
                <c:pt idx="16">
                  <c:v>79.327918450270971</c:v>
                </c:pt>
                <c:pt idx="17">
                  <c:v>79.192616722303541</c:v>
                </c:pt>
                <c:pt idx="18">
                  <c:v>79.039992031707499</c:v>
                </c:pt>
                <c:pt idx="19">
                  <c:v>78.868204983303087</c:v>
                </c:pt>
                <c:pt idx="20">
                  <c:v>78.6753168824265</c:v>
                </c:pt>
                <c:pt idx="21">
                  <c:v>78.459308038109782</c:v>
                </c:pt>
                <c:pt idx="22">
                  <c:v>78.218102061363723</c:v>
                </c:pt>
                <c:pt idx="23">
                  <c:v>77.949596320744234</c:v>
                </c:pt>
                <c:pt idx="24">
                  <c:v>77.651698343946236</c:v>
                </c:pt>
                <c:pt idx="25">
                  <c:v>77.322367501785521</c:v>
                </c:pt>
                <c:pt idx="26">
                  <c:v>76.959660810577333</c:v>
                </c:pt>
                <c:pt idx="27">
                  <c:v>76.561781187394274</c:v>
                </c:pt>
                <c:pt idx="28">
                  <c:v>76.127126048729565</c:v>
                </c:pt>
                <c:pt idx="29">
                  <c:v>75.654333819944526</c:v>
                </c:pt>
                <c:pt idx="30">
                  <c:v>75.14232577820195</c:v>
                </c:pt>
                <c:pt idx="31">
                  <c:v>74.590340726580052</c:v>
                </c:pt>
                <c:pt idx="32">
                  <c:v>73.997960307350695</c:v>
                </c:pt>
                <c:pt idx="33">
                  <c:v>73.365123292749857</c:v>
                </c:pt>
                <c:pt idx="34">
                  <c:v>72.692127895976455</c:v>
                </c:pt>
                <c:pt idx="35">
                  <c:v>71.979621952389067</c:v>
                </c:pt>
                <c:pt idx="36">
                  <c:v>71.228581644553856</c:v>
                </c:pt>
                <c:pt idx="37">
                  <c:v>70.440280196078675</c:v>
                </c:pt>
                <c:pt idx="38">
                  <c:v>69.61624855996476</c:v>
                </c:pt>
                <c:pt idx="39">
                  <c:v>68.758230521387986</c:v>
                </c:pt>
                <c:pt idx="40">
                  <c:v>67.868134795637175</c:v>
                </c:pt>
                <c:pt idx="41">
                  <c:v>66.947986634103842</c:v>
                </c:pt>
                <c:pt idx="42">
                  <c:v>65.999881187504158</c:v>
                </c:pt>
                <c:pt idx="43">
                  <c:v>65.025940468808272</c:v>
                </c:pt>
                <c:pt idx="44">
                  <c:v>64.02827527111512</c:v>
                </c:pt>
                <c:pt idx="45">
                  <c:v>63.008952889371045</c:v>
                </c:pt>
                <c:pt idx="46">
                  <c:v>61.969971021177301</c:v>
                </c:pt>
                <c:pt idx="47">
                  <c:v>60.913237817941322</c:v>
                </c:pt>
                <c:pt idx="48">
                  <c:v>59.840557743848507</c:v>
                </c:pt>
                <c:pt idx="49">
                  <c:v>58.753622682202511</c:v>
                </c:pt>
                <c:pt idx="50">
                  <c:v>57.654007600639865</c:v>
                </c:pt>
                <c:pt idx="51">
                  <c:v>56.543170035136242</c:v>
                </c:pt>
                <c:pt idx="52">
                  <c:v>55.422452660604108</c:v>
                </c:pt>
                <c:pt idx="53">
                  <c:v>54.293088265717977</c:v>
                </c:pt>
                <c:pt idx="54">
                  <c:v>53.156206525556698</c:v>
                </c:pt>
                <c:pt idx="55">
                  <c:v>52.012842054602487</c:v>
                </c:pt>
                <c:pt idx="56">
                  <c:v>50.863943314608896</c:v>
                </c:pt>
                <c:pt idx="57">
                  <c:v>49.710382039870098</c:v>
                </c:pt>
                <c:pt idx="58">
                  <c:v>48.552962922050526</c:v>
                </c:pt>
                <c:pt idx="59">
                  <c:v>47.392433365521498</c:v>
                </c:pt>
                <c:pt idx="60">
                  <c:v>46.229493181091428</c:v>
                </c:pt>
                <c:pt idx="61">
                  <c:v>45.064804131012977</c:v>
                </c:pt>
                <c:pt idx="62">
                  <c:v>43.898999271656763</c:v>
                </c:pt>
                <c:pt idx="63">
                  <c:v>42.732692062921686</c:v>
                </c:pt>
                <c:pt idx="64">
                  <c:v>41.566485226000381</c:v>
                </c:pt>
                <c:pt idx="65">
                  <c:v>40.400979334113039</c:v>
                </c:pt>
                <c:pt idx="66">
                  <c:v>39.236781114675992</c:v>
                </c:pt>
                <c:pt idx="67">
                  <c:v>38.074511426338503</c:v>
                </c:pt>
                <c:pt idx="68">
                  <c:v>36.914812850541281</c:v>
                </c:pt>
                <c:pt idx="69">
                  <c:v>35.758356804914051</c:v>
                </c:pt>
                <c:pt idx="70">
                  <c:v>34.605850045305203</c:v>
                </c:pt>
                <c:pt idx="71">
                  <c:v>33.458040375407805</c:v>
                </c:pt>
                <c:pt idx="72">
                  <c:v>32.315721329454064</c:v>
                </c:pt>
                <c:pt idx="73">
                  <c:v>31.179735537165097</c:v>
                </c:pt>
                <c:pt idx="74">
                  <c:v>30.050976425480009</c:v>
                </c:pt>
                <c:pt idx="75">
                  <c:v>28.930387864945494</c:v>
                </c:pt>
                <c:pt idx="76">
                  <c:v>27.81896133849693</c:v>
                </c:pt>
                <c:pt idx="77">
                  <c:v>26.717730207216544</c:v>
                </c:pt>
                <c:pt idx="78">
                  <c:v>25.627760683294508</c:v>
                </c:pt>
                <c:pt idx="79">
                  <c:v>24.550139206663701</c:v>
                </c:pt>
                <c:pt idx="80">
                  <c:v>23.485956068196423</c:v>
                </c:pt>
                <c:pt idx="81">
                  <c:v>22.436285333458702</c:v>
                </c:pt>
                <c:pt idx="82">
                  <c:v>21.402161392871243</c:v>
                </c:pt>
                <c:pt idx="83">
                  <c:v>20.384552781435293</c:v>
                </c:pt>
                <c:pt idx="84">
                  <c:v>19.384334245543712</c:v>
                </c:pt>
                <c:pt idx="85">
                  <c:v>18.402258345259526</c:v>
                </c:pt>
                <c:pt idx="86">
                  <c:v>17.438928119296438</c:v>
                </c:pt>
                <c:pt idx="87">
                  <c:v>16.494772458141799</c:v>
                </c:pt>
                <c:pt idx="88">
                  <c:v>15.570025789853208</c:v>
                </c:pt>
                <c:pt idx="89">
                  <c:v>14.664713465250982</c:v>
                </c:pt>
                <c:pt idx="90">
                  <c:v>13.778643844973871</c:v>
                </c:pt>
                <c:pt idx="91">
                  <c:v>12.911407580739743</c:v>
                </c:pt>
                <c:pt idx="92">
                  <c:v>12.062384012344015</c:v>
                </c:pt>
                <c:pt idx="93">
                  <c:v>11.230754048370887</c:v>
                </c:pt>
                <c:pt idx="94">
                  <c:v>10.415518437469778</c:v>
                </c:pt>
                <c:pt idx="95">
                  <c:v>9.6155200261448286</c:v>
                </c:pt>
                <c:pt idx="96">
                  <c:v>8.8294684687175113</c:v>
                </c:pt>
                <c:pt idx="97">
                  <c:v>8.0559659054700319</c:v>
                </c:pt>
                <c:pt idx="98">
                  <c:v>7.2935323295417991</c:v>
                </c:pt>
                <c:pt idx="99">
                  <c:v>6.5406296777767938</c:v>
                </c:pt>
                <c:pt idx="100">
                  <c:v>5.795684053955755</c:v>
                </c:pt>
                <c:pt idx="101">
                  <c:v>5.0571058751998184</c:v>
                </c:pt>
                <c:pt idx="102">
                  <c:v>4.3233080824569523</c:v>
                </c:pt>
                <c:pt idx="103">
                  <c:v>3.5927228433653635</c:v>
                </c:pt>
                <c:pt idx="104">
                  <c:v>2.8638173803841891</c:v>
                </c:pt>
                <c:pt idx="105">
                  <c:v>2.1351096672212062</c:v>
                </c:pt>
                <c:pt idx="106">
                  <c:v>1.4051847464375768</c:v>
                </c:pt>
                <c:pt idx="107">
                  <c:v>0.67271232881304144</c:v>
                </c:pt>
                <c:pt idx="108">
                  <c:v>-6.353385764610131E-2</c:v>
                </c:pt>
                <c:pt idx="109">
                  <c:v>-0.80465478781510669</c:v>
                </c:pt>
                <c:pt idx="110">
                  <c:v>-1.5516031142745401</c:v>
                </c:pt>
                <c:pt idx="111">
                  <c:v>-2.3051590055895481</c:v>
                </c:pt>
                <c:pt idx="112">
                  <c:v>-3.0659058999538011</c:v>
                </c:pt>
                <c:pt idx="113">
                  <c:v>-3.8342076406636494</c:v>
                </c:pt>
                <c:pt idx="114">
                  <c:v>-4.6101887881313708</c:v>
                </c:pt>
                <c:pt idx="115">
                  <c:v>-5.3937200854703153</c:v>
                </c:pt>
                <c:pt idx="116">
                  <c:v>-6.1844110397058554</c:v>
                </c:pt>
                <c:pt idx="117">
                  <c:v>-6.981611336642608</c:v>
                </c:pt>
                <c:pt idx="118">
                  <c:v>-7.7844223316569492</c:v>
                </c:pt>
                <c:pt idx="119">
                  <c:v>-8.5917191824098396</c:v>
                </c:pt>
                <c:pt idx="120">
                  <c:v>-9.4021833760776161</c:v>
                </c:pt>
                <c:pt idx="121">
                  <c:v>-10.214344540400468</c:v>
                </c:pt>
                <c:pt idx="122">
                  <c:v>-11.026629612889391</c:v>
                </c:pt>
                <c:pt idx="123">
                  <c:v>-11.837416770705236</c:v>
                </c:pt>
                <c:pt idx="124">
                  <c:v>-12.645091073416838</c:v>
                </c:pt>
                <c:pt idx="125">
                  <c:v>-13.448098594432782</c:v>
                </c:pt>
                <c:pt idx="126">
                  <c:v>-14.244995934954389</c:v>
                </c:pt>
                <c:pt idx="127">
                  <c:v>-15.034492413588119</c:v>
                </c:pt>
                <c:pt idx="128">
                  <c:v>-15.815482859580078</c:v>
                </c:pt>
                <c:pt idx="129">
                  <c:v>-16.587069734832756</c:v>
                </c:pt>
                <c:pt idx="130">
                  <c:v>-17.348574177647428</c:v>
                </c:pt>
                <c:pt idx="131">
                  <c:v>-18.09953640154502</c:v>
                </c:pt>
                <c:pt idx="132">
                  <c:v>-18.839706605708351</c:v>
                </c:pt>
                <c:pt idx="133">
                  <c:v>-19.569028091290676</c:v>
                </c:pt>
                <c:pt idx="134">
                  <c:v>-20.28761459272625</c:v>
                </c:pt>
                <c:pt idx="135">
                  <c:v>-20.995723921911488</c:v>
                </c:pt>
                <c:pt idx="136">
                  <c:v>-21.693729912640123</c:v>
                </c:pt>
                <c:pt idx="137">
                  <c:v>-22.382094391219962</c:v>
                </c:pt>
                <c:pt idx="138">
                  <c:v>-23.06134054484631</c:v>
                </c:pt>
                <c:pt idx="139">
                  <c:v>-23.73202866898302</c:v>
                </c:pt>
                <c:pt idx="140">
                  <c:v>-24.394734896321754</c:v>
                </c:pt>
                <c:pt idx="141">
                  <c:v>-25.050033176595718</c:v>
                </c:pt>
                <c:pt idx="142">
                  <c:v>-25.698480507727346</c:v>
                </c:pt>
                <c:pt idx="143">
                  <c:v>-26.340605220689877</c:v>
                </c:pt>
                <c:pt idx="144">
                  <c:v>-26.976897989653558</c:v>
                </c:pt>
                <c:pt idx="145">
                  <c:v>-27.607805166039924</c:v>
                </c:pt>
                <c:pt idx="146">
                  <c:v>-28.233724007801669</c:v>
                </c:pt>
                <c:pt idx="147">
                  <c:v>-28.854999381006351</c:v>
                </c:pt>
                <c:pt idx="148">
                  <c:v>-29.471921538259622</c:v>
                </c:pt>
                <c:pt idx="149">
                  <c:v>-30.084724618310254</c:v>
                </c:pt>
                <c:pt idx="150">
                  <c:v>-30.693585556261912</c:v>
                </c:pt>
                <c:pt idx="151">
                  <c:v>-31.298623139240409</c:v>
                </c:pt>
                <c:pt idx="152">
                  <c:v>-31.899896985040762</c:v>
                </c:pt>
                <c:pt idx="153">
                  <c:v>-32.497406259574305</c:v>
                </c:pt>
                <c:pt idx="154">
                  <c:v>-33.091087982325014</c:v>
                </c:pt>
                <c:pt idx="155">
                  <c:v>-33.680814797753868</c:v>
                </c:pt>
                <c:pt idx="156">
                  <c:v>-34.266392115462949</c:v>
                </c:pt>
                <c:pt idx="157">
                  <c:v>-34.847554544116434</c:v>
                </c:pt>
                <c:pt idx="158">
                  <c:v>-35.423961565020846</c:v>
                </c:pt>
                <c:pt idx="159">
                  <c:v>-35.995192412501837</c:v>
                </c:pt>
                <c:pt idx="160">
                  <c:v>-36.5607401514944</c:v>
                </c:pt>
                <c:pt idx="161">
                  <c:v>-37.120004969896826</c:v>
                </c:pt>
                <c:pt idx="162">
                  <c:v>-37.672286736081645</c:v>
                </c:pt>
                <c:pt idx="163">
                  <c:v>-38.216776912309129</c:v>
                </c:pt>
                <c:pt idx="164">
                  <c:v>-38.752549964267175</c:v>
                </c:pt>
                <c:pt idx="165">
                  <c:v>-39.27855446681032</c:v>
                </c:pt>
                <c:pt idx="166">
                  <c:v>-39.793604176705557</c:v>
                </c:pt>
                <c:pt idx="167">
                  <c:v>-40.296369424233745</c:v>
                </c:pt>
                <c:pt idx="168">
                  <c:v>-40.785369264569042</c:v>
                </c:pt>
                <c:pt idx="169">
                  <c:v>-41.258964922413796</c:v>
                </c:pt>
                <c:pt idx="170">
                  <c:v>-41.71535515187432</c:v>
                </c:pt>
                <c:pt idx="171">
                  <c:v>-42.152574206963436</c:v>
                </c:pt>
                <c:pt idx="172">
                  <c:v>-42.568493161584911</c:v>
                </c:pt>
                <c:pt idx="173">
                  <c:v>-42.960825313049988</c:v>
                </c:pt>
                <c:pt idx="174">
                  <c:v>-43.327136329537154</c:v>
                </c:pt>
                <c:pt idx="175">
                  <c:v>-43.664859639048046</c:v>
                </c:pt>
                <c:pt idx="176">
                  <c:v>-43.971317289057396</c:v>
                </c:pt>
                <c:pt idx="177">
                  <c:v>-44.24374612531841</c:v>
                </c:pt>
                <c:pt idx="178">
                  <c:v>-44.479328653939859</c:v>
                </c:pt>
                <c:pt idx="179">
                  <c:v>-44.675227393619366</c:v>
                </c:pt>
                <c:pt idx="180">
                  <c:v>-44.828620952717415</c:v>
                </c:pt>
                <c:pt idx="181">
                  <c:v>-44.936739566703032</c:v>
                </c:pt>
                <c:pt idx="182">
                  <c:v>-44.99689752426378</c:v>
                </c:pt>
                <c:pt idx="183">
                  <c:v>-45.0065199449405</c:v>
                </c:pt>
                <c:pt idx="184">
                  <c:v>-44.963161933951312</c:v>
                </c:pt>
                <c:pt idx="185">
                  <c:v>-44.864519475038513</c:v>
                </c:pt>
                <c:pt idx="186">
                  <c:v>-44.7084338868152</c:v>
                </c:pt>
                <c:pt idx="187">
                  <c:v>-44.492895851070642</c:v>
                </c:pt>
                <c:pt idx="188">
                  <c:v>-44.216061972977144</c:v>
                </c:pt>
                <c:pt idx="189">
                  <c:v>-43.876308480284408</c:v>
                </c:pt>
                <c:pt idx="190">
                  <c:v>-43.472366523972553</c:v>
                </c:pt>
                <c:pt idx="191">
                  <c:v>-43.003617799685514</c:v>
                </c:pt>
                <c:pt idx="192">
                  <c:v>-42.470688032850425</c:v>
                </c:pt>
                <c:pt idx="193">
                  <c:v>-41.876573322096355</c:v>
                </c:pt>
                <c:pt idx="194">
                  <c:v>-41.228680293532761</c:v>
                </c:pt>
                <c:pt idx="195">
                  <c:v>-40.542322961886377</c:v>
                </c:pt>
                <c:pt idx="196">
                  <c:v>-39.84619654605568</c:v>
                </c:pt>
                <c:pt idx="197">
                  <c:v>-39.189481308020873</c:v>
                </c:pt>
                <c:pt idx="198">
                  <c:v>-38.647165339388586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219-4089-85F9-E86A5E4FA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832792"/>
        <c:axId val="240892400"/>
      </c:scatterChart>
      <c:valAx>
        <c:axId val="24083279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892400"/>
        <c:crosses val="autoZero"/>
        <c:crossBetween val="midCat"/>
      </c:valAx>
      <c:valAx>
        <c:axId val="24089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832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F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38100</xdr:rowOff>
    </xdr:from>
    <xdr:to>
      <xdr:col>0</xdr:col>
      <xdr:colOff>7400925</xdr:colOff>
      <xdr:row>3</xdr:row>
      <xdr:rowOff>2781300</xdr:rowOff>
    </xdr:to>
    <xdr:pic>
      <xdr:nvPicPr>
        <xdr:cNvPr id="2" name="Picture 1" descr="ONHoriz-2DGreen-Lg.tif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09600"/>
          <a:ext cx="731520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95250</xdr:rowOff>
        </xdr:from>
        <xdr:to>
          <xdr:col>7</xdr:col>
          <xdr:colOff>47625</xdr:colOff>
          <xdr:row>2</xdr:row>
          <xdr:rowOff>123825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Upper Feedback Resistor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9525</xdr:rowOff>
        </xdr:from>
        <xdr:to>
          <xdr:col>7</xdr:col>
          <xdr:colOff>47625</xdr:colOff>
          <xdr:row>4</xdr:row>
          <xdr:rowOff>38100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Lower Feedback Resistor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145676</xdr:rowOff>
    </xdr:from>
    <xdr:to>
      <xdr:col>4</xdr:col>
      <xdr:colOff>717178</xdr:colOff>
      <xdr:row>40</xdr:row>
      <xdr:rowOff>33617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10</xdr:row>
      <xdr:rowOff>156882</xdr:rowOff>
    </xdr:from>
    <xdr:to>
      <xdr:col>4</xdr:col>
      <xdr:colOff>750794</xdr:colOff>
      <xdr:row>25</xdr:row>
      <xdr:rowOff>44823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829238</xdr:colOff>
      <xdr:row>25</xdr:row>
      <xdr:rowOff>145676</xdr:rowOff>
    </xdr:from>
    <xdr:to>
      <xdr:col>9</xdr:col>
      <xdr:colOff>11211</xdr:colOff>
      <xdr:row>40</xdr:row>
      <xdr:rowOff>33617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862855</xdr:colOff>
      <xdr:row>10</xdr:row>
      <xdr:rowOff>156882</xdr:rowOff>
    </xdr:from>
    <xdr:to>
      <xdr:col>9</xdr:col>
      <xdr:colOff>44827</xdr:colOff>
      <xdr:row>25</xdr:row>
      <xdr:rowOff>44823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145679</xdr:colOff>
      <xdr:row>25</xdr:row>
      <xdr:rowOff>145677</xdr:rowOff>
    </xdr:from>
    <xdr:to>
      <xdr:col>15</xdr:col>
      <xdr:colOff>481853</xdr:colOff>
      <xdr:row>40</xdr:row>
      <xdr:rowOff>33618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179296</xdr:colOff>
      <xdr:row>10</xdr:row>
      <xdr:rowOff>156883</xdr:rowOff>
    </xdr:from>
    <xdr:to>
      <xdr:col>15</xdr:col>
      <xdr:colOff>481853</xdr:colOff>
      <xdr:row>25</xdr:row>
      <xdr:rowOff>44824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10" sqref="A10"/>
    </sheetView>
  </sheetViews>
  <sheetFormatPr defaultRowHeight="15" x14ac:dyDescent="0.25"/>
  <cols>
    <col min="1" max="1" width="111.42578125" customWidth="1"/>
  </cols>
  <sheetData>
    <row r="1" spans="1:1" x14ac:dyDescent="0.25">
      <c r="A1" s="7" t="s">
        <v>135</v>
      </c>
    </row>
    <row r="2" spans="1:1" x14ac:dyDescent="0.25">
      <c r="A2" t="s">
        <v>116</v>
      </c>
    </row>
    <row r="3" spans="1:1" x14ac:dyDescent="0.25">
      <c r="A3" t="s">
        <v>114</v>
      </c>
    </row>
    <row r="4" spans="1:1" ht="276.75" customHeight="1" x14ac:dyDescent="0.25"/>
    <row r="5" spans="1:1" x14ac:dyDescent="0.25">
      <c r="A5" t="s">
        <v>115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136</v>
      </c>
    </row>
    <row r="26" spans="1:1" x14ac:dyDescent="0.25">
      <c r="A26" t="s">
        <v>117</v>
      </c>
    </row>
    <row r="27" spans="1:1" x14ac:dyDescent="0.25">
      <c r="A27" t="s">
        <v>118</v>
      </c>
    </row>
  </sheetData>
  <sheetProtection algorithmName="SHA-512" hashValue="dqbCZlSNMmJTO7e0sFF+4rLoq+PSmspjSuJGxEISr7/ddi3bWYeTUWS4BkfnFlTYKDtuk0zXYhUS+1ol0Xk4QQ==" saltValue="CSAx3VCbeO1DmI9Znu7eTA==" spinCount="100000" sheet="1" objects="1" scenarios="1" selectLockedCells="1"/>
  <customSheetViews>
    <customSheetView guid="{25ED444C-8CCE-464F-9E26-1EDA12EA830D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T202"/>
  <sheetViews>
    <sheetView zoomScale="85" zoomScaleNormal="85" workbookViewId="0">
      <selection activeCell="B8" sqref="B8"/>
    </sheetView>
  </sheetViews>
  <sheetFormatPr defaultRowHeight="15" x14ac:dyDescent="0.25"/>
  <cols>
    <col min="1" max="1" width="27.42578125" customWidth="1"/>
    <col min="2" max="2" width="12.28515625" bestFit="1" customWidth="1"/>
    <col min="5" max="5" width="44.5703125" customWidth="1"/>
    <col min="9" max="9" width="9.140625" style="5" customWidth="1"/>
    <col min="10" max="10" width="9.140625" style="5"/>
    <col min="11" max="11" width="12.28515625" style="5" bestFit="1" customWidth="1"/>
    <col min="12" max="12" width="12.28515625" style="5" customWidth="1"/>
    <col min="13" max="16" width="9.140625" style="5"/>
    <col min="17" max="17" width="15.7109375" style="5" customWidth="1"/>
    <col min="18" max="18" width="15.7109375" style="10" customWidth="1"/>
    <col min="19" max="46" width="0.140625" style="10" customWidth="1"/>
    <col min="47" max="48" width="15.7109375" customWidth="1"/>
  </cols>
  <sheetData>
    <row r="1" spans="1:46" x14ac:dyDescent="0.25">
      <c r="A1" t="s">
        <v>104</v>
      </c>
      <c r="B1" s="2">
        <v>2000</v>
      </c>
      <c r="C1" t="s">
        <v>94</v>
      </c>
      <c r="E1" t="s">
        <v>91</v>
      </c>
      <c r="S1" s="10" t="s">
        <v>7</v>
      </c>
      <c r="T1" s="10">
        <f>'2. Design Parameters'!C3/'2. Design Parameters'!C4</f>
        <v>0.6</v>
      </c>
      <c r="V1" s="10" t="s">
        <v>10</v>
      </c>
      <c r="W1" s="10">
        <f>PI()/T2</f>
        <v>6283185.307179587</v>
      </c>
      <c r="Z1" s="10" t="s">
        <v>27</v>
      </c>
      <c r="AA1" s="10" t="s">
        <v>20</v>
      </c>
      <c r="AB1" s="10" t="s">
        <v>21</v>
      </c>
      <c r="AC1" s="10" t="s">
        <v>22</v>
      </c>
      <c r="AD1" s="10" t="s">
        <v>23</v>
      </c>
      <c r="AE1" s="10" t="s">
        <v>24</v>
      </c>
      <c r="AF1" s="10" t="s">
        <v>19</v>
      </c>
      <c r="AG1" s="10" t="s">
        <v>25</v>
      </c>
      <c r="AH1" s="10" t="s">
        <v>26</v>
      </c>
      <c r="AI1" s="11" t="s">
        <v>28</v>
      </c>
      <c r="AJ1" s="11" t="s">
        <v>29</v>
      </c>
      <c r="AK1" s="11" t="s">
        <v>98</v>
      </c>
      <c r="AL1" s="11" t="s">
        <v>99</v>
      </c>
      <c r="AM1" s="11" t="s">
        <v>100</v>
      </c>
      <c r="AN1" s="11" t="s">
        <v>101</v>
      </c>
      <c r="AO1" s="11" t="s">
        <v>103</v>
      </c>
      <c r="AP1" s="10" t="s">
        <v>26</v>
      </c>
      <c r="AQ1" s="11" t="s">
        <v>28</v>
      </c>
      <c r="AR1" s="11" t="s">
        <v>29</v>
      </c>
      <c r="AS1" s="11" t="s">
        <v>29</v>
      </c>
      <c r="AT1" s="11" t="s">
        <v>28</v>
      </c>
    </row>
    <row r="2" spans="1:46" x14ac:dyDescent="0.25">
      <c r="A2" t="s">
        <v>110</v>
      </c>
      <c r="B2" s="3">
        <f>INDEX(AG2:AG202,MATCH(B1,Z2:Z202,1))</f>
        <v>0.26084656814002799</v>
      </c>
      <c r="E2" t="s">
        <v>92</v>
      </c>
      <c r="F2" s="2">
        <v>1</v>
      </c>
      <c r="G2" t="s">
        <v>94</v>
      </c>
      <c r="S2" s="10" t="s">
        <v>9</v>
      </c>
      <c r="T2" s="10">
        <f>1/('2. Design Parameters'!C6*1000)</f>
        <v>4.9999999999999998E-7</v>
      </c>
      <c r="U2" s="10" t="s">
        <v>20</v>
      </c>
      <c r="V2" s="10" t="s">
        <v>11</v>
      </c>
      <c r="W2" s="10">
        <f>1/(PI()*(T5*T1-0.5))</f>
        <v>1.4697686037510118</v>
      </c>
      <c r="Y2" s="10">
        <v>0</v>
      </c>
      <c r="Z2" s="10">
        <f>10^(LOG($F$3/$F$2,10)*Y2/200)</f>
        <v>1</v>
      </c>
      <c r="AA2" s="10" t="str">
        <f>IMPRODUCT(COMPLEX(0,1),2*PI()*Z2)</f>
        <v>6.28318530717959i</v>
      </c>
      <c r="AB2" s="10">
        <f>$T$6/'5. Current Sense Resistor'!$B$11</f>
        <v>228.57142857142858</v>
      </c>
      <c r="AC2" s="10">
        <f>1/(2*$T$3+$T$6*$T$2/('4. Boost Inductor'!$B$11*$T$3^2)*($T$5))</f>
        <v>0.20979859335038364</v>
      </c>
      <c r="AD2" s="10" t="str">
        <f t="shared" ref="AD2:AD65" si="0">IMDIV(IMSUM(1,IMDIV(AA2,$W$3)),IMSUM(1,IMDIV(AA2,$W$5)))</f>
        <v>0.990777746294968-0.095510214282322i</v>
      </c>
      <c r="AE2" s="10" t="str">
        <f t="shared" ref="AE2:AE65" si="1">IMDIV(IMSUM(1,IMDIV(IMPRODUCT(-1,AA2),$W$4)),IMSUM(1,IMDIV(AA2,$W$1*$W$2),IMDIV(IMPOWER(AA2,2),$W$1^2)))</f>
        <v>0.999999999998756-0.0000032983730869714i</v>
      </c>
      <c r="AF2" s="10" t="str">
        <f>IMPRODUCT(AB$2,AC2,AD2,AE2)</f>
        <v>47.511705463495-4.58025010726615i</v>
      </c>
      <c r="AG2" s="10">
        <f>IMABS(AF2)</f>
        <v>47.731968816454781</v>
      </c>
      <c r="AH2" s="10">
        <f t="shared" ref="AH2:AH56" si="2">IMARGUMENT(AF2)</f>
        <v>-9.6105578150607884E-2</v>
      </c>
      <c r="AI2" s="10">
        <f t="shared" ref="AI2:AI56" si="3">AH2/(PI())*180</f>
        <v>-5.506444015694532</v>
      </c>
      <c r="AJ2" s="10">
        <f t="shared" ref="AJ2:AJ56" si="4">20*LOG(AG2,10)</f>
        <v>33.576186964503911</v>
      </c>
      <c r="AK2" s="10">
        <f>-Rlower/(Rlower+Rupper)*gm*R0</f>
        <v>-215.99999999999997</v>
      </c>
      <c r="AL2" s="10" t="str">
        <f t="shared" ref="AL2:AL65" si="5">IMDIV(IMSUM(1,IMDIV(AA2,wz1e)),IMSUM(1,IMDIV(AA2,wp1e)))</f>
        <v>0.983642738781979-0.125730103679586i</v>
      </c>
      <c r="AM2" s="10" t="str">
        <f t="shared" ref="AM2:AM65" si="6">IMDIV(IMSUM(1,IMDIV(AA2,wz2e)),IMSUM(1,IMDIV(AA2,wp2e)))</f>
        <v>0.999999897352454-0.000318826176679428i</v>
      </c>
      <c r="AN2" s="10" t="str">
        <f>IMPRODUCT($AK$2,AL2,AM2)</f>
        <v>-212.458151181287+27.2254395947019i</v>
      </c>
      <c r="AO2" s="10">
        <f>IMABS(AN2)</f>
        <v>214.19544944861778</v>
      </c>
      <c r="AP2" s="10">
        <f>IMARGUMENT(AN2)</f>
        <v>3.014142298889507</v>
      </c>
      <c r="AQ2" s="10">
        <f>AP2/(PI())*180</f>
        <v>172.69763257822828</v>
      </c>
      <c r="AR2" s="10">
        <f>20*LOG(AO2,10)</f>
        <v>46.616204801406212</v>
      </c>
      <c r="AS2" s="10">
        <f>AR2+AJ2</f>
        <v>80.192391765910116</v>
      </c>
      <c r="AT2" s="10">
        <f>AQ2+AI2</f>
        <v>167.19118856253374</v>
      </c>
    </row>
    <row r="3" spans="1:46" x14ac:dyDescent="0.25">
      <c r="A3" t="s">
        <v>106</v>
      </c>
      <c r="B3" s="2">
        <v>500</v>
      </c>
      <c r="C3" t="s">
        <v>94</v>
      </c>
      <c r="E3" t="s">
        <v>93</v>
      </c>
      <c r="F3" s="2">
        <v>1000000</v>
      </c>
      <c r="G3" t="s">
        <v>94</v>
      </c>
      <c r="S3" s="10" t="s">
        <v>15</v>
      </c>
      <c r="T3" s="10">
        <f>'2. Design Parameters'!C4/'2. Design Parameters'!C3</f>
        <v>1.6666666666666667</v>
      </c>
      <c r="V3" s="10" t="s">
        <v>12</v>
      </c>
      <c r="W3" s="10">
        <f>1/('6. Output Capacitors'!C15*'6. Output Capacitors'!C14)</f>
        <v>40000</v>
      </c>
      <c r="Y3" s="10">
        <v>1</v>
      </c>
      <c r="Z3" s="10">
        <f t="shared" ref="Z3:Z66" si="7">10^(LOG($F$3/$F$2,10)*Y3/200)</f>
        <v>1.0715193052376064</v>
      </c>
      <c r="AA3" s="10" t="str">
        <f t="shared" ref="AA3:AA66" si="8">IMPRODUCT(COMPLEX(0,1),2*PI()*Z3)</f>
        <v>6.73255435502821i</v>
      </c>
      <c r="AC3" s="10">
        <f>1/(2*$T$3+$T$6*$T$2/('4. Boost Inductor'!$B$11*$T$3^2)*($T$5))</f>
        <v>0.20979859335038364</v>
      </c>
      <c r="AD3" s="10" t="str">
        <f t="shared" si="0"/>
        <v>0.989425907043557-0.102201172404636i</v>
      </c>
      <c r="AE3" s="10" t="str">
        <f t="shared" si="1"/>
        <v>0.999999999998571-3.53427043856639E-06i</v>
      </c>
      <c r="AF3" s="10" t="str">
        <f t="shared" ref="AF3:AF66" si="9">IMPRODUCT(AB$2,AC3,AD3,AE3)</f>
        <v>47.4468771979968-4.9011190522646i</v>
      </c>
      <c r="AG3" s="10">
        <f t="shared" ref="AG3:AG56" si="10">IMABS(AF3)</f>
        <v>47.699340915847664</v>
      </c>
      <c r="AH3" s="10">
        <f t="shared" si="2"/>
        <v>-0.10293191078333747</v>
      </c>
      <c r="AI3" s="10">
        <f t="shared" si="3"/>
        <v>-5.8975640651023644</v>
      </c>
      <c r="AJ3" s="10">
        <f t="shared" si="4"/>
        <v>33.570247564622818</v>
      </c>
      <c r="AL3" s="10" t="str">
        <f t="shared" si="5"/>
        <v>0.981265547547767-0.134390846366442i</v>
      </c>
      <c r="AM3" s="10" t="str">
        <f t="shared" si="6"/>
        <v>0.999999882144851-0.000341628398080775i</v>
      </c>
      <c r="AN3" s="10" t="str">
        <f t="shared" ref="AN3:AN66" si="11">IMPRODUCT($AK$2,AL3,AM3)</f>
        <v>-211.943416356938+29.1008286802561i</v>
      </c>
      <c r="AO3" s="10">
        <f t="shared" ref="AO3:AO66" si="12">IMABS(AN3)</f>
        <v>213.93192834854736</v>
      </c>
      <c r="AP3" s="10">
        <f t="shared" ref="AP3:AP66" si="13">IMARGUMENT(AN3)</f>
        <v>3.0051411654159015</v>
      </c>
      <c r="AQ3" s="10">
        <f t="shared" ref="AQ3:AQ66" si="14">AP3/(PI())*180</f>
        <v>172.18190561935674</v>
      </c>
      <c r="AR3" s="10">
        <f t="shared" ref="AR3:AR66" si="15">20*LOG(AO3,10)</f>
        <v>46.605512116937611</v>
      </c>
      <c r="AS3" s="10">
        <f t="shared" ref="AS3:AS66" si="16">AR3+AJ3</f>
        <v>80.175759681560436</v>
      </c>
      <c r="AT3" s="10">
        <f t="shared" ref="AT3:AT66" si="17">AQ3+AI3</f>
        <v>166.28434155425438</v>
      </c>
    </row>
    <row r="4" spans="1:46" x14ac:dyDescent="0.25">
      <c r="A4" t="s">
        <v>105</v>
      </c>
      <c r="B4" s="2">
        <v>50000</v>
      </c>
      <c r="C4" t="s">
        <v>94</v>
      </c>
      <c r="E4" t="str">
        <f>IF(OR(B1&lt;F2,(B1&gt;F3)),"Crossover frequency needs to be on the graph","")</f>
        <v/>
      </c>
      <c r="S4" s="10" t="s">
        <v>17</v>
      </c>
      <c r="T4" s="10">
        <f>'2. Design Parameters'!C3/'4. Boost Inductor'!B11</f>
        <v>2000000</v>
      </c>
      <c r="U4" s="10" t="s">
        <v>48</v>
      </c>
      <c r="V4" s="10" t="s">
        <v>13</v>
      </c>
      <c r="W4" s="10">
        <f>T6*T1^2/'4. Boost Inductor'!B11</f>
        <v>2399999.9999999995</v>
      </c>
      <c r="Y4" s="10">
        <v>2</v>
      </c>
      <c r="Z4" s="10">
        <f t="shared" si="7"/>
        <v>1.1481536214968828</v>
      </c>
      <c r="AA4" s="10" t="str">
        <f t="shared" si="8"/>
        <v>7.21406196497425i</v>
      </c>
      <c r="AC4" s="10">
        <f>1/(2*$T$3+$T$6*$T$2/('4. Boost Inductor'!$B$11*$T$3^2)*($T$5))</f>
        <v>0.20979859335038364</v>
      </c>
      <c r="AD4" s="10" t="str">
        <f t="shared" si="0"/>
        <v>0.987878337497917-0.109338960802216i</v>
      </c>
      <c r="AE4" s="10" t="str">
        <f t="shared" si="1"/>
        <v>0.99999999999836-3.78703900485495E-06i</v>
      </c>
      <c r="AF4" s="10" t="str">
        <f t="shared" si="9"/>
        <v>47.372662568353-5.24341601354697i</v>
      </c>
      <c r="AG4" s="10">
        <f t="shared" si="10"/>
        <v>47.661961460961237</v>
      </c>
      <c r="AH4" s="10">
        <f t="shared" si="2"/>
        <v>-0.11023572084869869</v>
      </c>
      <c r="AI4" s="10">
        <f t="shared" si="3"/>
        <v>-6.316041556212733</v>
      </c>
      <c r="AJ4" s="10">
        <f t="shared" si="4"/>
        <v>33.563438223130817</v>
      </c>
      <c r="AL4" s="10" t="str">
        <f t="shared" si="5"/>
        <v>0.978550548211445-0.143596839468739i</v>
      </c>
      <c r="AM4" s="10" t="str">
        <f t="shared" si="6"/>
        <v>0.999999864684186-0.000366061417306556i</v>
      </c>
      <c r="AN4" s="10" t="str">
        <f t="shared" si="11"/>
        <v>-211.355535715669+31.0942864018944i</v>
      </c>
      <c r="AO4" s="10">
        <f t="shared" si="12"/>
        <v>213.63056224356208</v>
      </c>
      <c r="AP4" s="10">
        <f t="shared" si="13"/>
        <v>2.9955220895912706</v>
      </c>
      <c r="AQ4" s="10">
        <f t="shared" si="14"/>
        <v>171.63077317178909</v>
      </c>
      <c r="AR4" s="10">
        <f t="shared" si="15"/>
        <v>46.593267669776601</v>
      </c>
      <c r="AS4" s="10">
        <f t="shared" si="16"/>
        <v>80.156705892907411</v>
      </c>
      <c r="AT4" s="10">
        <f t="shared" si="17"/>
        <v>165.31473161557636</v>
      </c>
    </row>
    <row r="5" spans="1:46" x14ac:dyDescent="0.25">
      <c r="A5" t="s">
        <v>111</v>
      </c>
      <c r="B5" s="3">
        <f>1/B2*B4/(B4-B3)*((Rlower+Rupper)/(1.2*10^-3*Rlower))*SQRT(1+(B1/B4)^2)/SQRT(1+(B3/B1)^2)</f>
        <v>52219.158657588283</v>
      </c>
      <c r="C5" s="1" t="s">
        <v>43</v>
      </c>
      <c r="S5" s="10" t="s">
        <v>16</v>
      </c>
      <c r="T5" s="10">
        <f>1+(T7/T4)</f>
        <v>1.1942857142857144</v>
      </c>
      <c r="V5" s="10" t="s">
        <v>14</v>
      </c>
      <c r="W5" s="10">
        <f>(2/T6+T2/('4. Boost Inductor'!B11*T3^3*(T5)))/'6. Output Capacitors'!C14</f>
        <v>65.071770334928217</v>
      </c>
      <c r="Y5" s="10">
        <v>3</v>
      </c>
      <c r="Z5" s="10">
        <f t="shared" si="7"/>
        <v>1.2302687708123814</v>
      </c>
      <c r="AA5" s="10" t="str">
        <f t="shared" si="8"/>
        <v>7.73000666465024i</v>
      </c>
      <c r="AC5" s="10">
        <f>1/(2*$T$3+$T$6*$T$2/('4. Boost Inductor'!$B$11*$T$3^2)*($T$5))</f>
        <v>0.20979859335038364</v>
      </c>
      <c r="AD5" s="10" t="str">
        <f t="shared" si="0"/>
        <v>0.986107459125325-0.116948441105437i</v>
      </c>
      <c r="AE5" s="10" t="str">
        <f t="shared" si="1"/>
        <v>0.999999999998117-4.05788540339048E-06i</v>
      </c>
      <c r="AF5" s="10" t="str">
        <f t="shared" si="9"/>
        <v>47.2877390294164-5.60833324566567i</v>
      </c>
      <c r="AG5" s="10">
        <f t="shared" si="10"/>
        <v>47.619152284649395</v>
      </c>
      <c r="AH5" s="10">
        <f t="shared" si="2"/>
        <v>-0.11804872635533518</v>
      </c>
      <c r="AI5" s="10">
        <f t="shared" si="3"/>
        <v>-6.7636937970554749</v>
      </c>
      <c r="AJ5" s="10">
        <f t="shared" si="4"/>
        <v>33.555633196691815</v>
      </c>
      <c r="AL5" s="10" t="str">
        <f t="shared" si="5"/>
        <v>0.975452109577361-0.153370862702763i</v>
      </c>
      <c r="AM5" s="10" t="str">
        <f t="shared" si="6"/>
        <v>0.999999844636661-0.000392241867605977i</v>
      </c>
      <c r="AN5" s="10" t="str">
        <f t="shared" si="11"/>
        <v>-210.684628703716+33.2107456388633i</v>
      </c>
      <c r="AO5" s="10">
        <f t="shared" si="12"/>
        <v>213.28611393598024</v>
      </c>
      <c r="AP5" s="10">
        <f t="shared" si="13"/>
        <v>2.9852466408569436</v>
      </c>
      <c r="AQ5" s="10">
        <f t="shared" si="14"/>
        <v>171.04203332670909</v>
      </c>
      <c r="AR5" s="10">
        <f t="shared" si="15"/>
        <v>46.579251629636637</v>
      </c>
      <c r="AS5" s="10">
        <f t="shared" si="16"/>
        <v>80.134884826328459</v>
      </c>
      <c r="AT5" s="10">
        <f t="shared" si="17"/>
        <v>164.27833952965361</v>
      </c>
    </row>
    <row r="6" spans="1:46" x14ac:dyDescent="0.25">
      <c r="A6" t="s">
        <v>112</v>
      </c>
      <c r="B6" s="3">
        <f>1/(B5*B3*2*PI())*10^9</f>
        <v>6.095653288307723</v>
      </c>
      <c r="C6" t="s">
        <v>102</v>
      </c>
      <c r="S6" s="10" t="s">
        <v>18</v>
      </c>
      <c r="T6" s="10">
        <f>'2. Design Parameters'!C4/'2. Design Parameters'!D5</f>
        <v>40</v>
      </c>
      <c r="U6" s="11" t="s">
        <v>43</v>
      </c>
      <c r="Y6" s="10">
        <v>4</v>
      </c>
      <c r="Z6" s="10">
        <f t="shared" si="7"/>
        <v>1.318256738556407</v>
      </c>
      <c r="AA6" s="10" t="str">
        <f t="shared" si="8"/>
        <v>8.2828513707881i</v>
      </c>
      <c r="AC6" s="10">
        <f>1/(2*$T$3+$T$6*$T$2/('4. Boost Inductor'!$B$11*$T$3^2)*($T$5))</f>
        <v>0.20979859335038364</v>
      </c>
      <c r="AD6" s="10" t="str">
        <f t="shared" si="0"/>
        <v>0.98408204508436-0.125054701588072i</v>
      </c>
      <c r="AE6" s="10" t="str">
        <f t="shared" si="1"/>
        <v>0.999999999997838-4.34810254817552E-06i</v>
      </c>
      <c r="AF6" s="10" t="str">
        <f t="shared" si="9"/>
        <v>47.1906090791991-5.99707387200045i</v>
      </c>
      <c r="AG6" s="10">
        <f t="shared" si="10"/>
        <v>47.570142739874342</v>
      </c>
      <c r="AH6" s="10">
        <f t="shared" si="2"/>
        <v>-0.12640437086956574</v>
      </c>
      <c r="AI6" s="10">
        <f t="shared" si="3"/>
        <v>-7.2424369628325254</v>
      </c>
      <c r="AJ6" s="10">
        <f t="shared" si="4"/>
        <v>33.546689091482655</v>
      </c>
      <c r="AL6" s="10" t="str">
        <f t="shared" si="5"/>
        <v>0.971919165972922-0.163733930386067i</v>
      </c>
      <c r="AM6" s="10" t="str">
        <f t="shared" si="6"/>
        <v>0.999999821619024-0.00042029472369314i</v>
      </c>
      <c r="AN6" s="10" t="str">
        <f t="shared" si="11"/>
        <v>-209.919638036304+35.4547570340945i</v>
      </c>
      <c r="AO6" s="10">
        <f t="shared" si="12"/>
        <v>212.89268242389065</v>
      </c>
      <c r="AP6" s="10">
        <f t="shared" si="13"/>
        <v>2.9742748956903458</v>
      </c>
      <c r="AQ6" s="10">
        <f t="shared" si="14"/>
        <v>170.41339863476998</v>
      </c>
      <c r="AR6" s="10">
        <f t="shared" si="15"/>
        <v>46.563214681322421</v>
      </c>
      <c r="AS6" s="10">
        <f t="shared" si="16"/>
        <v>80.109903772805069</v>
      </c>
      <c r="AT6" s="10">
        <f t="shared" si="17"/>
        <v>163.17096167193745</v>
      </c>
    </row>
    <row r="7" spans="1:46" x14ac:dyDescent="0.25">
      <c r="A7" t="s">
        <v>113</v>
      </c>
      <c r="B7" s="19">
        <f>1/B2*Rlower*0.0012/(2*PI()*B4*(Rlower+Rupper))*SQRT(1+(B3/B1)^2)/SQRT(1+(B1/B4)^2)*10^9</f>
        <v>0.90492962879344629</v>
      </c>
      <c r="C7" t="s">
        <v>102</v>
      </c>
      <c r="S7" s="10" t="s">
        <v>30</v>
      </c>
      <c r="T7" s="10">
        <f>'2. Design Parameters'!C7*1000/'5. Current Sense Resistor'!B11</f>
        <v>388571.42857142858</v>
      </c>
      <c r="U7" s="10" t="s">
        <v>48</v>
      </c>
      <c r="Y7" s="10">
        <v>5</v>
      </c>
      <c r="Z7" s="10">
        <f t="shared" si="7"/>
        <v>1.4125375446227544</v>
      </c>
      <c r="AA7" s="10" t="str">
        <f t="shared" si="8"/>
        <v>8.87523514621322i</v>
      </c>
      <c r="AC7" s="10">
        <f>1/(2*$T$3+$T$6*$T$2/('4. Boost Inductor'!$B$11*$T$3^2)*($T$5))</f>
        <v>0.20979859335038364</v>
      </c>
      <c r="AD7" s="10" t="str">
        <f t="shared" si="0"/>
        <v>0.981766811858137-0.133682748873088i</v>
      </c>
      <c r="AE7" s="10" t="str">
        <f t="shared" si="1"/>
        <v>0.999999999997517-4.65907582152379E-06i</v>
      </c>
      <c r="AF7" s="10" t="str">
        <f t="shared" si="9"/>
        <v>47.0795806753982-6.41083710032472i</v>
      </c>
      <c r="AG7" s="10">
        <f t="shared" si="10"/>
        <v>47.51405843430161</v>
      </c>
      <c r="AH7" s="10">
        <f t="shared" si="2"/>
        <v>-0.13533782868658542</v>
      </c>
      <c r="AI7" s="10">
        <f t="shared" si="3"/>
        <v>-7.7542863922059064</v>
      </c>
      <c r="AJ7" s="10">
        <f t="shared" si="4"/>
        <v>33.536442549173614</v>
      </c>
      <c r="AL7" s="10" t="str">
        <f t="shared" si="5"/>
        <v>0.967894795334388-0.17470451435804i</v>
      </c>
      <c r="AM7" s="10" t="str">
        <f t="shared" si="6"/>
        <v>0.999999795191242-0.000450353898308066i</v>
      </c>
      <c r="AN7" s="10" t="str">
        <f t="shared" si="11"/>
        <v>-209.048238340264+37.8303207345914i</v>
      </c>
      <c r="AO7" s="10">
        <f t="shared" si="12"/>
        <v>212.44363751369414</v>
      </c>
      <c r="AP7" s="10">
        <f t="shared" si="13"/>
        <v>2.9625655917282416</v>
      </c>
      <c r="AQ7" s="10">
        <f t="shared" si="14"/>
        <v>169.74250493670559</v>
      </c>
      <c r="AR7" s="10">
        <f t="shared" si="15"/>
        <v>46.544874578214504</v>
      </c>
      <c r="AS7" s="10">
        <f t="shared" si="16"/>
        <v>80.081317127388118</v>
      </c>
      <c r="AT7" s="10">
        <f t="shared" si="17"/>
        <v>161.98821854449969</v>
      </c>
    </row>
    <row r="8" spans="1:46" x14ac:dyDescent="0.25">
      <c r="A8" t="s">
        <v>107</v>
      </c>
      <c r="B8" s="2">
        <v>52000</v>
      </c>
      <c r="C8" s="1" t="s">
        <v>43</v>
      </c>
      <c r="Y8" s="10">
        <v>6</v>
      </c>
      <c r="Z8" s="10">
        <f t="shared" si="7"/>
        <v>1.513561248436208</v>
      </c>
      <c r="AA8" s="10" t="str">
        <f t="shared" si="8"/>
        <v>9.50998579769077i</v>
      </c>
      <c r="AC8" s="10">
        <f>1/(2*$T$3+$T$6*$T$2/('4. Boost Inductor'!$B$11*$T$3^2)*($T$5))</f>
        <v>0.20979859335038364</v>
      </c>
      <c r="AD8" s="10" t="str">
        <f t="shared" si="0"/>
        <v>0.979121988940646-0.142857115626216i</v>
      </c>
      <c r="AE8" s="10" t="str">
        <f t="shared" si="1"/>
        <v>0.99999999999715-0.0000049922896873296i</v>
      </c>
      <c r="AF8" s="10" t="str">
        <f t="shared" si="9"/>
        <v>46.9527465994446-6.85079940951488i</v>
      </c>
      <c r="AG8" s="10">
        <f t="shared" si="10"/>
        <v>47.449909017626851</v>
      </c>
      <c r="AH8" s="10">
        <f t="shared" si="2"/>
        <v>-0.14488598582804385</v>
      </c>
      <c r="AI8" s="10">
        <f t="shared" si="3"/>
        <v>-8.30135549853917</v>
      </c>
      <c r="AJ8" s="10">
        <f t="shared" si="4"/>
        <v>33.524707680606383</v>
      </c>
      <c r="AL8" s="10" t="str">
        <f t="shared" si="5"/>
        <v>0.963315838302137-0.186297610061152i</v>
      </c>
      <c r="AM8" s="10" t="str">
        <f t="shared" si="6"/>
        <v>0.99999976484809-0.00048256288143995i</v>
      </c>
      <c r="AN8" s="10" t="str">
        <f t="shared" si="11"/>
        <v>-208.056753676453+40.3406841714295i</v>
      </c>
      <c r="AO8" s="10">
        <f t="shared" si="12"/>
        <v>211.93155392674134</v>
      </c>
      <c r="AP8" s="10">
        <f t="shared" si="13"/>
        <v>2.950076342170715</v>
      </c>
      <c r="AQ8" s="10">
        <f t="shared" si="14"/>
        <v>169.02692364777369</v>
      </c>
      <c r="AR8" s="10">
        <f t="shared" si="15"/>
        <v>46.523912449559162</v>
      </c>
      <c r="AS8" s="10">
        <f t="shared" si="16"/>
        <v>80.048620130165546</v>
      </c>
      <c r="AT8" s="10">
        <f t="shared" si="17"/>
        <v>160.7255681492345</v>
      </c>
    </row>
    <row r="9" spans="1:46" x14ac:dyDescent="0.25">
      <c r="A9" t="s">
        <v>108</v>
      </c>
      <c r="B9" s="2">
        <v>6.8</v>
      </c>
      <c r="C9" t="s">
        <v>102</v>
      </c>
      <c r="Y9" s="10">
        <v>7</v>
      </c>
      <c r="Z9" s="10">
        <f t="shared" si="7"/>
        <v>1.6218100973589298</v>
      </c>
      <c r="AA9" s="10" t="str">
        <f t="shared" si="8"/>
        <v>10.1901333747611i</v>
      </c>
      <c r="AC9" s="10">
        <f>1/(2*$T$3+$T$6*$T$2/('4. Boost Inductor'!$B$11*$T$3^2)*($T$5))</f>
        <v>0.20979859335038364</v>
      </c>
      <c r="AD9" s="10" t="str">
        <f t="shared" si="0"/>
        <v>0.976102873903036-0.152601368780701i</v>
      </c>
      <c r="AE9" s="10" t="str">
        <f t="shared" si="1"/>
        <v>0.999999999996727-5.34933477731362E-06i</v>
      </c>
      <c r="AF9" s="10" t="str">
        <f t="shared" si="9"/>
        <v>46.8079631194389-7.31809096617253i</v>
      </c>
      <c r="AG9" s="10">
        <f t="shared" si="10"/>
        <v>47.37657508495024</v>
      </c>
      <c r="AH9" s="10">
        <f t="shared" si="2"/>
        <v>-0.15508739052656184</v>
      </c>
      <c r="AI9" s="10">
        <f t="shared" si="3"/>
        <v>-8.8858529328691791</v>
      </c>
      <c r="AJ9" s="10">
        <f t="shared" si="4"/>
        <v>33.511273236021275</v>
      </c>
      <c r="AL9" s="10" t="str">
        <f t="shared" si="5"/>
        <v>0.958112588878941-0.198523628232528i</v>
      </c>
      <c r="AM9" s="10" t="str">
        <f t="shared" si="6"/>
        <v>0.999999730009492-0.000517075425263046i</v>
      </c>
      <c r="AN9" s="10" t="str">
        <f t="shared" si="11"/>
        <v>-206.930090557759+42.9881020791935i</v>
      </c>
      <c r="AO9" s="10">
        <f t="shared" si="12"/>
        <v>211.34814713787654</v>
      </c>
      <c r="AP9" s="10">
        <f t="shared" si="13"/>
        <v>2.9367639221344599</v>
      </c>
      <c r="AQ9" s="10">
        <f t="shared" si="14"/>
        <v>168.26417816459087</v>
      </c>
      <c r="AR9" s="10">
        <f t="shared" si="15"/>
        <v>46.49996889555311</v>
      </c>
      <c r="AS9" s="10">
        <f t="shared" si="16"/>
        <v>80.011242131574392</v>
      </c>
      <c r="AT9" s="10">
        <f t="shared" si="17"/>
        <v>159.3783252317217</v>
      </c>
    </row>
    <row r="10" spans="1:46" x14ac:dyDescent="0.25">
      <c r="A10" t="s">
        <v>109</v>
      </c>
      <c r="B10" s="2">
        <v>1</v>
      </c>
      <c r="C10" t="s">
        <v>102</v>
      </c>
      <c r="Y10" s="10">
        <v>8</v>
      </c>
      <c r="Z10" s="10">
        <f t="shared" si="7"/>
        <v>1.7378008287493754</v>
      </c>
      <c r="AA10" s="10" t="str">
        <f t="shared" si="8"/>
        <v>10.9189246340026i</v>
      </c>
      <c r="AC10" s="10">
        <f>1/(2*$T$3+$T$6*$T$2/('4. Boost Inductor'!$B$11*$T$3^2)*($T$5))</f>
        <v>0.20979859335038364</v>
      </c>
      <c r="AD10" s="10" t="str">
        <f t="shared" si="0"/>
        <v>0.972659383824388-0.162937501286031i</v>
      </c>
      <c r="AE10" s="10" t="str">
        <f t="shared" si="1"/>
        <v>0.999999999996243-5.73191548407214E-06i</v>
      </c>
      <c r="AF10" s="10" t="str">
        <f t="shared" si="9"/>
        <v>46.6428284787443-7.81376645556914i</v>
      </c>
      <c r="AG10" s="10">
        <f t="shared" si="10"/>
        <v>47.292794321331215</v>
      </c>
      <c r="AH10" s="10">
        <f t="shared" si="2"/>
        <v>-0.16598216573316268</v>
      </c>
      <c r="AI10" s="10">
        <f t="shared" si="3"/>
        <v>-9.5100775709511769</v>
      </c>
      <c r="AJ10" s="10">
        <f t="shared" si="4"/>
        <v>33.495899506141555</v>
      </c>
      <c r="AL10" s="10" t="str">
        <f t="shared" si="5"/>
        <v>0.95220859584567-0.211387097265153i</v>
      </c>
      <c r="AM10" s="10" t="str">
        <f t="shared" si="6"/>
        <v>0.999999690009433-0.000554056278053551i</v>
      </c>
      <c r="AN10" s="10" t="str">
        <f t="shared" si="11"/>
        <v>-205.651694949476+45.7735555197414i</v>
      </c>
      <c r="AO10" s="10">
        <f t="shared" si="12"/>
        <v>210.68421398033405</v>
      </c>
      <c r="AP10" s="10">
        <f t="shared" si="13"/>
        <v>2.9225846397789135</v>
      </c>
      <c r="AQ10" s="10">
        <f t="shared" si="14"/>
        <v>167.45176512909376</v>
      </c>
      <c r="AR10" s="10">
        <f t="shared" si="15"/>
        <v>46.472639925444518</v>
      </c>
      <c r="AS10" s="10">
        <f t="shared" si="16"/>
        <v>79.968539431586066</v>
      </c>
      <c r="AT10" s="10">
        <f t="shared" si="17"/>
        <v>157.94168755814258</v>
      </c>
    </row>
    <row r="11" spans="1:46" x14ac:dyDescent="0.25">
      <c r="Y11" s="10">
        <v>9</v>
      </c>
      <c r="Z11" s="10">
        <f t="shared" si="7"/>
        <v>1.8620871366628673</v>
      </c>
      <c r="AA11" s="10" t="str">
        <f t="shared" si="8"/>
        <v>11.6998385377682i</v>
      </c>
      <c r="AC11" s="10">
        <f>1/(2*$T$3+$T$6*$T$2/('4. Boost Inductor'!$B$11*$T$3^2)*($T$5))</f>
        <v>0.20979859335038364</v>
      </c>
      <c r="AD11" s="10" t="str">
        <f t="shared" si="0"/>
        <v>0.968735618732759-0.173885189177459i</v>
      </c>
      <c r="AE11" s="10" t="str">
        <f t="shared" si="1"/>
        <v>0.999999999995686-6.14185809717567E-06i</v>
      </c>
      <c r="AF11" s="10" t="str">
        <f t="shared" si="9"/>
        <v>46.4546619605382-8.338769453968i</v>
      </c>
      <c r="AG11" s="10">
        <f t="shared" si="10"/>
        <v>47.197147094652919</v>
      </c>
      <c r="AH11" s="10">
        <f t="shared" si="2"/>
        <v>-0.17761187496258318</v>
      </c>
      <c r="AI11" s="10">
        <f t="shared" si="3"/>
        <v>-10.176410826761312</v>
      </c>
      <c r="AJ11" s="10">
        <f t="shared" si="4"/>
        <v>33.478314956370077</v>
      </c>
      <c r="AL11" s="10" t="str">
        <f t="shared" si="5"/>
        <v>0.945520623905159-0.224885166304492i</v>
      </c>
      <c r="AM11" s="10" t="str">
        <f t="shared" si="6"/>
        <v>0.999999644083224-0.000593681970589367i</v>
      </c>
      <c r="AN11" s="10" t="str">
        <f t="shared" si="11"/>
        <v>-204.203543855721+48.6964277592454i</v>
      </c>
      <c r="AO11" s="10">
        <f t="shared" si="12"/>
        <v>209.9295820025057</v>
      </c>
      <c r="AP11" s="10">
        <f t="shared" si="13"/>
        <v>2.9074948059207317</v>
      </c>
      <c r="AQ11" s="10">
        <f t="shared" si="14"/>
        <v>166.58718133546631</v>
      </c>
      <c r="AR11" s="10">
        <f t="shared" si="15"/>
        <v>46.441472820740671</v>
      </c>
      <c r="AS11" s="10">
        <f t="shared" si="16"/>
        <v>79.919787777110741</v>
      </c>
      <c r="AT11" s="10">
        <f t="shared" si="17"/>
        <v>156.41077050870501</v>
      </c>
    </row>
    <row r="12" spans="1:46" x14ac:dyDescent="0.25">
      <c r="A12" t="s">
        <v>95</v>
      </c>
      <c r="B12">
        <f>B8</f>
        <v>52000</v>
      </c>
      <c r="C12" s="1" t="s">
        <v>43</v>
      </c>
      <c r="D12" s="1"/>
      <c r="Y12" s="10">
        <v>10</v>
      </c>
      <c r="Z12" s="10">
        <f t="shared" si="7"/>
        <v>1.9952623149688797</v>
      </c>
      <c r="AA12" s="10" t="str">
        <f t="shared" si="8"/>
        <v>12.5366028613816i</v>
      </c>
      <c r="AC12" s="10">
        <f>1/(2*$T$3+$T$6*$T$2/('4. Boost Inductor'!$B$11*$T$3^2)*($T$5))</f>
        <v>0.20979859335038364</v>
      </c>
      <c r="AD12" s="10" t="str">
        <f t="shared" si="0"/>
        <v>0.964269458513399-0.185460895209574i</v>
      </c>
      <c r="AE12" s="10" t="str">
        <f t="shared" si="1"/>
        <v>0.999999999995047-6.58111952115619E-06i</v>
      </c>
      <c r="AF12" s="10" t="str">
        <f t="shared" si="9"/>
        <v>46.2404845573036-8.89388944283308i</v>
      </c>
      <c r="AG12" s="10">
        <f t="shared" si="10"/>
        <v>47.088041810162061</v>
      </c>
      <c r="AH12" s="10">
        <f t="shared" si="2"/>
        <v>-0.19001933150799288</v>
      </c>
      <c r="AI12" s="10">
        <f t="shared" si="3"/>
        <v>-10.887305721305257</v>
      </c>
      <c r="AJ12" s="10">
        <f t="shared" si="4"/>
        <v>33.458212607442775</v>
      </c>
      <c r="AL12" s="10" t="str">
        <f t="shared" si="5"/>
        <v>0.937958834076422-0.239005907357875i</v>
      </c>
      <c r="AM12" s="10" t="str">
        <f t="shared" si="6"/>
        <v>0.999999591352887-0.000636141658784898i</v>
      </c>
      <c r="AN12" s="10" t="str">
        <f t="shared" si="11"/>
        <v>-202.566184380263+51.7541366255146i</v>
      </c>
      <c r="AO12" s="10">
        <f t="shared" si="12"/>
        <v>209.07307266176375</v>
      </c>
      <c r="AP12" s="10">
        <f t="shared" si="13"/>
        <v>2.8914513162844466</v>
      </c>
      <c r="AQ12" s="10">
        <f t="shared" si="14"/>
        <v>165.6679570906453</v>
      </c>
      <c r="AR12" s="10">
        <f t="shared" si="15"/>
        <v>46.405962038710257</v>
      </c>
      <c r="AS12" s="10">
        <f t="shared" si="16"/>
        <v>79.864174646153032</v>
      </c>
      <c r="AT12" s="10">
        <f t="shared" si="17"/>
        <v>154.78065136934003</v>
      </c>
    </row>
    <row r="13" spans="1:46" x14ac:dyDescent="0.25">
      <c r="A13" t="s">
        <v>96</v>
      </c>
      <c r="B13">
        <f>B9</f>
        <v>6.8</v>
      </c>
      <c r="C13" t="s">
        <v>102</v>
      </c>
      <c r="Y13" s="10">
        <v>11</v>
      </c>
      <c r="Z13" s="10">
        <f t="shared" si="7"/>
        <v>2.1379620895022318</v>
      </c>
      <c r="AA13" s="10" t="str">
        <f t="shared" si="8"/>
        <v>13.4332119880674i</v>
      </c>
      <c r="AC13" s="10">
        <f>1/(2*$T$3+$T$6*$T$2/('4. Boost Inductor'!$B$11*$T$3^2)*($T$5))</f>
        <v>0.20979859335038364</v>
      </c>
      <c r="AD13" s="10" t="str">
        <f t="shared" si="0"/>
        <v>0.959192221814267-0.197676800778512i</v>
      </c>
      <c r="AE13" s="10" t="str">
        <f t="shared" si="1"/>
        <v>0.999999999994313-7.05179661699801E-06i</v>
      </c>
      <c r="AF13" s="10" t="str">
        <f t="shared" si="9"/>
        <v>45.9970026134375-9.47971058851595i</v>
      </c>
      <c r="AG13" s="10">
        <f t="shared" si="10"/>
        <v>46.963700474543081</v>
      </c>
      <c r="AH13" s="10">
        <f t="shared" si="2"/>
        <v>-0.2032483397680479</v>
      </c>
      <c r="AI13" s="10">
        <f t="shared" si="3"/>
        <v>-11.645272061750113</v>
      </c>
      <c r="AJ13" s="10">
        <f t="shared" si="4"/>
        <v>33.435246190837915</v>
      </c>
      <c r="AL13" s="10" t="str">
        <f t="shared" si="5"/>
        <v>0.929427253507839-0.253726427004689i</v>
      </c>
      <c r="AM13" s="10" t="str">
        <f t="shared" si="6"/>
        <v>0.999999530810366-0.00068163802658086i</v>
      </c>
      <c r="AN13" s="10" t="str">
        <f t="shared" si="11"/>
        <v>-200.71883545543+54.9417256382472i</v>
      </c>
      <c r="AO13" s="10">
        <f t="shared" si="12"/>
        <v>208.10248466246725</v>
      </c>
      <c r="AP13" s="10">
        <f t="shared" si="13"/>
        <v>2.8744123602539977</v>
      </c>
      <c r="AQ13" s="10">
        <f t="shared" si="14"/>
        <v>164.69169682279161</v>
      </c>
      <c r="AR13" s="10">
        <f t="shared" si="15"/>
        <v>46.365545310984764</v>
      </c>
      <c r="AS13" s="10">
        <f t="shared" si="16"/>
        <v>79.800791501822687</v>
      </c>
      <c r="AT13" s="10">
        <f t="shared" si="17"/>
        <v>153.04642476104149</v>
      </c>
    </row>
    <row r="14" spans="1:46" x14ac:dyDescent="0.25">
      <c r="A14" t="s">
        <v>97</v>
      </c>
      <c r="B14">
        <f>B10</f>
        <v>1</v>
      </c>
      <c r="C14" t="s">
        <v>102</v>
      </c>
      <c r="S14" s="16" t="s">
        <v>119</v>
      </c>
      <c r="Y14" s="10">
        <v>12</v>
      </c>
      <c r="Z14" s="10">
        <f t="shared" si="7"/>
        <v>2.2908676527677727</v>
      </c>
      <c r="AA14" s="10" t="str">
        <f t="shared" si="8"/>
        <v>14.3939459765635i</v>
      </c>
      <c r="AC14" s="10">
        <f>1/(2*$T$3+$T$6*$T$2/('4. Boost Inductor'!$B$11*$T$3^2)*($T$5))</f>
        <v>0.20979859335038364</v>
      </c>
      <c r="AD14" s="10" t="str">
        <f t="shared" si="0"/>
        <v>0.953428423855084-0.210539549889369i</v>
      </c>
      <c r="AE14" s="10" t="str">
        <f t="shared" si="1"/>
        <v>0.999999999993471-7.55613621172643E-06i</v>
      </c>
      <c r="AF14" s="10" t="str">
        <f t="shared" si="9"/>
        <v>45.720596210838-10.0965515084575i</v>
      </c>
      <c r="AG14" s="10">
        <f t="shared" si="10"/>
        <v>46.822145083682678</v>
      </c>
      <c r="AH14" s="10">
        <f t="shared" si="2"/>
        <v>-0.21734335622425141</v>
      </c>
      <c r="AI14" s="10">
        <f t="shared" si="3"/>
        <v>-12.452857016858019</v>
      </c>
      <c r="AJ14" s="10">
        <f t="shared" si="4"/>
        <v>33.409026126838945</v>
      </c>
      <c r="AL14" s="10" t="str">
        <f t="shared" si="5"/>
        <v>0.919824614508208-0.269010815602969i</v>
      </c>
      <c r="AM14" s="10" t="str">
        <f t="shared" si="6"/>
        <v>0.99999946129826-0.000730388253396436i</v>
      </c>
      <c r="AN14" s="10" t="str">
        <f t="shared" si="11"/>
        <v>-198.639569517984+58.2514199524792i</v>
      </c>
      <c r="AO14" s="10">
        <f t="shared" si="12"/>
        <v>207.00460503276273</v>
      </c>
      <c r="AP14" s="10">
        <f t="shared" si="13"/>
        <v>2.8563382686705525</v>
      </c>
      <c r="AQ14" s="10">
        <f t="shared" si="14"/>
        <v>163.65612765652727</v>
      </c>
      <c r="AR14" s="10">
        <f t="shared" si="15"/>
        <v>46.319600137937599</v>
      </c>
      <c r="AS14" s="10">
        <f t="shared" si="16"/>
        <v>79.728626264776551</v>
      </c>
      <c r="AT14" s="10">
        <f t="shared" si="17"/>
        <v>151.20327063966926</v>
      </c>
    </row>
    <row r="15" spans="1:46" x14ac:dyDescent="0.25">
      <c r="S15" s="10" t="s">
        <v>120</v>
      </c>
      <c r="T15" s="10">
        <f>1*10^-12</f>
        <v>9.9999999999999998E-13</v>
      </c>
      <c r="U15" s="10" t="s">
        <v>121</v>
      </c>
      <c r="Y15" s="10">
        <v>13</v>
      </c>
      <c r="Z15" s="10">
        <f t="shared" si="7"/>
        <v>2.4547089156850301</v>
      </c>
      <c r="AA15" s="10" t="str">
        <f t="shared" si="8"/>
        <v>15.4233909924349i</v>
      </c>
      <c r="AC15" s="10">
        <f>1/(2*$T$3+$T$6*$T$2/('4. Boost Inductor'!$B$11*$T$3^2)*($T$5))</f>
        <v>0.20979859335038364</v>
      </c>
      <c r="AD15" s="10" t="str">
        <f t="shared" si="0"/>
        <v>0.946895679639891-0.224048793158416i</v>
      </c>
      <c r="AE15" s="10" t="str">
        <f t="shared" si="1"/>
        <v>0.999999999992504-8.09654582387448E-06i</v>
      </c>
      <c r="AF15" s="10" t="str">
        <f t="shared" si="9"/>
        <v>45.4073145274044-10.7443954479378i</v>
      </c>
      <c r="AG15" s="10">
        <f t="shared" si="10"/>
        <v>46.661185648591236</v>
      </c>
      <c r="AH15" s="10">
        <f t="shared" si="2"/>
        <v>-0.23234905661411695</v>
      </c>
      <c r="AI15" s="10">
        <f t="shared" si="3"/>
        <v>-13.312620317835128</v>
      </c>
      <c r="AJ15" s="10">
        <f t="shared" si="4"/>
        <v>33.379115398155356</v>
      </c>
      <c r="AL15" s="10" t="str">
        <f t="shared" si="5"/>
        <v>0.909045649557995-0.284807984943689i</v>
      </c>
      <c r="AM15" s="10" t="str">
        <f t="shared" si="6"/>
        <v>0.999999381487697-0.000782625050758386i</v>
      </c>
      <c r="AN15" s="10" t="str">
        <f t="shared" si="11"/>
        <v>-196.305592918695+61.6721581477598i</v>
      </c>
      <c r="AO15" s="10">
        <f t="shared" si="12"/>
        <v>205.76525678977657</v>
      </c>
      <c r="AP15" s="10">
        <f t="shared" si="13"/>
        <v>2.8371925104883968</v>
      </c>
      <c r="AQ15" s="10">
        <f t="shared" si="14"/>
        <v>162.55915651711169</v>
      </c>
      <c r="AR15" s="10">
        <f t="shared" si="15"/>
        <v>46.267440930561968</v>
      </c>
      <c r="AS15" s="10">
        <f t="shared" si="16"/>
        <v>79.646556328717324</v>
      </c>
      <c r="AT15" s="10">
        <f t="shared" si="17"/>
        <v>149.24653619927656</v>
      </c>
    </row>
    <row r="16" spans="1:46" x14ac:dyDescent="0.25">
      <c r="S16" s="10" t="s">
        <v>122</v>
      </c>
      <c r="T16" s="10">
        <f>3*10^6</f>
        <v>3000000</v>
      </c>
      <c r="U16" s="11" t="s">
        <v>43</v>
      </c>
      <c r="Y16" s="10">
        <v>14</v>
      </c>
      <c r="Z16" s="10">
        <f t="shared" si="7"/>
        <v>2.6302679918953817</v>
      </c>
      <c r="AA16" s="10" t="str">
        <f t="shared" si="8"/>
        <v>16.5264612006218i</v>
      </c>
      <c r="AC16" s="10">
        <f>1/(2*$T$3+$T$6*$T$2/('4. Boost Inductor'!$B$11*$T$3^2)*($T$5))</f>
        <v>0.20979859335038364</v>
      </c>
      <c r="AD16" s="10" t="str">
        <f t="shared" si="0"/>
        <v>0.939504809600109-0.238195527057017i</v>
      </c>
      <c r="AE16" s="10" t="str">
        <f t="shared" si="1"/>
        <v>0.999999999991392-8.67560515602817E-06i</v>
      </c>
      <c r="AF16" s="10" t="str">
        <f t="shared" si="9"/>
        <v>45.0528809032135-11.4228106375194i</v>
      </c>
      <c r="AG16" s="10">
        <f t="shared" si="10"/>
        <v>46.478410908073933</v>
      </c>
      <c r="AH16" s="10">
        <f t="shared" si="2"/>
        <v>-0.24830979524459576</v>
      </c>
      <c r="AI16" s="10">
        <f t="shared" si="3"/>
        <v>-14.227103279272978</v>
      </c>
      <c r="AJ16" s="10">
        <f t="shared" si="4"/>
        <v>33.345025423079051</v>
      </c>
      <c r="AL16" s="10" t="str">
        <f t="shared" si="5"/>
        <v>0.896982931088916-0.301049474485177i</v>
      </c>
      <c r="AM16" s="10" t="str">
        <f t="shared" si="6"/>
        <v>0.999999289852925-0.00083859777305139i</v>
      </c>
      <c r="AN16" s="10" t="str">
        <f t="shared" si="11"/>
        <v>-193.69364429093+65.1891172141979i</v>
      </c>
      <c r="AO16" s="10">
        <f t="shared" si="12"/>
        <v>204.36939311420326</v>
      </c>
      <c r="AP16" s="10">
        <f t="shared" si="13"/>
        <v>2.8169428435314066</v>
      </c>
      <c r="AQ16" s="10">
        <f t="shared" si="14"/>
        <v>161.39893606393062</v>
      </c>
      <c r="AR16" s="10">
        <f t="shared" si="15"/>
        <v>46.208317105485179</v>
      </c>
      <c r="AS16" s="10">
        <f t="shared" si="16"/>
        <v>79.553342528564229</v>
      </c>
      <c r="AT16" s="10">
        <f t="shared" si="17"/>
        <v>147.17183278465765</v>
      </c>
    </row>
    <row r="17" spans="19:46" x14ac:dyDescent="0.25">
      <c r="S17" s="10" t="s">
        <v>123</v>
      </c>
      <c r="T17" s="10">
        <v>502</v>
      </c>
      <c r="U17" s="11" t="s">
        <v>43</v>
      </c>
      <c r="Y17" s="10">
        <v>15</v>
      </c>
      <c r="Z17" s="10">
        <f t="shared" si="7"/>
        <v>2.8183829312644537</v>
      </c>
      <c r="AA17" s="10" t="str">
        <f t="shared" si="8"/>
        <v>17.7084222237266i</v>
      </c>
      <c r="AC17" s="10">
        <f>1/(2*$T$3+$T$6*$T$2/('4. Boost Inductor'!$B$11*$T$3^2)*($T$5))</f>
        <v>0.20979859335038364</v>
      </c>
      <c r="AD17" s="10" t="str">
        <f t="shared" si="0"/>
        <v>0.931160215578902-0.252960234692948i</v>
      </c>
      <c r="AE17" s="10" t="str">
        <f t="shared" si="1"/>
        <v>0.999999999990117-9.29607840931022E-06i</v>
      </c>
      <c r="AF17" s="10" t="str">
        <f t="shared" si="9"/>
        <v>44.6527108710769-12.1308611330958i</v>
      </c>
      <c r="AG17" s="10">
        <f t="shared" si="10"/>
        <v>46.27118304048907</v>
      </c>
      <c r="AH17" s="10">
        <f t="shared" si="2"/>
        <v>-0.26526894241685189</v>
      </c>
      <c r="AI17" s="10">
        <f t="shared" si="3"/>
        <v>-15.198790836384477</v>
      </c>
      <c r="AJ17" s="10">
        <f t="shared" si="4"/>
        <v>33.306212069698859</v>
      </c>
      <c r="AL17" s="10" t="str">
        <f t="shared" si="5"/>
        <v>0.883529339009563-0.317647341285172i</v>
      </c>
      <c r="AM17" s="10" t="str">
        <f t="shared" si="6"/>
        <v>0.99999918464215-0.000898573607686495i</v>
      </c>
      <c r="AN17" s="10" t="str">
        <f t="shared" si="11"/>
        <v>-190.780528845503+68.783255661867i</v>
      </c>
      <c r="AO17" s="10">
        <f t="shared" si="12"/>
        <v>202.80124863031679</v>
      </c>
      <c r="AP17" s="10">
        <f t="shared" si="13"/>
        <v>2.7955626177642516</v>
      </c>
      <c r="AQ17" s="10">
        <f t="shared" si="14"/>
        <v>160.17393936243579</v>
      </c>
      <c r="AR17" s="10">
        <f t="shared" si="15"/>
        <v>46.141412491686239</v>
      </c>
      <c r="AS17" s="10">
        <f t="shared" si="16"/>
        <v>79.447624561385098</v>
      </c>
      <c r="AT17" s="10">
        <f t="shared" si="17"/>
        <v>144.9751485260513</v>
      </c>
    </row>
    <row r="18" spans="19:46" x14ac:dyDescent="0.25">
      <c r="S18" s="10" t="s">
        <v>124</v>
      </c>
      <c r="T18" s="10">
        <v>1.1999999999999999E-3</v>
      </c>
      <c r="Y18" s="10">
        <v>16</v>
      </c>
      <c r="Z18" s="10">
        <f t="shared" si="7"/>
        <v>3.0199517204020156</v>
      </c>
      <c r="AA18" s="10" t="str">
        <f t="shared" si="8"/>
        <v>18.9749162780217i</v>
      </c>
      <c r="AC18" s="10">
        <f>1/(2*$T$3+$T$6*$T$2/('4. Boost Inductor'!$B$11*$T$3^2)*($T$5))</f>
        <v>0.20979859335038364</v>
      </c>
      <c r="AD18" s="10" t="str">
        <f t="shared" si="0"/>
        <v>0.921760605330233-0.268310850308831i</v>
      </c>
      <c r="AE18" s="10" t="str">
        <f t="shared" si="1"/>
        <v>0.999999999988653-9.96092747858712E-06i</v>
      </c>
      <c r="AF18" s="10" t="str">
        <f t="shared" si="9"/>
        <v>44.2019469003286-12.8670092021897i</v>
      </c>
      <c r="AG18" s="10">
        <f t="shared" si="10"/>
        <v>46.036637970085337</v>
      </c>
      <c r="AH18" s="10">
        <f t="shared" si="2"/>
        <v>-0.28326808688840072</v>
      </c>
      <c r="AI18" s="10">
        <f t="shared" si="3"/>
        <v>-16.230065849450455</v>
      </c>
      <c r="AJ18" s="10">
        <f t="shared" si="4"/>
        <v>33.262071996655436</v>
      </c>
      <c r="AL18" s="10" t="str">
        <f t="shared" si="5"/>
        <v>0.868581221908033-0.334492288112791i</v>
      </c>
      <c r="AM18" s="10" t="str">
        <f t="shared" si="6"/>
        <v>0.999999063844046-0.000962838850362623i</v>
      </c>
      <c r="AN18" s="10" t="str">
        <f t="shared" si="11"/>
        <v>-187.543802867848+72.4309082037343i</v>
      </c>
      <c r="AO18" s="10">
        <f t="shared" si="12"/>
        <v>201.04455838781615</v>
      </c>
      <c r="AP18" s="10">
        <f t="shared" si="13"/>
        <v>2.7730322200384934</v>
      </c>
      <c r="AQ18" s="10">
        <f t="shared" si="14"/>
        <v>158.8830426619987</v>
      </c>
      <c r="AR18" s="10">
        <f t="shared" si="15"/>
        <v>46.065846453615535</v>
      </c>
      <c r="AS18" s="10">
        <f t="shared" si="16"/>
        <v>79.327918450270971</v>
      </c>
      <c r="AT18" s="10">
        <f t="shared" si="17"/>
        <v>142.65297681254825</v>
      </c>
    </row>
    <row r="19" spans="19:46" x14ac:dyDescent="0.25">
      <c r="S19" s="10" t="s">
        <v>125</v>
      </c>
      <c r="T19" s="10">
        <f>0.5*(comp_R2+Rotaesd)/(comp_R2*Rotaesd*comp_C2)*(1-(1-4*comp_R2*Rotaesd*comp_C2/((comp_R2+Rotaesd)^2*comp_C1))^0.5)</f>
        <v>2804.9255180138084</v>
      </c>
      <c r="Y19" s="10">
        <v>17</v>
      </c>
      <c r="Z19" s="10">
        <f t="shared" si="7"/>
        <v>3.2359365692962818</v>
      </c>
      <c r="AA19" s="10" t="str">
        <f t="shared" si="8"/>
        <v>20.3319891071675i</v>
      </c>
      <c r="AC19" s="10">
        <f>1/(2*$T$3+$T$6*$T$2/('4. Boost Inductor'!$B$11*$T$3^2)*($T$5))</f>
        <v>0.20979859335038364</v>
      </c>
      <c r="AD19" s="10" t="str">
        <f t="shared" si="0"/>
        <v>0.911200151854814-0.284200591187758i</v>
      </c>
      <c r="AE19" s="10" t="str">
        <f t="shared" si="1"/>
        <v>0.999999999986972-0.0000106733260913885i</v>
      </c>
      <c r="AF19" s="10" t="str">
        <f t="shared" si="9"/>
        <v>43.6955139934794-13.6290113516821i</v>
      </c>
      <c r="AG19" s="10">
        <f t="shared" si="10"/>
        <v>45.771693147387879</v>
      </c>
      <c r="AH19" s="10">
        <f t="shared" si="2"/>
        <v>-0.30234609254254358</v>
      </c>
      <c r="AI19" s="10">
        <f t="shared" si="3"/>
        <v>-17.32315505495956</v>
      </c>
      <c r="AJ19" s="10">
        <f t="shared" si="4"/>
        <v>33.211939555501282</v>
      </c>
      <c r="AL19" s="10" t="str">
        <f t="shared" si="5"/>
        <v>0.852042286013057-0.351452224988759i</v>
      </c>
      <c r="AM19" s="10" t="str">
        <f t="shared" si="6"/>
        <v>0.999998925149302-0.00103170027150073i</v>
      </c>
      <c r="AN19" s="10" t="str">
        <f t="shared" si="11"/>
        <v>-183.962615797196+76.1034742893863i</v>
      </c>
      <c r="AO19" s="10">
        <f t="shared" si="12"/>
        <v>199.08285413330307</v>
      </c>
      <c r="AP19" s="10">
        <f t="shared" si="13"/>
        <v>2.7493406369812323</v>
      </c>
      <c r="AQ19" s="10">
        <f t="shared" si="14"/>
        <v>157.52561494283401</v>
      </c>
      <c r="AR19" s="10">
        <f t="shared" si="15"/>
        <v>45.980677166802266</v>
      </c>
      <c r="AS19" s="10">
        <f t="shared" si="16"/>
        <v>79.192616722303541</v>
      </c>
      <c r="AT19" s="10">
        <f t="shared" si="17"/>
        <v>140.20245988787445</v>
      </c>
    </row>
    <row r="20" spans="19:46" x14ac:dyDescent="0.25">
      <c r="S20" s="10" t="s">
        <v>126</v>
      </c>
      <c r="T20" s="10">
        <f>0.5*(comp_R2+Rotaesd)/(comp_R2*Rotaesd*comp_C2)*(1+(1-4*comp_R2*Rotaesd*comp_C2/((comp_R2+Rotaesd)^2*comp_C1))^0.5)</f>
        <v>2008457.7162227153</v>
      </c>
      <c r="Y20" s="10">
        <v>18</v>
      </c>
      <c r="Z20" s="10">
        <f t="shared" si="7"/>
        <v>3.4673685045253162</v>
      </c>
      <c r="AA20" s="10" t="str">
        <f t="shared" si="8"/>
        <v>21.7861188422107i</v>
      </c>
      <c r="AC20" s="10">
        <f>1/(2*$T$3+$T$6*$T$2/('4. Boost Inductor'!$B$11*$T$3^2)*($T$5))</f>
        <v>0.20979859335038364</v>
      </c>
      <c r="AD20" s="10" t="str">
        <f t="shared" si="0"/>
        <v>0.899370177827857-0.300565728327125i</v>
      </c>
      <c r="AE20" s="10" t="str">
        <f t="shared" si="1"/>
        <v>0.999999999985043-0.0000114366749580322i</v>
      </c>
      <c r="AF20" s="10" t="str">
        <f t="shared" si="9"/>
        <v>43.1282004639642-14.4138114191346i</v>
      </c>
      <c r="AG20" s="10">
        <f t="shared" si="10"/>
        <v>45.473064938337473</v>
      </c>
      <c r="AH20" s="10">
        <f t="shared" si="2"/>
        <v>-0.32253800237900593</v>
      </c>
      <c r="AI20" s="10">
        <f t="shared" si="3"/>
        <v>-18.480066268897545</v>
      </c>
      <c r="AJ20" s="10">
        <f t="shared" si="4"/>
        <v>33.155084543063211</v>
      </c>
      <c r="AL20" s="10" t="str">
        <f t="shared" si="5"/>
        <v>0.833828196226962-0.368371496638639i</v>
      </c>
      <c r="AM20" s="10" t="str">
        <f t="shared" si="6"/>
        <v>0.999998765906477-0.00110548658036356i</v>
      </c>
      <c r="AN20" s="10" t="str">
        <f t="shared" si="11"/>
        <v>-180.018706491114+79.767250829644i</v>
      </c>
      <c r="AO20" s="10">
        <f t="shared" si="12"/>
        <v>196.89984507777854</v>
      </c>
      <c r="AP20" s="10">
        <f t="shared" si="13"/>
        <v>2.7244870976250182</v>
      </c>
      <c r="AQ20" s="10">
        <f t="shared" si="14"/>
        <v>156.10161203176065</v>
      </c>
      <c r="AR20" s="10">
        <f t="shared" si="15"/>
        <v>45.884907488644295</v>
      </c>
      <c r="AS20" s="10">
        <f t="shared" si="16"/>
        <v>79.039992031707499</v>
      </c>
      <c r="AT20" s="10">
        <f t="shared" si="17"/>
        <v>137.62154576286309</v>
      </c>
    </row>
    <row r="21" spans="19:46" x14ac:dyDescent="0.25">
      <c r="S21" s="10" t="s">
        <v>127</v>
      </c>
      <c r="T21" s="10">
        <f>0.5*(R0+comp_R2+Rotaesd)/(comp_R2*(R0+Rotaesd)*comp_C2)*(1-(1-4*comp_R2*(R0++Rotaesd)*comp_C2/((R0+comp_R2+Rotaesd)^2*comp_C1))^0.5)</f>
        <v>48.295709751178336</v>
      </c>
      <c r="Y21" s="10">
        <v>19</v>
      </c>
      <c r="Z21" s="10">
        <f t="shared" si="7"/>
        <v>3.7153522909717256</v>
      </c>
      <c r="AA21" s="10" t="str">
        <f t="shared" si="8"/>
        <v>23.3442469256296i</v>
      </c>
      <c r="AC21" s="10">
        <f>1/(2*$T$3+$T$6*$T$2/('4. Boost Inductor'!$B$11*$T$3^2)*($T$5))</f>
        <v>0.20979859335038364</v>
      </c>
      <c r="AD21" s="10" t="str">
        <f t="shared" si="0"/>
        <v>0.886161452341286-0.31732340101221i</v>
      </c>
      <c r="AE21" s="10" t="str">
        <f t="shared" si="1"/>
        <v>0.999999999982826-0.0000122546180052753i</v>
      </c>
      <c r="AF21" s="10" t="str">
        <f t="shared" si="9"/>
        <v>42.4947680777975-15.2174357693502i</v>
      </c>
      <c r="AG21" s="10">
        <f t="shared" si="10"/>
        <v>45.137297940617763</v>
      </c>
      <c r="AH21" s="10">
        <f t="shared" si="2"/>
        <v>-0.3438737890117472</v>
      </c>
      <c r="AI21" s="10">
        <f t="shared" si="3"/>
        <v>-19.702516795545257</v>
      </c>
      <c r="AJ21" s="10">
        <f t="shared" si="4"/>
        <v>33.09071114596329</v>
      </c>
      <c r="AL21" s="10" t="str">
        <f t="shared" si="5"/>
        <v>0.813871804130816-0.385071034968336i</v>
      </c>
      <c r="AM21" s="10" t="str">
        <f t="shared" si="6"/>
        <v>0.999998583071314-0.00118454999383787i</v>
      </c>
      <c r="AN21" s="10" t="str">
        <f t="shared" si="11"/>
        <v>-175.697535248729+83.383465217193i</v>
      </c>
      <c r="AO21" s="10">
        <f t="shared" si="12"/>
        <v>194.47988627131909</v>
      </c>
      <c r="AP21" s="10">
        <f t="shared" si="13"/>
        <v>2.6984827400169542</v>
      </c>
      <c r="AQ21" s="10">
        <f t="shared" si="14"/>
        <v>154.61167209186965</v>
      </c>
      <c r="AR21" s="10">
        <f t="shared" si="15"/>
        <v>45.77749383733979</v>
      </c>
      <c r="AS21" s="10">
        <f t="shared" si="16"/>
        <v>78.868204983303087</v>
      </c>
      <c r="AT21" s="10">
        <f t="shared" si="17"/>
        <v>134.9091552963244</v>
      </c>
    </row>
    <row r="22" spans="19:46" x14ac:dyDescent="0.25">
      <c r="S22" s="10" t="s">
        <v>128</v>
      </c>
      <c r="T22" s="10">
        <f>0.5*(R0+comp_R2+Rotaesd)/(comp_R2*(R0+Rotaesd)*comp_C2)*(1+(1-4*comp_R2*(R0++Rotaesd)*comp_C2/((R0+comp_R2+Rotaesd)^2*comp_C1))^0.5)</f>
        <v>19515.751085905526</v>
      </c>
      <c r="Y22" s="10">
        <v>20</v>
      </c>
      <c r="Z22" s="10">
        <f t="shared" si="7"/>
        <v>3.9810717055349727</v>
      </c>
      <c r="AA22" s="10" t="str">
        <f t="shared" si="8"/>
        <v>25.0138112470457i</v>
      </c>
      <c r="AC22" s="10">
        <f>1/(2*$T$3+$T$6*$T$2/('4. Boost Inductor'!$B$11*$T$3^2)*($T$5))</f>
        <v>0.20979859335038364</v>
      </c>
      <c r="AD22" s="10" t="str">
        <f t="shared" si="0"/>
        <v>0.871467173867618-0.334369619246786i</v>
      </c>
      <c r="AE22" s="10" t="str">
        <f t="shared" si="1"/>
        <v>0.999999999980282-0.0000131310597709848i</v>
      </c>
      <c r="AF22" s="10" t="str">
        <f t="shared" si="9"/>
        <v>41.7900951034037-16.0348974997318i</v>
      </c>
      <c r="AG22" s="10">
        <f t="shared" si="10"/>
        <v>44.760808600587531</v>
      </c>
      <c r="AH22" s="10">
        <f t="shared" si="2"/>
        <v>-0.36637695945314436</v>
      </c>
      <c r="AI22" s="10">
        <f t="shared" si="3"/>
        <v>-20.991853487500862</v>
      </c>
      <c r="AJ22" s="10">
        <f t="shared" si="4"/>
        <v>33.017958468476237</v>
      </c>
      <c r="AL22" s="10" t="str">
        <f t="shared" si="5"/>
        <v>0.792128829695333-0.401349702671066i</v>
      </c>
      <c r="AM22" s="10" t="str">
        <f t="shared" si="6"/>
        <v>0.999998373148542-0.00126926791735325i</v>
      </c>
      <c r="AN22" s="10" t="str">
        <f t="shared" si="11"/>
        <v>-170.989514075121+86.9085662640465i</v>
      </c>
      <c r="AO22" s="10">
        <f t="shared" si="12"/>
        <v>191.80853164997163</v>
      </c>
      <c r="AP22" s="10">
        <f t="shared" si="13"/>
        <v>2.6713522274453441</v>
      </c>
      <c r="AQ22" s="10">
        <f t="shared" si="14"/>
        <v>153.05720822548977</v>
      </c>
      <c r="AR22" s="10">
        <f t="shared" si="15"/>
        <v>45.657358413950256</v>
      </c>
      <c r="AS22" s="10">
        <f t="shared" si="16"/>
        <v>78.6753168824265</v>
      </c>
      <c r="AT22" s="10">
        <f t="shared" si="17"/>
        <v>132.06535473798891</v>
      </c>
    </row>
    <row r="23" spans="19:46" x14ac:dyDescent="0.25">
      <c r="S23" s="10" t="s">
        <v>129</v>
      </c>
      <c r="T23" s="10">
        <f>$B$9*10^-9</f>
        <v>6.8000000000000005E-9</v>
      </c>
      <c r="U23" s="10" t="s">
        <v>121</v>
      </c>
      <c r="Y23" s="10">
        <v>21</v>
      </c>
      <c r="Z23" s="10">
        <f t="shared" si="7"/>
        <v>4.2657951880159262</v>
      </c>
      <c r="AA23" s="10" t="str">
        <f t="shared" si="8"/>
        <v>26.802781648779i</v>
      </c>
      <c r="AC23" s="10">
        <f>1/(2*$T$3+$T$6*$T$2/('4. Boost Inductor'!$B$11*$T$3^2)*($T$5))</f>
        <v>0.20979859335038364</v>
      </c>
      <c r="AD23" s="10" t="str">
        <f t="shared" si="0"/>
        <v>0.855186686131753-0.351577639401608i</v>
      </c>
      <c r="AE23" s="10" t="str">
        <f t="shared" si="1"/>
        <v>0.99999999997736-0.0000140701840428637i</v>
      </c>
      <c r="AF23" s="10" t="str">
        <f t="shared" si="9"/>
        <v>41.0093545084862-16.8601185435284i</v>
      </c>
      <c r="AG23" s="10">
        <f t="shared" si="10"/>
        <v>44.339945359737733</v>
      </c>
      <c r="AH23" s="10">
        <f t="shared" si="2"/>
        <v>-0.39006303335179232</v>
      </c>
      <c r="AI23" s="10">
        <f t="shared" si="3"/>
        <v>-22.34896555512837</v>
      </c>
      <c r="AJ23" s="10">
        <f t="shared" si="4"/>
        <v>32.935903071925267</v>
      </c>
      <c r="AL23" s="10" t="str">
        <f t="shared" si="5"/>
        <v>0.768583721365537-0.416987071382457i</v>
      </c>
      <c r="AM23" s="10" t="str">
        <f t="shared" si="6"/>
        <v>0.999998132125062-0.00136004474594296i</v>
      </c>
      <c r="AN23" s="10" t="str">
        <f t="shared" si="11"/>
        <v>-165.891275569089+90.2948257630405i</v>
      </c>
      <c r="AO23" s="10">
        <f t="shared" si="12"/>
        <v>188.87316079717965</v>
      </c>
      <c r="AP23" s="10">
        <f t="shared" si="13"/>
        <v>2.643135221814894</v>
      </c>
      <c r="AQ23" s="10">
        <f t="shared" si="14"/>
        <v>151.4404928923681</v>
      </c>
      <c r="AR23" s="10">
        <f t="shared" si="15"/>
        <v>45.523404966184522</v>
      </c>
      <c r="AS23" s="10">
        <f t="shared" si="16"/>
        <v>78.459308038109782</v>
      </c>
      <c r="AT23" s="10">
        <f t="shared" si="17"/>
        <v>129.09152733723974</v>
      </c>
    </row>
    <row r="24" spans="19:46" x14ac:dyDescent="0.25">
      <c r="S24" s="10" t="s">
        <v>130</v>
      </c>
      <c r="T24" s="10">
        <f>$B$10*10^-9</f>
        <v>1.0000000000000001E-9</v>
      </c>
      <c r="U24" s="10" t="s">
        <v>121</v>
      </c>
      <c r="Y24" s="10">
        <v>22</v>
      </c>
      <c r="Z24" s="10">
        <f t="shared" si="7"/>
        <v>4.570881896148749</v>
      </c>
      <c r="AA24" s="10" t="str">
        <f t="shared" si="8"/>
        <v>28.719697970735i</v>
      </c>
      <c r="AC24" s="10">
        <f>1/(2*$T$3+$T$6*$T$2/('4. Boost Inductor'!$B$11*$T$3^2)*($T$5))</f>
        <v>0.20979859335038364</v>
      </c>
      <c r="AD24" s="10" t="str">
        <f t="shared" si="0"/>
        <v>0.837229929052882-0.368796938075869i</v>
      </c>
      <c r="AE24" s="10" t="str">
        <f t="shared" si="1"/>
        <v>0.999999999974006-0.0000150764738302048i</v>
      </c>
      <c r="AF24" s="10" t="str">
        <f t="shared" si="9"/>
        <v>40.1482274076279-17.6858804607448i</v>
      </c>
      <c r="AG24" s="10">
        <f t="shared" si="10"/>
        <v>43.871067135942326</v>
      </c>
      <c r="AH24" s="10">
        <f t="shared" si="2"/>
        <v>-0.41493792807372509</v>
      </c>
      <c r="AI24" s="10">
        <f t="shared" si="3"/>
        <v>-23.774192038527364</v>
      </c>
      <c r="AJ24" s="10">
        <f t="shared" si="4"/>
        <v>32.843563969436744</v>
      </c>
      <c r="AL24" s="10" t="str">
        <f t="shared" si="5"/>
        <v>0.743255313168144-0.431747816011978i</v>
      </c>
      <c r="AM24" s="10" t="str">
        <f t="shared" si="6"/>
        <v>0.999997855393224-0.00145731379402177i</v>
      </c>
      <c r="AN24" s="10" t="str">
        <f t="shared" si="11"/>
        <v>-160.406897860069+93.491290001458i</v>
      </c>
      <c r="AO24" s="10">
        <f t="shared" si="12"/>
        <v>185.66365876828812</v>
      </c>
      <c r="AP24" s="10">
        <f t="shared" si="13"/>
        <v>2.6138876065146133</v>
      </c>
      <c r="AQ24" s="10">
        <f t="shared" si="14"/>
        <v>149.76472797483976</v>
      </c>
      <c r="AR24" s="10">
        <f t="shared" si="15"/>
        <v>45.374538091926979</v>
      </c>
      <c r="AS24" s="10">
        <f t="shared" si="16"/>
        <v>78.218102061363723</v>
      </c>
      <c r="AT24" s="10">
        <f t="shared" si="17"/>
        <v>125.9905359363124</v>
      </c>
    </row>
    <row r="25" spans="19:46" x14ac:dyDescent="0.25">
      <c r="Y25" s="10">
        <v>23</v>
      </c>
      <c r="Z25" s="10">
        <f t="shared" si="7"/>
        <v>4.8977881936844616</v>
      </c>
      <c r="AA25" s="10" t="str">
        <f t="shared" si="8"/>
        <v>30.7737108162359i</v>
      </c>
      <c r="AC25" s="10">
        <f>1/(2*$T$3+$T$6*$T$2/('4. Boost Inductor'!$B$11*$T$3^2)*($T$5))</f>
        <v>0.20979859335038364</v>
      </c>
      <c r="AD25" s="10" t="str">
        <f t="shared" si="0"/>
        <v>0.817522562768965-0.38585304052898i</v>
      </c>
      <c r="AE25" s="10" t="str">
        <f t="shared" si="1"/>
        <v>0.999999999970155-0.0000161547327640112i</v>
      </c>
      <c r="AF25" s="10" t="str">
        <f t="shared" si="9"/>
        <v>39.2031487879704-18.5038162104857i</v>
      </c>
      <c r="AG25" s="10">
        <f t="shared" si="10"/>
        <v>43.350641162999864</v>
      </c>
      <c r="AH25" s="10">
        <f t="shared" si="2"/>
        <v>-0.44099630073948337</v>
      </c>
      <c r="AI25" s="10">
        <f t="shared" si="3"/>
        <v>-25.267226813254378</v>
      </c>
      <c r="AJ25" s="10">
        <f t="shared" si="4"/>
        <v>32.739910502908309</v>
      </c>
      <c r="AL25" s="10" t="str">
        <f t="shared" si="5"/>
        <v>0.716201802940952-0.445387799830764i</v>
      </c>
      <c r="AM25" s="10" t="str">
        <f t="shared" si="6"/>
        <v>0.999997537662754-0.00156153936306524i</v>
      </c>
      <c r="AN25" s="10" t="str">
        <f t="shared" si="11"/>
        <v>-154.548982547131+96.445097375685i</v>
      </c>
      <c r="AO25" s="10">
        <f t="shared" si="12"/>
        <v>182.17311770444826</v>
      </c>
      <c r="AP25" s="10">
        <f t="shared" si="13"/>
        <v>2.5836823418482755</v>
      </c>
      <c r="AQ25" s="10">
        <f t="shared" si="14"/>
        <v>148.03409379038297</v>
      </c>
      <c r="AR25" s="10">
        <f t="shared" si="15"/>
        <v>45.209685817835918</v>
      </c>
      <c r="AS25" s="10">
        <f t="shared" si="16"/>
        <v>77.949596320744234</v>
      </c>
      <c r="AT25" s="10">
        <f t="shared" si="17"/>
        <v>122.76686697712859</v>
      </c>
    </row>
    <row r="26" spans="19:46" x14ac:dyDescent="0.25">
      <c r="Y26" s="10">
        <v>24</v>
      </c>
      <c r="Z26" s="10">
        <f t="shared" si="7"/>
        <v>5.2480746024977245</v>
      </c>
      <c r="AA26" s="10" t="str">
        <f t="shared" si="8"/>
        <v>32.974625233396i</v>
      </c>
      <c r="AC26" s="10">
        <f>1/(2*$T$3+$T$6*$T$2/('4. Boost Inductor'!$B$11*$T$3^2)*($T$5))</f>
        <v>0.20979859335038364</v>
      </c>
      <c r="AD26" s="10" t="str">
        <f t="shared" si="0"/>
        <v>0.796011618898131-0.402548474534628i</v>
      </c>
      <c r="AE26" s="10" t="str">
        <f t="shared" si="1"/>
        <v>0.999999999965733-0.0000173101080276381i</v>
      </c>
      <c r="AF26" s="10" t="str">
        <f t="shared" si="9"/>
        <v>38.171578518859-19.3044558936037i</v>
      </c>
      <c r="AG26" s="10">
        <f t="shared" si="10"/>
        <v>42.775360009817661</v>
      </c>
      <c r="AH26" s="10">
        <f t="shared" si="2"/>
        <v>-0.46821991569318611</v>
      </c>
      <c r="AI26" s="10">
        <f t="shared" si="3"/>
        <v>-26.827025053190788</v>
      </c>
      <c r="AJ26" s="10">
        <f t="shared" si="4"/>
        <v>32.623873467533024</v>
      </c>
      <c r="AL26" s="10" t="str">
        <f t="shared" si="5"/>
        <v>0.687524512653779-0.45766177278482i</v>
      </c>
      <c r="AM26" s="10" t="str">
        <f t="shared" si="6"/>
        <v>0.999997172859615-0.00167321895702626i</v>
      </c>
      <c r="AN26" s="10" t="str">
        <f t="shared" si="11"/>
        <v>-148.339468923408+99.1031453190861i</v>
      </c>
      <c r="AO26" s="10">
        <f t="shared" si="12"/>
        <v>178.39851863907003</v>
      </c>
      <c r="AP26" s="10">
        <f t="shared" si="13"/>
        <v>2.552609835956773</v>
      </c>
      <c r="AQ26" s="10">
        <f t="shared" si="14"/>
        <v>146.25377034390451</v>
      </c>
      <c r="AR26" s="10">
        <f t="shared" si="15"/>
        <v>45.02782487641322</v>
      </c>
      <c r="AS26" s="10">
        <f t="shared" si="16"/>
        <v>77.651698343946236</v>
      </c>
      <c r="AT26" s="10">
        <f t="shared" si="17"/>
        <v>119.42674529071371</v>
      </c>
    </row>
    <row r="27" spans="19:46" x14ac:dyDescent="0.25">
      <c r="Y27" s="10">
        <v>25</v>
      </c>
      <c r="Z27" s="10">
        <f t="shared" si="7"/>
        <v>5.6234132519034903</v>
      </c>
      <c r="AA27" s="10" t="str">
        <f t="shared" si="8"/>
        <v>35.332947520559i</v>
      </c>
      <c r="AC27" s="10">
        <f>1/(2*$T$3+$T$6*$T$2/('4. Boost Inductor'!$B$11*$T$3^2)*($T$5))</f>
        <v>0.20979859335038364</v>
      </c>
      <c r="AD27" s="10" t="str">
        <f t="shared" si="0"/>
        <v>0.77267143314061-0.418665108101588i</v>
      </c>
      <c r="AE27" s="10" t="str">
        <f t="shared" si="1"/>
        <v>0.999999999960657-0.000018548114927419i</v>
      </c>
      <c r="AF27" s="10" t="str">
        <f t="shared" si="9"/>
        <v>37.0522858533409-20.0773388595105i</v>
      </c>
      <c r="AG27" s="10">
        <f t="shared" si="10"/>
        <v>42.142275954643182</v>
      </c>
      <c r="AH27" s="10">
        <f t="shared" si="2"/>
        <v>-0.49657612437552634</v>
      </c>
      <c r="AI27" s="10">
        <f t="shared" si="3"/>
        <v>-28.451716133681103</v>
      </c>
      <c r="AJ27" s="10">
        <f t="shared" si="4"/>
        <v>32.494359732157903</v>
      </c>
      <c r="AL27" s="10" t="str">
        <f t="shared" si="5"/>
        <v>0.65736988178594-0.468332417827573i</v>
      </c>
      <c r="AM27" s="10" t="str">
        <f t="shared" si="6"/>
        <v>0.999996754009901-0.00179288565602264i</v>
      </c>
      <c r="AN27" s="10" t="str">
        <f t="shared" si="11"/>
        <v>-141.810065603058+101.414049117898i</v>
      </c>
      <c r="AO27" s="10">
        <f t="shared" si="12"/>
        <v>174.34134353282656</v>
      </c>
      <c r="AP27" s="10">
        <f t="shared" si="13"/>
        <v>2.5207777260497086</v>
      </c>
      <c r="AQ27" s="10">
        <f t="shared" si="14"/>
        <v>144.42992479323314</v>
      </c>
      <c r="AR27" s="10">
        <f t="shared" si="15"/>
        <v>44.828007769627611</v>
      </c>
      <c r="AS27" s="10">
        <f t="shared" si="16"/>
        <v>77.322367501785521</v>
      </c>
      <c r="AT27" s="10">
        <f t="shared" si="17"/>
        <v>115.97820865955204</v>
      </c>
    </row>
    <row r="28" spans="19:46" x14ac:dyDescent="0.25">
      <c r="Y28" s="10">
        <v>26</v>
      </c>
      <c r="Z28" s="10">
        <f t="shared" si="7"/>
        <v>6.0255958607435751</v>
      </c>
      <c r="AA28" s="10" t="str">
        <f t="shared" si="8"/>
        <v>37.8599353792262i</v>
      </c>
      <c r="AC28" s="10">
        <f>1/(2*$T$3+$T$6*$T$2/('4. Boost Inductor'!$B$11*$T$3^2)*($T$5))</f>
        <v>0.20979859335038364</v>
      </c>
      <c r="AD28" s="10" t="str">
        <f t="shared" si="0"/>
        <v>0.747509505459511-0.433968080186062i</v>
      </c>
      <c r="AE28" s="10" t="str">
        <f t="shared" si="1"/>
        <v>0.999999999954828-0.0000198746632205645i</v>
      </c>
      <c r="AF28" s="10" t="str">
        <f t="shared" si="9"/>
        <v>35.8456304566641-20.8112022058568i</v>
      </c>
      <c r="AG28" s="10">
        <f t="shared" si="10"/>
        <v>41.448948841783476</v>
      </c>
      <c r="AH28" s="10">
        <f t="shared" si="2"/>
        <v>-0.5260165609866434</v>
      </c>
      <c r="AI28" s="10">
        <f t="shared" si="3"/>
        <v>-30.138528898520544</v>
      </c>
      <c r="AJ28" s="10">
        <f t="shared" si="4"/>
        <v>32.350270423659914</v>
      </c>
      <c r="AL28" s="10" t="str">
        <f t="shared" si="5"/>
        <v>0.625929206653589-0.477180277274432i</v>
      </c>
      <c r="AM28" s="10" t="str">
        <f t="shared" si="6"/>
        <v>0.999996273106523-0.00192111065957461i</v>
      </c>
      <c r="AN28" s="10" t="str">
        <f t="shared" si="11"/>
        <v>-135.002194077219+103.330291279409i</v>
      </c>
      <c r="AO28" s="10">
        <f t="shared" si="12"/>
        <v>170.00806304864076</v>
      </c>
      <c r="AP28" s="10">
        <f t="shared" si="13"/>
        <v>2.4883099905259862</v>
      </c>
      <c r="AQ28" s="10">
        <f t="shared" si="14"/>
        <v>142.56966057737685</v>
      </c>
      <c r="AR28" s="10">
        <f t="shared" si="15"/>
        <v>44.609390386917411</v>
      </c>
      <c r="AS28" s="10">
        <f t="shared" si="16"/>
        <v>76.959660810577333</v>
      </c>
      <c r="AT28" s="10">
        <f t="shared" si="17"/>
        <v>112.4311316788563</v>
      </c>
    </row>
    <row r="29" spans="19:46" x14ac:dyDescent="0.25">
      <c r="Y29" s="10">
        <v>27</v>
      </c>
      <c r="Z29" s="10">
        <f t="shared" si="7"/>
        <v>6.4565422903465537</v>
      </c>
      <c r="AA29" s="10" t="str">
        <f t="shared" si="8"/>
        <v>40.5676516538891i</v>
      </c>
      <c r="AC29" s="10">
        <f>1/(2*$T$3+$T$6*$T$2/('4. Boost Inductor'!$B$11*$T$3^2)*($T$5))</f>
        <v>0.20979859335038364</v>
      </c>
      <c r="AD29" s="10" t="str">
        <f t="shared" si="0"/>
        <v>0.720571832335311-0.448211439659296i</v>
      </c>
      <c r="AE29" s="10" t="str">
        <f t="shared" si="1"/>
        <v>0.999999999948135-0.0000212960853260159i</v>
      </c>
      <c r="AF29" s="10" t="str">
        <f t="shared" si="9"/>
        <v>34.553818117753-21.4942511986225i</v>
      </c>
      <c r="AG29" s="10">
        <f t="shared" si="10"/>
        <v>40.693601230466697</v>
      </c>
      <c r="AH29" s="10">
        <f t="shared" si="2"/>
        <v>-0.55647616881736284</v>
      </c>
      <c r="AI29" s="10">
        <f t="shared" si="3"/>
        <v>-31.883735872844397</v>
      </c>
      <c r="AJ29" s="10">
        <f t="shared" si="4"/>
        <v>32.190522499603865</v>
      </c>
      <c r="AL29" s="10" t="str">
        <f t="shared" si="5"/>
        <v>0.593435782475674-0.48401390379439i</v>
      </c>
      <c r="AM29" s="10" t="str">
        <f t="shared" si="6"/>
        <v>0.999995720956143-0.0020585060114696i</v>
      </c>
      <c r="AN29" s="10" t="str">
        <f t="shared" si="11"/>
        <v>-127.966369883185+104.810419541516i</v>
      </c>
      <c r="AO29" s="10">
        <f t="shared" si="12"/>
        <v>165.41044666389337</v>
      </c>
      <c r="AP29" s="10">
        <f t="shared" si="13"/>
        <v>2.4553453522403901</v>
      </c>
      <c r="AQ29" s="10">
        <f t="shared" si="14"/>
        <v>140.68092593043684</v>
      </c>
      <c r="AR29" s="10">
        <f t="shared" si="15"/>
        <v>44.371258687790409</v>
      </c>
      <c r="AS29" s="10">
        <f t="shared" si="16"/>
        <v>76.561781187394274</v>
      </c>
      <c r="AT29" s="10">
        <f t="shared" si="17"/>
        <v>108.79719005759245</v>
      </c>
    </row>
    <row r="30" spans="19:46" x14ac:dyDescent="0.25">
      <c r="Y30" s="10">
        <v>28</v>
      </c>
      <c r="Z30" s="10">
        <f t="shared" si="7"/>
        <v>6.9183097091893631</v>
      </c>
      <c r="AA30" s="10" t="str">
        <f t="shared" si="8"/>
        <v>43.4690219152965i</v>
      </c>
      <c r="AC30" s="10">
        <f>1/(2*$T$3+$T$6*$T$2/('4. Boost Inductor'!$B$11*$T$3^2)*($T$5))</f>
        <v>0.20979859335038364</v>
      </c>
      <c r="AD30" s="10" t="str">
        <f t="shared" si="0"/>
        <v>0.6919471789904-0.461145467197861i</v>
      </c>
      <c r="AE30" s="10" t="str">
        <f t="shared" si="1"/>
        <v>0.999999999940452-0.000022819166552918i</v>
      </c>
      <c r="AF30" s="10" t="str">
        <f t="shared" si="9"/>
        <v>33.1811056263095-22.1145103977777i</v>
      </c>
      <c r="AG30" s="10">
        <f t="shared" si="10"/>
        <v>39.875272296471231</v>
      </c>
      <c r="AH30" s="10">
        <f t="shared" si="2"/>
        <v>-0.58787267549963473</v>
      </c>
      <c r="AI30" s="10">
        <f t="shared" si="3"/>
        <v>-33.682623197192868</v>
      </c>
      <c r="AJ30" s="10">
        <f t="shared" si="4"/>
        <v>32.014073234885252</v>
      </c>
      <c r="AL30" s="10" t="str">
        <f t="shared" si="5"/>
        <v>0.560159326490647-0.488679445007145i</v>
      </c>
      <c r="AM30" s="10" t="str">
        <f t="shared" si="6"/>
        <v>0.999995087003444-0.00220572751918286i</v>
      </c>
      <c r="AN30" s="10" t="str">
        <f t="shared" si="11"/>
        <v>-120.760995037657+105.821122241149i</v>
      </c>
      <c r="AO30" s="10">
        <f t="shared" si="12"/>
        <v>160.56564961056029</v>
      </c>
      <c r="AP30" s="10">
        <f t="shared" si="13"/>
        <v>2.4220349844203763</v>
      </c>
      <c r="AQ30" s="10">
        <f t="shared" si="14"/>
        <v>138.77238244032165</v>
      </c>
      <c r="AR30" s="10">
        <f t="shared" si="15"/>
        <v>44.113052813844305</v>
      </c>
      <c r="AS30" s="10">
        <f t="shared" si="16"/>
        <v>76.127126048729565</v>
      </c>
      <c r="AT30" s="10">
        <f t="shared" si="17"/>
        <v>105.08975924312878</v>
      </c>
    </row>
    <row r="31" spans="19:46" x14ac:dyDescent="0.25">
      <c r="Y31" s="10">
        <v>29</v>
      </c>
      <c r="Z31" s="10">
        <f t="shared" si="7"/>
        <v>7.4131024130091765</v>
      </c>
      <c r="AA31" s="10" t="str">
        <f t="shared" si="8"/>
        <v>46.5778961620368i</v>
      </c>
      <c r="AC31" s="10">
        <f>1/(2*$T$3+$T$6*$T$2/('4. Boost Inductor'!$B$11*$T$3^2)*($T$5))</f>
        <v>0.20979859335038364</v>
      </c>
      <c r="AD31" s="10" t="str">
        <f t="shared" si="0"/>
        <v>0.661769729938258-0.472525473825865i</v>
      </c>
      <c r="AE31" s="10" t="str">
        <f t="shared" si="1"/>
        <v>0.999999999931629-0.0000244511774910128i</v>
      </c>
      <c r="AF31" s="10" t="str">
        <f t="shared" si="9"/>
        <v>31.7339278814953-22.660245596676i</v>
      </c>
      <c r="AG31" s="10">
        <f t="shared" si="10"/>
        <v>38.993959907780834</v>
      </c>
      <c r="AH31" s="10">
        <f t="shared" si="2"/>
        <v>-0.62010662760926238</v>
      </c>
      <c r="AI31" s="10">
        <f t="shared" si="3"/>
        <v>-35.529492610101343</v>
      </c>
      <c r="AJ31" s="10">
        <f t="shared" si="4"/>
        <v>31.819946816492418</v>
      </c>
      <c r="AL31" s="10" t="str">
        <f t="shared" si="5"/>
        <v>0.526397837631293-0.491068821393699i</v>
      </c>
      <c r="AM31" s="10" t="str">
        <f t="shared" si="6"/>
        <v>0.999994359129358-0.00236347788169415i</v>
      </c>
      <c r="AN31" s="10" t="str">
        <f t="shared" si="11"/>
        <v>-113.450595406149+106.33899909259i</v>
      </c>
      <c r="AO31" s="10">
        <f t="shared" si="12"/>
        <v>155.49604601411437</v>
      </c>
      <c r="AP31" s="10">
        <f t="shared" si="13"/>
        <v>2.3885395886639125</v>
      </c>
      <c r="AQ31" s="10">
        <f t="shared" si="14"/>
        <v>136.85323763035589</v>
      </c>
      <c r="AR31" s="10">
        <f t="shared" si="15"/>
        <v>43.8343870034521</v>
      </c>
      <c r="AS31" s="10">
        <f t="shared" si="16"/>
        <v>75.654333819944526</v>
      </c>
      <c r="AT31" s="10">
        <f t="shared" si="17"/>
        <v>101.32374502025455</v>
      </c>
    </row>
    <row r="32" spans="19:46" x14ac:dyDescent="0.25">
      <c r="Y32" s="10">
        <v>30</v>
      </c>
      <c r="Z32" s="10">
        <f t="shared" si="7"/>
        <v>7.943282347242814</v>
      </c>
      <c r="AA32" s="10" t="str">
        <f t="shared" si="8"/>
        <v>49.909114934975i</v>
      </c>
      <c r="AC32" s="10">
        <f>1/(2*$T$3+$T$6*$T$2/('4. Boost Inductor'!$B$11*$T$3^2)*($T$5))</f>
        <v>0.20979859335038364</v>
      </c>
      <c r="AD32" s="10" t="str">
        <f t="shared" si="0"/>
        <v>0.630219594372608-0.482121665765707i</v>
      </c>
      <c r="AE32" s="10" t="str">
        <f t="shared" si="1"/>
        <v>0.9999999999215-0.00002619990871757i</v>
      </c>
      <c r="AF32" s="10" t="str">
        <f t="shared" si="9"/>
        <v>30.2209221281731-23.1204368969168i</v>
      </c>
      <c r="AG32" s="10">
        <f t="shared" si="10"/>
        <v>38.050738975497104</v>
      </c>
      <c r="AH32" s="10">
        <f t="shared" si="2"/>
        <v>-0.65306207378487313</v>
      </c>
      <c r="AI32" s="10">
        <f t="shared" si="3"/>
        <v>-37.417700587934391</v>
      </c>
      <c r="AJ32" s="10">
        <f t="shared" si="4"/>
        <v>31.607261910628146</v>
      </c>
      <c r="AL32" s="10" t="str">
        <f t="shared" si="5"/>
        <v>0.492467342646721-0.491125718031938i</v>
      </c>
      <c r="AM32" s="10" t="str">
        <f t="shared" si="6"/>
        <v>0.99999352341941-0.00253251004051273i</v>
      </c>
      <c r="AN32" s="10" t="str">
        <f t="shared" si="11"/>
        <v>-106.103600423327+106.351858592609i</v>
      </c>
      <c r="AO32" s="10">
        <f t="shared" si="12"/>
        <v>150.22879833405889</v>
      </c>
      <c r="AP32" s="10">
        <f t="shared" si="13"/>
        <v>2.3550259720594688</v>
      </c>
      <c r="AQ32" s="10">
        <f t="shared" si="14"/>
        <v>134.93304884270171</v>
      </c>
      <c r="AR32" s="10">
        <f t="shared" si="15"/>
        <v>43.535063867573804</v>
      </c>
      <c r="AS32" s="10">
        <f t="shared" si="16"/>
        <v>75.14232577820195</v>
      </c>
      <c r="AT32" s="10">
        <f t="shared" si="17"/>
        <v>97.515348254767318</v>
      </c>
    </row>
    <row r="33" spans="25:46" x14ac:dyDescent="0.25">
      <c r="Y33" s="10">
        <v>31</v>
      </c>
      <c r="Z33" s="10">
        <f t="shared" si="7"/>
        <v>8.5113803820237646</v>
      </c>
      <c r="AA33" s="10" t="str">
        <f t="shared" si="8"/>
        <v>53.4785801601483i</v>
      </c>
      <c r="AC33" s="10">
        <f>1/(2*$T$3+$T$6*$T$2/('4. Boost Inductor'!$B$11*$T$3^2)*($T$5))</f>
        <v>0.20979859335038364</v>
      </c>
      <c r="AD33" s="10" t="str">
        <f t="shared" si="0"/>
        <v>0.597520762453116-0.489729466111451i</v>
      </c>
      <c r="AE33" s="10" t="str">
        <f t="shared" si="1"/>
        <v>0.99999999990987-0.0000280737079865344i</v>
      </c>
      <c r="AF33" s="10" t="str">
        <f t="shared" si="9"/>
        <v>28.652829949356-23.4852736904114i</v>
      </c>
      <c r="AG33" s="10">
        <f t="shared" si="10"/>
        <v>37.047843991523209</v>
      </c>
      <c r="AH33" s="10">
        <f t="shared" si="2"/>
        <v>-0.68660795011930098</v>
      </c>
      <c r="AI33" s="10">
        <f t="shared" si="3"/>
        <v>-39.339737721964894</v>
      </c>
      <c r="AJ33" s="10">
        <f t="shared" si="4"/>
        <v>31.375258783511136</v>
      </c>
      <c r="AL33" s="10" t="str">
        <f t="shared" si="5"/>
        <v>0.458690241440544-0.488848785935968i</v>
      </c>
      <c r="AM33" s="10" t="str">
        <f t="shared" si="6"/>
        <v>0.999992563897745-0.00271363076976152i</v>
      </c>
      <c r="AN33" s="10" t="str">
        <f t="shared" si="11"/>
        <v>-98.7898195005974+105.859411220024i</v>
      </c>
      <c r="AO33" s="10">
        <f t="shared" si="12"/>
        <v>144.79517733961569</v>
      </c>
      <c r="AP33" s="10">
        <f t="shared" si="13"/>
        <v>2.3216632997414832</v>
      </c>
      <c r="AQ33" s="10">
        <f t="shared" si="14"/>
        <v>133.02150852560317</v>
      </c>
      <c r="AR33" s="10">
        <f t="shared" si="15"/>
        <v>43.21508194306891</v>
      </c>
      <c r="AS33" s="10">
        <f t="shared" si="16"/>
        <v>74.590340726580052</v>
      </c>
      <c r="AT33" s="10">
        <f t="shared" si="17"/>
        <v>93.681770803638273</v>
      </c>
    </row>
    <row r="34" spans="25:46" x14ac:dyDescent="0.25">
      <c r="Y34" s="10">
        <v>32</v>
      </c>
      <c r="Z34" s="10">
        <f t="shared" si="7"/>
        <v>9.1201083935590948</v>
      </c>
      <c r="AA34" s="10" t="str">
        <f t="shared" si="8"/>
        <v>57.3033310582957i</v>
      </c>
      <c r="AC34" s="10">
        <f>1/(2*$T$3+$T$6*$T$2/('4. Boost Inductor'!$B$11*$T$3^2)*($T$5))</f>
        <v>0.20979859335038364</v>
      </c>
      <c r="AD34" s="10" t="str">
        <f t="shared" si="0"/>
        <v>0.56393631018856-0.495179525356816i</v>
      </c>
      <c r="AE34" s="10" t="str">
        <f t="shared" si="1"/>
        <v>0.999999999896516-0.0000300815200774147i</v>
      </c>
      <c r="AF34" s="10" t="str">
        <f t="shared" si="9"/>
        <v>27.0422673134927-23.746634720285i</v>
      </c>
      <c r="AG34" s="10">
        <f t="shared" si="10"/>
        <v>35.988704922420318</v>
      </c>
      <c r="AH34" s="10">
        <f t="shared" si="2"/>
        <v>-0.72060017358216588</v>
      </c>
      <c r="AI34" s="10">
        <f t="shared" si="3"/>
        <v>-41.287348662652626</v>
      </c>
      <c r="AJ34" s="10">
        <f t="shared" si="4"/>
        <v>31.123324371143049</v>
      </c>
      <c r="AL34" s="10" t="str">
        <f t="shared" si="5"/>
        <v>0.425383147515317-0.484291719402907i</v>
      </c>
      <c r="AM34" s="10" t="str">
        <f t="shared" si="6"/>
        <v>0.999991462221765-0.00290770452227847i</v>
      </c>
      <c r="AN34" s="10" t="str">
        <f t="shared" si="11"/>
        <v>-91.5778091085974+104.873286195937i</v>
      </c>
      <c r="AO34" s="10">
        <f t="shared" si="12"/>
        <v>139.22967097090194</v>
      </c>
      <c r="AP34" s="10">
        <f t="shared" si="13"/>
        <v>2.288619232615198</v>
      </c>
      <c r="AQ34" s="10">
        <f t="shared" si="14"/>
        <v>131.12822294132005</v>
      </c>
      <c r="AR34" s="10">
        <f t="shared" si="15"/>
        <v>42.874635936207653</v>
      </c>
      <c r="AS34" s="10">
        <f t="shared" si="16"/>
        <v>73.997960307350695</v>
      </c>
      <c r="AT34" s="10">
        <f t="shared" si="17"/>
        <v>89.840874278667428</v>
      </c>
    </row>
    <row r="35" spans="25:46" x14ac:dyDescent="0.25">
      <c r="Y35" s="10">
        <v>33</v>
      </c>
      <c r="Z35" s="10">
        <f t="shared" si="7"/>
        <v>9.7723722095581049</v>
      </c>
      <c r="AA35" s="10" t="str">
        <f t="shared" si="8"/>
        <v>61.4016254833856i</v>
      </c>
      <c r="AC35" s="10">
        <f>1/(2*$T$3+$T$6*$T$2/('4. Boost Inductor'!$B$11*$T$3^2)*($T$5))</f>
        <v>0.20979859335038364</v>
      </c>
      <c r="AD35" s="10" t="str">
        <f t="shared" si="0"/>
        <v>0.529760917840756-0.49834657170523i</v>
      </c>
      <c r="AE35" s="10" t="str">
        <f t="shared" si="1"/>
        <v>0.999999999881185-0.0000322329294941379i</v>
      </c>
      <c r="AF35" s="10" t="str">
        <f t="shared" si="9"/>
        <v>25.4033657900209-23.8985125028292i</v>
      </c>
      <c r="AG35" s="10">
        <f t="shared" si="10"/>
        <v>34.877928454962564</v>
      </c>
      <c r="AH35" s="10">
        <f t="shared" si="2"/>
        <v>-0.75488439274798746</v>
      </c>
      <c r="AI35" s="10">
        <f t="shared" si="3"/>
        <v>-43.251689724755735</v>
      </c>
      <c r="AJ35" s="10">
        <f t="shared" si="4"/>
        <v>30.851013649467735</v>
      </c>
      <c r="AL35" s="10" t="str">
        <f t="shared" si="5"/>
        <v>0.392845187036509-0.477560201217313i</v>
      </c>
      <c r="AM35" s="10" t="str">
        <f t="shared" si="6"/>
        <v>0.999990197331521-0.0031156575498746i</v>
      </c>
      <c r="AN35" s="10" t="str">
        <f t="shared" si="11"/>
        <v>-84.5323391647298+103.416370039995i</v>
      </c>
      <c r="AO35" s="10">
        <f t="shared" si="12"/>
        <v>133.5689408392164</v>
      </c>
      <c r="AP35" s="10">
        <f t="shared" si="13"/>
        <v>2.2560561721697159</v>
      </c>
      <c r="AQ35" s="10">
        <f t="shared" si="14"/>
        <v>129.26249700976453</v>
      </c>
      <c r="AR35" s="10">
        <f t="shared" si="15"/>
        <v>42.514109643282126</v>
      </c>
      <c r="AS35" s="10">
        <f t="shared" si="16"/>
        <v>73.365123292749857</v>
      </c>
      <c r="AT35" s="10">
        <f t="shared" si="17"/>
        <v>86.010807285008795</v>
      </c>
    </row>
    <row r="36" spans="25:46" x14ac:dyDescent="0.25">
      <c r="Y36" s="10">
        <v>34</v>
      </c>
      <c r="Z36" s="10">
        <f t="shared" si="7"/>
        <v>10.471285480508991</v>
      </c>
      <c r="AA36" s="10" t="str">
        <f t="shared" si="8"/>
        <v>65.793027078417i</v>
      </c>
      <c r="AC36" s="10">
        <f>1/(2*$T$3+$T$6*$T$2/('4. Boost Inductor'!$B$11*$T$3^2)*($T$5))</f>
        <v>0.20979859335038364</v>
      </c>
      <c r="AD36" s="10" t="str">
        <f t="shared" si="0"/>
        <v>0.495311065343818-0.499156276962062i</v>
      </c>
      <c r="AE36" s="10" t="str">
        <f t="shared" si="1"/>
        <v>0.999999999863582-0.0000345382062176947i</v>
      </c>
      <c r="AF36" s="10" t="str">
        <f t="shared" si="9"/>
        <v>23.7513023647932-23.9373425855028i</v>
      </c>
      <c r="AG36" s="10">
        <f t="shared" si="10"/>
        <v>33.721220827241076</v>
      </c>
      <c r="AH36" s="10">
        <f t="shared" si="2"/>
        <v>-0.78929928655025072</v>
      </c>
      <c r="AI36" s="10">
        <f t="shared" si="3"/>
        <v>-45.223517892016353</v>
      </c>
      <c r="AJ36" s="10">
        <f t="shared" si="4"/>
        <v>30.558065784615486</v>
      </c>
      <c r="AL36" s="10" t="str">
        <f t="shared" si="5"/>
        <v>0.361347658568998-0.468806034367439i</v>
      </c>
      <c r="AM36" s="10" t="str">
        <f t="shared" si="6"/>
        <v>0.999988745047192-0.00333848231714536i</v>
      </c>
      <c r="AN36" s="10" t="str">
        <f t="shared" si="11"/>
        <v>-77.7121540478453+101.521535921162i</v>
      </c>
      <c r="AO36" s="10">
        <f t="shared" si="12"/>
        <v>127.85069863926368</v>
      </c>
      <c r="AP36" s="10">
        <f t="shared" si="13"/>
        <v>2.2241278232304929</v>
      </c>
      <c r="AQ36" s="10">
        <f t="shared" si="14"/>
        <v>127.43313736872607</v>
      </c>
      <c r="AR36" s="10">
        <f t="shared" si="15"/>
        <v>42.134062111360976</v>
      </c>
      <c r="AS36" s="10">
        <f t="shared" si="16"/>
        <v>72.692127895976455</v>
      </c>
      <c r="AT36" s="10">
        <f t="shared" si="17"/>
        <v>82.209619476709719</v>
      </c>
    </row>
    <row r="37" spans="25:46" x14ac:dyDescent="0.25">
      <c r="Y37" s="10">
        <v>35</v>
      </c>
      <c r="Z37" s="10">
        <f t="shared" si="7"/>
        <v>11.220184543019631</v>
      </c>
      <c r="AA37" s="10" t="str">
        <f t="shared" si="8"/>
        <v>70.4984986645444i</v>
      </c>
      <c r="AC37" s="10">
        <f>1/(2*$T$3+$T$6*$T$2/('4. Boost Inductor'!$B$11*$T$3^2)*($T$5))</f>
        <v>0.20979859335038364</v>
      </c>
      <c r="AD37" s="10" t="str">
        <f t="shared" si="0"/>
        <v>0.46091355096753-0.497589456039795i</v>
      </c>
      <c r="AE37" s="10" t="str">
        <f t="shared" si="1"/>
        <v>0.999999999843372-0.0000370083547309843i</v>
      </c>
      <c r="AF37" s="10" t="str">
        <f t="shared" si="9"/>
        <v>22.1017488456636-23.8622049367353i</v>
      </c>
      <c r="AG37" s="10">
        <f t="shared" si="10"/>
        <v>32.525253672793184</v>
      </c>
      <c r="AH37" s="10">
        <f t="shared" si="2"/>
        <v>-0.82368024900649894</v>
      </c>
      <c r="AI37" s="10">
        <f t="shared" si="3"/>
        <v>-47.193401936357105</v>
      </c>
      <c r="AJ37" s="10">
        <f t="shared" si="4"/>
        <v>30.244413848417082</v>
      </c>
      <c r="AL37" s="10" t="str">
        <f t="shared" si="5"/>
        <v>0.331125777350947-0.458219053299501i</v>
      </c>
      <c r="AM37" s="10" t="str">
        <f t="shared" si="6"/>
        <v>0.999987077606932-0.00357724222957157i</v>
      </c>
      <c r="AN37" s="10" t="str">
        <f t="shared" si="11"/>
        <v>-71.1681849789782+99.2298922113936i</v>
      </c>
      <c r="AO37" s="10">
        <f t="shared" si="12"/>
        <v>122.11257945636417</v>
      </c>
      <c r="AP37" s="10">
        <f t="shared" si="13"/>
        <v>2.1929762530157166</v>
      </c>
      <c r="AQ37" s="10">
        <f t="shared" si="14"/>
        <v>125.64828387021394</v>
      </c>
      <c r="AR37" s="10">
        <f t="shared" si="15"/>
        <v>41.735208103971985</v>
      </c>
      <c r="AS37" s="10">
        <f t="shared" si="16"/>
        <v>71.979621952389067</v>
      </c>
      <c r="AT37" s="10">
        <f t="shared" si="17"/>
        <v>78.454881933856839</v>
      </c>
    </row>
    <row r="38" spans="25:46" x14ac:dyDescent="0.25">
      <c r="Y38" s="10">
        <v>36</v>
      </c>
      <c r="Z38" s="10">
        <f t="shared" si="7"/>
        <v>12.022644346174127</v>
      </c>
      <c r="AA38" s="10" t="str">
        <f t="shared" si="8"/>
        <v>75.540502309327i</v>
      </c>
      <c r="AC38" s="10">
        <f>1/(2*$T$3+$T$6*$T$2/('4. Boost Inductor'!$B$11*$T$3^2)*($T$5))</f>
        <v>0.20979859335038364</v>
      </c>
      <c r="AD38" s="10" t="str">
        <f t="shared" si="0"/>
        <v>0.426893195857497-0.493683165937078i</v>
      </c>
      <c r="AE38" s="10" t="str">
        <f t="shared" si="1"/>
        <v>0.999999999820167-0.0000396551665498809i</v>
      </c>
      <c r="AF38" s="10" t="str">
        <f t="shared" si="9"/>
        <v>20.4702822263056-23.6748766481335i</v>
      </c>
      <c r="AG38" s="10">
        <f t="shared" si="10"/>
        <v>31.297479750435812</v>
      </c>
      <c r="AH38" s="10">
        <f t="shared" si="2"/>
        <v>-0.85786325871636659</v>
      </c>
      <c r="AI38" s="10">
        <f t="shared" si="3"/>
        <v>-49.151944123787239</v>
      </c>
      <c r="AJ38" s="10">
        <f t="shared" si="4"/>
        <v>29.91018734227309</v>
      </c>
      <c r="AL38" s="10" t="str">
        <f t="shared" si="5"/>
        <v>0.302372967903775-0.446017588269799i</v>
      </c>
      <c r="AM38" s="10" t="str">
        <f t="shared" si="6"/>
        <v>0.999985163136285-0.00383307669806886i</v>
      </c>
      <c r="AN38" s="10" t="str">
        <f t="shared" si="11"/>
        <v>-64.9423141947504+96.5887177417254i</v>
      </c>
      <c r="AO38" s="10">
        <f t="shared" si="12"/>
        <v>116.39108457248939</v>
      </c>
      <c r="AP38" s="10">
        <f t="shared" si="13"/>
        <v>2.1627295761987546</v>
      </c>
      <c r="AQ38" s="10">
        <f t="shared" si="14"/>
        <v>123.91527694430582</v>
      </c>
      <c r="AR38" s="10">
        <f t="shared" si="15"/>
        <v>41.318394302280772</v>
      </c>
      <c r="AS38" s="10">
        <f t="shared" si="16"/>
        <v>71.228581644553856</v>
      </c>
      <c r="AT38" s="10">
        <f t="shared" si="17"/>
        <v>74.763332820518571</v>
      </c>
    </row>
    <row r="39" spans="25:46" x14ac:dyDescent="0.25">
      <c r="Y39" s="10">
        <v>37</v>
      </c>
      <c r="Z39" s="10">
        <f t="shared" si="7"/>
        <v>12.882495516931341</v>
      </c>
      <c r="AA39" s="10" t="str">
        <f t="shared" si="8"/>
        <v>80.9431065517899i</v>
      </c>
      <c r="AC39" s="10">
        <f>1/(2*$T$3+$T$6*$T$2/('4. Boost Inductor'!$B$11*$T$3^2)*($T$5))</f>
        <v>0.20979859335038364</v>
      </c>
      <c r="AD39" s="10" t="str">
        <f t="shared" si="0"/>
        <v>0.393560705574655-0.48752858853611i</v>
      </c>
      <c r="AE39" s="10" t="str">
        <f t="shared" si="1"/>
        <v>0.999999999793524-0.0000424912765112864i</v>
      </c>
      <c r="AF39" s="10" t="str">
        <f t="shared" si="9"/>
        <v>18.871802579028-23.3797304027595i</v>
      </c>
      <c r="AG39" s="10">
        <f t="shared" si="10"/>
        <v>30.045910308851099</v>
      </c>
      <c r="AH39" s="10">
        <f t="shared" si="2"/>
        <v>-0.89168871264259397</v>
      </c>
      <c r="AI39" s="10">
        <f t="shared" si="3"/>
        <v>-51.089999873874291</v>
      </c>
      <c r="AJ39" s="10">
        <f t="shared" si="4"/>
        <v>29.555707329655743</v>
      </c>
      <c r="AL39" s="10" t="str">
        <f t="shared" si="5"/>
        <v>0.275237874756593-0.432438322799075i</v>
      </c>
      <c r="AM39" s="10" t="str">
        <f t="shared" si="6"/>
        <v>0.999982965039006-0.00410720656365653i</v>
      </c>
      <c r="AN39" s="10" t="str">
        <f t="shared" si="11"/>
        <v>-59.0667276756288+93.6492656475343i</v>
      </c>
      <c r="AO39" s="10">
        <f t="shared" si="12"/>
        <v>110.72065423681953</v>
      </c>
      <c r="AP39" s="10">
        <f t="shared" si="13"/>
        <v>2.1335003382868942</v>
      </c>
      <c r="AQ39" s="10">
        <f t="shared" si="14"/>
        <v>122.24056497357245</v>
      </c>
      <c r="AR39" s="10">
        <f t="shared" si="15"/>
        <v>40.884572866422928</v>
      </c>
      <c r="AS39" s="10">
        <f t="shared" si="16"/>
        <v>70.440280196078675</v>
      </c>
      <c r="AT39" s="10">
        <f t="shared" si="17"/>
        <v>71.150565099698156</v>
      </c>
    </row>
    <row r="40" spans="25:46" x14ac:dyDescent="0.25">
      <c r="Y40" s="10">
        <v>38</v>
      </c>
      <c r="Z40" s="10">
        <f t="shared" si="7"/>
        <v>13.803842646028851</v>
      </c>
      <c r="AA40" s="10" t="str">
        <f t="shared" si="8"/>
        <v>86.7321012961475i</v>
      </c>
      <c r="AC40" s="10">
        <f>1/(2*$T$3+$T$6*$T$2/('4. Boost Inductor'!$B$11*$T$3^2)*($T$5))</f>
        <v>0.20979859335038364</v>
      </c>
      <c r="AD40" s="10" t="str">
        <f t="shared" si="0"/>
        <v>0.361201638667772-0.479265919281786i</v>
      </c>
      <c r="AE40" s="10" t="str">
        <f t="shared" si="1"/>
        <v>0.999999999762933-0.0000455302230868649i</v>
      </c>
      <c r="AF40" s="10" t="str">
        <f t="shared" si="9"/>
        <v>17.3200040360256-22.9834893586648i</v>
      </c>
      <c r="AG40" s="10">
        <f t="shared" si="10"/>
        <v>28.778869382027526</v>
      </c>
      <c r="AH40" s="10">
        <f t="shared" si="2"/>
        <v>-0.92500500741816616</v>
      </c>
      <c r="AI40" s="10">
        <f t="shared" si="3"/>
        <v>-52.99888295352833</v>
      </c>
      <c r="AJ40" s="10">
        <f t="shared" si="4"/>
        <v>29.181474561440716</v>
      </c>
      <c r="AL40" s="10" t="str">
        <f t="shared" si="5"/>
        <v>0.249823982028319-0.417726339899762i</v>
      </c>
      <c r="AM40" s="10" t="str">
        <f t="shared" si="6"/>
        <v>0.999980441297689-0.00440093990751951i</v>
      </c>
      <c r="AN40" s="10" t="str">
        <f t="shared" si="11"/>
        <v>-53.5638327715593+90.4646080901512i</v>
      </c>
      <c r="AO40" s="10">
        <f t="shared" si="12"/>
        <v>105.13291348614011</v>
      </c>
      <c r="AP40" s="10">
        <f t="shared" si="13"/>
        <v>2.1053846115395278</v>
      </c>
      <c r="AQ40" s="10">
        <f t="shared" si="14"/>
        <v>120.62965249300527</v>
      </c>
      <c r="AR40" s="10">
        <f t="shared" si="15"/>
        <v>40.434773998524037</v>
      </c>
      <c r="AS40" s="10">
        <f t="shared" si="16"/>
        <v>69.61624855996476</v>
      </c>
      <c r="AT40" s="10">
        <f t="shared" si="17"/>
        <v>67.630769539476944</v>
      </c>
    </row>
    <row r="41" spans="25:46" x14ac:dyDescent="0.25">
      <c r="Y41" s="10">
        <v>39</v>
      </c>
      <c r="Z41" s="10">
        <f t="shared" si="7"/>
        <v>14.791083881682074</v>
      </c>
      <c r="AA41" s="10" t="str">
        <f t="shared" si="8"/>
        <v>92.9351209226456i</v>
      </c>
      <c r="AC41" s="10">
        <f>1/(2*$T$3+$T$6*$T$2/('4. Boost Inductor'!$B$11*$T$3^2)*($T$5))</f>
        <v>0.20979859335038364</v>
      </c>
      <c r="AD41" s="10" t="str">
        <f t="shared" si="0"/>
        <v>0.330067285895719-0.469076784742489i</v>
      </c>
      <c r="AE41" s="10" t="str">
        <f t="shared" si="1"/>
        <v>0.999999999727811-0.0000487865130103743i</v>
      </c>
      <c r="AF41" s="10" t="str">
        <f t="shared" si="9"/>
        <v>15.8269373969893-22.4948635284566i</v>
      </c>
      <c r="AG41" s="10">
        <f t="shared" si="10"/>
        <v>27.504742000827882</v>
      </c>
      <c r="AH41" s="10">
        <f t="shared" si="2"/>
        <v>-0.95767167756170324</v>
      </c>
      <c r="AI41" s="10">
        <f t="shared" si="3"/>
        <v>-54.870545283499013</v>
      </c>
      <c r="AJ41" s="10">
        <f t="shared" si="4"/>
        <v>28.78815151097125</v>
      </c>
      <c r="AL41" s="10" t="str">
        <f t="shared" si="5"/>
        <v>0.226191507729358-0.402126020547238i</v>
      </c>
      <c r="AM41" s="10" t="str">
        <f t="shared" si="6"/>
        <v>0.99997754367082-0.00471567827343318i</v>
      </c>
      <c r="AN41" s="10" t="str">
        <f t="shared" si="11"/>
        <v>-48.4466683737872+87.087665516742i</v>
      </c>
      <c r="AO41" s="10">
        <f t="shared" si="12"/>
        <v>99.656114522269277</v>
      </c>
      <c r="AP41" s="10">
        <f t="shared" si="13"/>
        <v>2.0784617659411699</v>
      </c>
      <c r="AQ41" s="10">
        <f t="shared" si="14"/>
        <v>119.08708706773699</v>
      </c>
      <c r="AR41" s="10">
        <f t="shared" si="15"/>
        <v>39.97007901041674</v>
      </c>
      <c r="AS41" s="10">
        <f t="shared" si="16"/>
        <v>68.758230521387986</v>
      </c>
      <c r="AT41" s="10">
        <f t="shared" si="17"/>
        <v>64.216541784237975</v>
      </c>
    </row>
    <row r="42" spans="25:46" x14ac:dyDescent="0.25">
      <c r="Y42" s="10">
        <v>40</v>
      </c>
      <c r="Z42" s="10">
        <f t="shared" si="7"/>
        <v>15.848931924611136</v>
      </c>
      <c r="AA42" s="10" t="str">
        <f t="shared" si="8"/>
        <v>99.5817762032062i</v>
      </c>
      <c r="AC42" s="10">
        <f>1/(2*$T$3+$T$6*$T$2/('4. Boost Inductor'!$B$11*$T$3^2)*($T$5))</f>
        <v>0.20979859335038364</v>
      </c>
      <c r="AD42" s="10" t="str">
        <f t="shared" si="0"/>
        <v>0.300368020949899-0.457174928943011i</v>
      </c>
      <c r="AE42" s="10" t="str">
        <f t="shared" si="1"/>
        <v>0.999999999687485-0.0000522756905271013i</v>
      </c>
      <c r="AF42" s="10" t="str">
        <f t="shared" si="9"/>
        <v>14.4026912589959-21.9241031367892i</v>
      </c>
      <c r="AG42" s="10">
        <f t="shared" si="10"/>
        <v>26.231732955611736</v>
      </c>
      <c r="AH42" s="10">
        <f t="shared" si="2"/>
        <v>-0.98956194426159538</v>
      </c>
      <c r="AI42" s="10">
        <f t="shared" si="3"/>
        <v>-56.697722972949428</v>
      </c>
      <c r="AJ42" s="10">
        <f t="shared" si="4"/>
        <v>28.376539649549311</v>
      </c>
      <c r="AL42" s="10" t="str">
        <f t="shared" si="5"/>
        <v>0.204361090742724-0.385873272131858i</v>
      </c>
      <c r="AM42" s="10" t="str">
        <f t="shared" si="6"/>
        <v>0.999974216770949-0.00505292333131378i</v>
      </c>
      <c r="AN42" s="10" t="str">
        <f t="shared" si="11"/>
        <v>-43.719703256353+83.5695239032061i</v>
      </c>
      <c r="AO42" s="10">
        <f t="shared" si="12"/>
        <v>94.314780274525901</v>
      </c>
      <c r="AP42" s="10">
        <f t="shared" si="13"/>
        <v>2.0527948374239724</v>
      </c>
      <c r="AQ42" s="10">
        <f t="shared" si="14"/>
        <v>117.61648039063759</v>
      </c>
      <c r="AR42" s="10">
        <f t="shared" si="15"/>
        <v>39.491595146087867</v>
      </c>
      <c r="AS42" s="10">
        <f t="shared" si="16"/>
        <v>67.868134795637175</v>
      </c>
      <c r="AT42" s="10">
        <f t="shared" si="17"/>
        <v>60.918757417688163</v>
      </c>
    </row>
    <row r="43" spans="25:46" x14ac:dyDescent="0.25">
      <c r="Y43" s="10">
        <v>41</v>
      </c>
      <c r="Z43" s="10">
        <f t="shared" si="7"/>
        <v>16.982436524617441</v>
      </c>
      <c r="AA43" s="10" t="str">
        <f t="shared" si="8"/>
        <v>106.703795651586i</v>
      </c>
      <c r="AC43" s="10">
        <f>1/(2*$T$3+$T$6*$T$2/('4. Boost Inductor'!$B$11*$T$3^2)*($T$5))</f>
        <v>0.20979859335038364</v>
      </c>
      <c r="AD43" s="10" t="str">
        <f t="shared" si="0"/>
        <v>0.272269390175686-0.443796013244082i</v>
      </c>
      <c r="AE43" s="10" t="str">
        <f t="shared" si="1"/>
        <v>0.999999999641185-0.0000560144115959652i</v>
      </c>
      <c r="AF43" s="10" t="str">
        <f t="shared" si="9"/>
        <v>13.0552044967443-21.2825094674486i</v>
      </c>
      <c r="AG43" s="10">
        <f t="shared" si="10"/>
        <v>24.967650543930883</v>
      </c>
      <c r="AH43" s="10">
        <f t="shared" si="2"/>
        <v>-1.0205645838927591</v>
      </c>
      <c r="AI43" s="10">
        <f t="shared" si="3"/>
        <v>-58.474043377580131</v>
      </c>
      <c r="AJ43" s="10">
        <f t="shared" si="4"/>
        <v>27.947553543212351</v>
      </c>
      <c r="AL43" s="10" t="str">
        <f t="shared" si="5"/>
        <v>0.184318722670174-0.36918936181073i</v>
      </c>
      <c r="AM43" s="10" t="str">
        <f t="shared" si="6"/>
        <v>0.999970397006381-0.00541428401254621i</v>
      </c>
      <c r="AN43" s="10" t="str">
        <f t="shared" si="11"/>
        <v>-39.379903968589+79.9580995085752i</v>
      </c>
      <c r="AO43" s="10">
        <f t="shared" si="12"/>
        <v>89.129537828929116</v>
      </c>
      <c r="AP43" s="10">
        <f t="shared" si="13"/>
        <v>2.0284313890689467</v>
      </c>
      <c r="AQ43" s="10">
        <f t="shared" si="14"/>
        <v>116.22055762550968</v>
      </c>
      <c r="AR43" s="10">
        <f t="shared" si="15"/>
        <v>39.000433090891484</v>
      </c>
      <c r="AS43" s="10">
        <f t="shared" si="16"/>
        <v>66.947986634103842</v>
      </c>
      <c r="AT43" s="10">
        <f t="shared" si="17"/>
        <v>57.746514247929554</v>
      </c>
    </row>
    <row r="44" spans="25:46" x14ac:dyDescent="0.25">
      <c r="Y44" s="10">
        <v>42</v>
      </c>
      <c r="Z44" s="10">
        <f t="shared" si="7"/>
        <v>18.197008586099834</v>
      </c>
      <c r="AA44" s="10" t="str">
        <f t="shared" si="8"/>
        <v>114.335176982803i</v>
      </c>
      <c r="AC44" s="10">
        <f>1/(2*$T$3+$T$6*$T$2/('4. Boost Inductor'!$B$11*$T$3^2)*($T$5))</f>
        <v>0.20979859335038364</v>
      </c>
      <c r="AD44" s="10" t="str">
        <f t="shared" si="0"/>
        <v>0.245890915563725-0.429187363372001i</v>
      </c>
      <c r="AE44" s="10" t="str">
        <f t="shared" si="1"/>
        <v>0.999999999588025-0.0000600205233985083i</v>
      </c>
      <c r="AF44" s="10" t="str">
        <f t="shared" si="9"/>
        <v>11.7902088592825-20.5819431759897i</v>
      </c>
      <c r="AG44" s="10">
        <f t="shared" si="10"/>
        <v>23.719726175594282</v>
      </c>
      <c r="AH44" s="10">
        <f t="shared" si="2"/>
        <v>-1.0505850841307465</v>
      </c>
      <c r="AI44" s="10">
        <f t="shared" si="3"/>
        <v>-60.194091340088292</v>
      </c>
      <c r="AJ44" s="10">
        <f t="shared" si="4"/>
        <v>27.502193423090006</v>
      </c>
      <c r="AL44" s="10" t="str">
        <f t="shared" si="5"/>
        <v>0.166021383626921-0.352276440706447i</v>
      </c>
      <c r="AM44" s="10" t="str">
        <f t="shared" si="6"/>
        <v>0.999966011366198-0.00580148414972661i</v>
      </c>
      <c r="AN44" s="10" t="str">
        <f t="shared" si="11"/>
        <v>-35.4179551535631+76.2971697512209i</v>
      </c>
      <c r="AO44" s="10">
        <f t="shared" si="12"/>
        <v>84.117118705447979</v>
      </c>
      <c r="AP44" s="10">
        <f t="shared" si="13"/>
        <v>2.0054047484683659</v>
      </c>
      <c r="AQ44" s="10">
        <f t="shared" si="14"/>
        <v>114.90122830273179</v>
      </c>
      <c r="AR44" s="10">
        <f t="shared" si="15"/>
        <v>38.497687764414152</v>
      </c>
      <c r="AS44" s="10">
        <f t="shared" si="16"/>
        <v>65.999881187504158</v>
      </c>
      <c r="AT44" s="10">
        <f t="shared" si="17"/>
        <v>54.707136962643503</v>
      </c>
    </row>
    <row r="45" spans="25:46" x14ac:dyDescent="0.25">
      <c r="Y45" s="10">
        <v>43</v>
      </c>
      <c r="Z45" s="10">
        <f t="shared" si="7"/>
        <v>19.498445997580447</v>
      </c>
      <c r="AA45" s="10" t="str">
        <f t="shared" si="8"/>
        <v>122.512349404832i</v>
      </c>
      <c r="AC45" s="10">
        <f>1/(2*$T$3+$T$6*$T$2/('4. Boost Inductor'!$B$11*$T$3^2)*($T$5))</f>
        <v>0.20979859335038364</v>
      </c>
      <c r="AD45" s="10" t="str">
        <f t="shared" si="0"/>
        <v>0.221307336071753-0.413598387711874i</v>
      </c>
      <c r="AE45" s="10" t="str">
        <f t="shared" si="1"/>
        <v>0.999999999526989-0.0000643131495343125i</v>
      </c>
      <c r="AF45" s="10" t="str">
        <f t="shared" si="9"/>
        <v>10.6112884983432-19.8343647932242i</v>
      </c>
      <c r="AG45" s="10">
        <f t="shared" si="10"/>
        <v>22.494476440801247</v>
      </c>
      <c r="AH45" s="10">
        <f t="shared" si="2"/>
        <v>-1.0795461099001751</v>
      </c>
      <c r="AI45" s="10">
        <f t="shared" si="3"/>
        <v>-61.853435887046174</v>
      </c>
      <c r="AJ45" s="10">
        <f t="shared" si="4"/>
        <v>27.041517788202796</v>
      </c>
      <c r="AL45" s="10" t="str">
        <f t="shared" si="5"/>
        <v>0.149402902116869-0.335314690756703i</v>
      </c>
      <c r="AM45" s="10" t="str">
        <f t="shared" si="6"/>
        <v>0.999960976025446-0.00621637065553717i</v>
      </c>
      <c r="AN45" s="10" t="str">
        <f t="shared" si="11"/>
        <v>-31.8195283862508+72.625755440444i</v>
      </c>
      <c r="AO45" s="10">
        <f t="shared" si="12"/>
        <v>79.29049589968902</v>
      </c>
      <c r="AP45" s="10">
        <f t="shared" si="13"/>
        <v>1.9837355040273754</v>
      </c>
      <c r="AQ45" s="10">
        <f t="shared" si="14"/>
        <v>113.65967205102572</v>
      </c>
      <c r="AR45" s="10">
        <f t="shared" si="15"/>
        <v>37.984422680605469</v>
      </c>
      <c r="AS45" s="10">
        <f t="shared" si="16"/>
        <v>65.025940468808272</v>
      </c>
      <c r="AT45" s="10">
        <f t="shared" si="17"/>
        <v>51.806236163979548</v>
      </c>
    </row>
    <row r="46" spans="25:46" x14ac:dyDescent="0.25">
      <c r="Y46" s="10">
        <v>44</v>
      </c>
      <c r="Z46" s="10">
        <f t="shared" si="7"/>
        <v>20.892961308540382</v>
      </c>
      <c r="AA46" s="10" t="str">
        <f t="shared" si="8"/>
        <v>131.274347517293i</v>
      </c>
      <c r="AC46" s="10">
        <f>1/(2*$T$3+$T$6*$T$2/('4. Boost Inductor'!$B$11*$T$3^2)*($T$5))</f>
        <v>0.20979859335038364</v>
      </c>
      <c r="AD46" s="10" t="str">
        <f t="shared" si="0"/>
        <v>0.198551835977966-0.397272215409195i</v>
      </c>
      <c r="AE46" s="10" t="str">
        <f t="shared" si="1"/>
        <v>0.999999999456911-0.0000689127813095347i</v>
      </c>
      <c r="AF46" s="10" t="str">
        <f t="shared" si="9"/>
        <v>9.52003478597349-19.0514337253529i</v>
      </c>
      <c r="AG46" s="10">
        <f t="shared" si="10"/>
        <v>21.29760994378616</v>
      </c>
      <c r="AH46" s="10">
        <f t="shared" si="2"/>
        <v>-1.1073873456948795</v>
      </c>
      <c r="AI46" s="10">
        <f t="shared" si="3"/>
        <v>-63.44862119451129</v>
      </c>
      <c r="AJ46" s="10">
        <f t="shared" si="4"/>
        <v>26.566617377257955</v>
      </c>
      <c r="AL46" s="10" t="str">
        <f t="shared" si="5"/>
        <v>0.134379652632904-0.318460916712219i</v>
      </c>
      <c r="AM46" s="10" t="str">
        <f t="shared" si="6"/>
        <v>0.999955194743876-0.00666092227764203i</v>
      </c>
      <c r="AN46" s="10" t="str">
        <f t="shared" si="11"/>
        <v>-28.566515873548+68.9778159288115i</v>
      </c>
      <c r="AO46" s="10">
        <f t="shared" si="12"/>
        <v>74.659124823846341</v>
      </c>
      <c r="AP46" s="10">
        <f t="shared" si="13"/>
        <v>1.9634331518576216</v>
      </c>
      <c r="AQ46" s="10">
        <f t="shared" si="14"/>
        <v>112.49643295751058</v>
      </c>
      <c r="AR46" s="10">
        <f t="shared" si="15"/>
        <v>37.461657893857165</v>
      </c>
      <c r="AS46" s="10">
        <f t="shared" si="16"/>
        <v>64.02827527111512</v>
      </c>
      <c r="AT46" s="10">
        <f t="shared" si="17"/>
        <v>49.047811762999288</v>
      </c>
    </row>
    <row r="47" spans="25:46" x14ac:dyDescent="0.25">
      <c r="Y47" s="10">
        <v>45</v>
      </c>
      <c r="Z47" s="10">
        <f t="shared" si="7"/>
        <v>22.387211385683386</v>
      </c>
      <c r="AA47" s="10" t="str">
        <f t="shared" si="8"/>
        <v>140.662997647249i</v>
      </c>
      <c r="AC47" s="10">
        <f>1/(2*$T$3+$T$6*$T$2/('4. Boost Inductor'!$B$11*$T$3^2)*($T$5))</f>
        <v>0.20979859335038364</v>
      </c>
      <c r="AD47" s="10" t="str">
        <f t="shared" si="0"/>
        <v>0.177620716207035-0.380438898489699i</v>
      </c>
      <c r="AE47" s="10" t="str">
        <f t="shared" si="1"/>
        <v>0.99999999937645-0.0000738413755543331i</v>
      </c>
      <c r="AF47" s="10" t="str">
        <f t="shared" si="9"/>
        <v>8.51627033078808-18.2441822575362i</v>
      </c>
      <c r="AG47" s="10">
        <f t="shared" si="10"/>
        <v>20.133977416130673</v>
      </c>
      <c r="AH47" s="10">
        <f t="shared" si="2"/>
        <v>-1.134064811751466</v>
      </c>
      <c r="AI47" s="10">
        <f t="shared" si="3"/>
        <v>-64.977127407657207</v>
      </c>
      <c r="AJ47" s="10">
        <f t="shared" si="4"/>
        <v>26.078591542728656</v>
      </c>
      <c r="AL47" s="10" t="str">
        <f t="shared" si="5"/>
        <v>0.120855810488058-0.301848341897141i</v>
      </c>
      <c r="AM47" s="10" t="str">
        <f t="shared" si="6"/>
        <v>0.999948557027751-0.00713725896874591i</v>
      </c>
      <c r="AN47" s="10" t="str">
        <f t="shared" si="11"/>
        <v>-25.638168280438+65.3822049179368i</v>
      </c>
      <c r="AO47" s="10">
        <f t="shared" si="12"/>
        <v>70.229255960085013</v>
      </c>
      <c r="AP47" s="10">
        <f t="shared" si="13"/>
        <v>1.9444977998479933</v>
      </c>
      <c r="AQ47" s="10">
        <f t="shared" si="14"/>
        <v>111.41151720376432</v>
      </c>
      <c r="AR47" s="10">
        <f t="shared" si="15"/>
        <v>36.930361346642385</v>
      </c>
      <c r="AS47" s="10">
        <f t="shared" si="16"/>
        <v>63.008952889371045</v>
      </c>
      <c r="AT47" s="10">
        <f t="shared" si="17"/>
        <v>46.434389796107112</v>
      </c>
    </row>
    <row r="48" spans="25:46" x14ac:dyDescent="0.25">
      <c r="Y48" s="10">
        <v>46</v>
      </c>
      <c r="Z48" s="10">
        <f t="shared" si="7"/>
        <v>23.988329190194897</v>
      </c>
      <c r="AA48" s="10" t="str">
        <f t="shared" si="8"/>
        <v>150.72311751162i</v>
      </c>
      <c r="AC48" s="10">
        <f>1/(2*$T$3+$T$6*$T$2/('4. Boost Inductor'!$B$11*$T$3^2)*($T$5))</f>
        <v>0.20979859335038364</v>
      </c>
      <c r="AD48" s="10" t="str">
        <f t="shared" si="0"/>
        <v>0.158478949959943-0.363310322956879i</v>
      </c>
      <c r="AE48" s="10" t="str">
        <f t="shared" si="1"/>
        <v>0.99999999928407-0.0000791224594361358i</v>
      </c>
      <c r="AF48" s="10" t="str">
        <f t="shared" si="9"/>
        <v>7.59831540154375-17.4227715125191i</v>
      </c>
      <c r="AG48" s="10">
        <f t="shared" si="10"/>
        <v>19.007560709327855</v>
      </c>
      <c r="AH48" s="10">
        <f t="shared" si="2"/>
        <v>-1.1595497683673723</v>
      </c>
      <c r="AI48" s="10">
        <f t="shared" si="3"/>
        <v>-66.437307862822649</v>
      </c>
      <c r="AJ48" s="10">
        <f t="shared" si="4"/>
        <v>25.578527725576432</v>
      </c>
      <c r="AL48" s="10" t="str">
        <f t="shared" si="5"/>
        <v>0.108727985915221-0.285587341956804i</v>
      </c>
      <c r="AM48" s="10" t="str">
        <f t="shared" si="6"/>
        <v>0.999940936019683-0.00764765191328567i</v>
      </c>
      <c r="AN48" s="10" t="str">
        <f t="shared" si="11"/>
        <v>-23.0120981479026+61.8628293693732i</v>
      </c>
      <c r="AO48" s="10">
        <f t="shared" si="12"/>
        <v>66.004290154147455</v>
      </c>
      <c r="AP48" s="10">
        <f t="shared" si="13"/>
        <v>1.926921853472622</v>
      </c>
      <c r="AQ48" s="10">
        <f t="shared" si="14"/>
        <v>110.40448965550728</v>
      </c>
      <c r="AR48" s="10">
        <f t="shared" si="15"/>
        <v>36.391443295600865</v>
      </c>
      <c r="AS48" s="10">
        <f t="shared" si="16"/>
        <v>61.969971021177301</v>
      </c>
      <c r="AT48" s="10">
        <f t="shared" si="17"/>
        <v>43.967181792684627</v>
      </c>
    </row>
    <row r="49" spans="25:46" x14ac:dyDescent="0.25">
      <c r="Y49" s="10">
        <v>47</v>
      </c>
      <c r="Z49" s="10">
        <f t="shared" si="7"/>
        <v>25.703957827688622</v>
      </c>
      <c r="AA49" s="10" t="str">
        <f t="shared" si="8"/>
        <v>161.502730159297i</v>
      </c>
      <c r="AC49" s="10">
        <f>1/(2*$T$3+$T$6*$T$2/('4. Boost Inductor'!$B$11*$T$3^2)*($T$5))</f>
        <v>0.20979859335038364</v>
      </c>
      <c r="AD49" s="10" t="str">
        <f t="shared" si="0"/>
        <v>0.14106611094591-0.34607680443721i</v>
      </c>
      <c r="AE49" s="10" t="str">
        <f t="shared" si="1"/>
        <v>0.999999999178001-0.0000847812427690717i</v>
      </c>
      <c r="AF49" s="10" t="str">
        <f t="shared" si="9"/>
        <v>6.76327221907193-16.5963281927558i</v>
      </c>
      <c r="AG49" s="10">
        <f t="shared" si="10"/>
        <v>17.921494373821933</v>
      </c>
      <c r="AH49" s="10">
        <f t="shared" si="2"/>
        <v>-1.1838273265991739</v>
      </c>
      <c r="AI49" s="10">
        <f t="shared" si="3"/>
        <v>-67.828309486387965</v>
      </c>
      <c r="AJ49" s="10">
        <f t="shared" si="4"/>
        <v>25.067484404787564</v>
      </c>
      <c r="AL49" s="10" t="str">
        <f t="shared" si="5"/>
        <v>0.0978891484646713-0.269766856610817i</v>
      </c>
      <c r="AM49" s="10" t="str">
        <f t="shared" si="6"/>
        <v>0.99993218607633-0.00819453425460749i</v>
      </c>
      <c r="AN49" s="10" t="str">
        <f t="shared" si="11"/>
        <v>-20.6651296375576+58.4389552266811i</v>
      </c>
      <c r="AO49" s="10">
        <f t="shared" si="12"/>
        <v>61.985152019843433</v>
      </c>
      <c r="AP49" s="10">
        <f t="shared" si="13"/>
        <v>1.9106916264507339</v>
      </c>
      <c r="AQ49" s="10">
        <f t="shared" si="14"/>
        <v>109.47456614661391</v>
      </c>
      <c r="AR49" s="10">
        <f t="shared" si="15"/>
        <v>35.845753413153759</v>
      </c>
      <c r="AS49" s="10">
        <f t="shared" si="16"/>
        <v>60.913237817941322</v>
      </c>
      <c r="AT49" s="10">
        <f t="shared" si="17"/>
        <v>41.646256660225944</v>
      </c>
    </row>
    <row r="50" spans="25:46" x14ac:dyDescent="0.25">
      <c r="Y50" s="10">
        <v>48</v>
      </c>
      <c r="Z50" s="10">
        <f t="shared" si="7"/>
        <v>27.542287033381651</v>
      </c>
      <c r="AA50" s="10" t="str">
        <f t="shared" si="8"/>
        <v>173.053293214266i</v>
      </c>
      <c r="AC50" s="10">
        <f>1/(2*$T$3+$T$6*$T$2/('4. Boost Inductor'!$B$11*$T$3^2)*($T$5))</f>
        <v>0.20979859335038364</v>
      </c>
      <c r="AD50" s="10" t="str">
        <f t="shared" si="0"/>
        <v>0.12530224944611-0.328905218036203i</v>
      </c>
      <c r="AE50" s="10" t="str">
        <f t="shared" si="1"/>
        <v>0.99999999905622-0.0000908447383557066i</v>
      </c>
      <c r="AF50" s="10" t="str">
        <f t="shared" si="9"/>
        <v>6.00730674645345-15.7728548965404i</v>
      </c>
      <c r="AG50" s="10">
        <f t="shared" si="10"/>
        <v>16.878112629476778</v>
      </c>
      <c r="AH50" s="10">
        <f t="shared" si="2"/>
        <v>-1.2068948772594044</v>
      </c>
      <c r="AI50" s="10">
        <f t="shared" si="3"/>
        <v>-69.149982782923388</v>
      </c>
      <c r="AJ50" s="10">
        <f t="shared" si="4"/>
        <v>24.546477613054218</v>
      </c>
      <c r="AL50" s="10" t="str">
        <f t="shared" si="5"/>
        <v>0.0882318230999476-0.254456245322097i</v>
      </c>
      <c r="AM50" s="10" t="str">
        <f t="shared" si="6"/>
        <v>0.999922139987876-0.00878051256890699i</v>
      </c>
      <c r="AN50" s="10" t="str">
        <f t="shared" si="11"/>
        <v>-18.5739905755103+55.1256092612909i</v>
      </c>
      <c r="AO50" s="10">
        <f t="shared" si="12"/>
        <v>58.170662041338907</v>
      </c>
      <c r="AP50" s="10">
        <f t="shared" si="13"/>
        <v>1.8957888367383855</v>
      </c>
      <c r="AQ50" s="10">
        <f t="shared" si="14"/>
        <v>108.62069919312536</v>
      </c>
      <c r="AR50" s="10">
        <f t="shared" si="15"/>
        <v>35.294080130794285</v>
      </c>
      <c r="AS50" s="10">
        <f t="shared" si="16"/>
        <v>59.840557743848507</v>
      </c>
      <c r="AT50" s="10">
        <f t="shared" si="17"/>
        <v>39.470716410201973</v>
      </c>
    </row>
    <row r="51" spans="25:46" x14ac:dyDescent="0.25">
      <c r="Y51" s="10">
        <v>49</v>
      </c>
      <c r="Z51" s="10">
        <f t="shared" si="7"/>
        <v>29.512092266663849</v>
      </c>
      <c r="AA51" s="10" t="str">
        <f t="shared" si="8"/>
        <v>185.429944514031i</v>
      </c>
      <c r="AC51" s="10">
        <f>1/(2*$T$3+$T$6*$T$2/('4. Boost Inductor'!$B$11*$T$3^2)*($T$5))</f>
        <v>0.20979859335038364</v>
      </c>
      <c r="AD51" s="10" t="str">
        <f t="shared" si="0"/>
        <v>0.111093396986136-0.31193843298671i</v>
      </c>
      <c r="AE51" s="10" t="str">
        <f t="shared" si="1"/>
        <v>0.999999998916396-0.0000973418909355317i</v>
      </c>
      <c r="AF51" s="10" t="str">
        <f t="shared" si="9"/>
        <v>5.32591266890181-14.9592030062352i</v>
      </c>
      <c r="AG51" s="10">
        <f t="shared" si="10"/>
        <v>15.879014463704131</v>
      </c>
      <c r="AH51" s="10">
        <f t="shared" si="2"/>
        <v>-1.2287604367264995</v>
      </c>
      <c r="AI51" s="10">
        <f t="shared" si="3"/>
        <v>-70.402787057080261</v>
      </c>
      <c r="AJ51" s="10">
        <f t="shared" si="4"/>
        <v>24.016470885930971</v>
      </c>
      <c r="AL51" s="10" t="str">
        <f t="shared" si="5"/>
        <v>0.0796505900912287-0.239707389694327i</v>
      </c>
      <c r="AM51" s="10" t="str">
        <f t="shared" si="6"/>
        <v>0.999910605786412-0.00940837913463809i</v>
      </c>
      <c r="AN51" s="10" t="str">
        <f t="shared" si="11"/>
        <v>-16.7158537457214+51.9340343451717i</v>
      </c>
      <c r="AO51" s="10">
        <f t="shared" si="12"/>
        <v>54.557893011129217</v>
      </c>
      <c r="AP51" s="10">
        <f t="shared" si="13"/>
        <v>1.8821919634208992</v>
      </c>
      <c r="AQ51" s="10">
        <f t="shared" si="14"/>
        <v>107.84165573745935</v>
      </c>
      <c r="AR51" s="10">
        <f t="shared" si="15"/>
        <v>34.73715179627154</v>
      </c>
      <c r="AS51" s="10">
        <f t="shared" si="16"/>
        <v>58.753622682202511</v>
      </c>
      <c r="AT51" s="10">
        <f t="shared" si="17"/>
        <v>37.438868680379088</v>
      </c>
    </row>
    <row r="52" spans="25:46" x14ac:dyDescent="0.25">
      <c r="Y52" s="10">
        <v>50</v>
      </c>
      <c r="Z52" s="10">
        <f t="shared" si="7"/>
        <v>31.622776601683789</v>
      </c>
      <c r="AA52" s="10" t="str">
        <f t="shared" si="8"/>
        <v>198.691765315922i</v>
      </c>
      <c r="AC52" s="10">
        <f>1/(2*$T$3+$T$6*$T$2/('4. Boost Inductor'!$B$11*$T$3^2)*($T$5))</f>
        <v>0.20979859335038364</v>
      </c>
      <c r="AD52" s="10" t="str">
        <f t="shared" si="0"/>
        <v>0.098336487009957-0.295295786130755i</v>
      </c>
      <c r="AE52" s="10" t="str">
        <f t="shared" si="1"/>
        <v>0.999999998755856-0.00010430371535576i</v>
      </c>
      <c r="AF52" s="10" t="str">
        <f t="shared" si="9"/>
        <v>4.71414736764658-14.1610953943885i</v>
      </c>
      <c r="AG52" s="10">
        <f t="shared" si="10"/>
        <v>14.925140139136394</v>
      </c>
      <c r="AH52" s="10">
        <f t="shared" si="2"/>
        <v>-1.2494409907199768</v>
      </c>
      <c r="AI52" s="10">
        <f t="shared" si="3"/>
        <v>-71.587695518898926</v>
      </c>
      <c r="AJ52" s="10">
        <f t="shared" si="4"/>
        <v>23.478368352300031</v>
      </c>
      <c r="AL52" s="10" t="str">
        <f t="shared" si="5"/>
        <v>0.0720439534602268-0.225556886136058i</v>
      </c>
      <c r="AM52" s="10" t="str">
        <f t="shared" si="6"/>
        <v>0.999897363082597-0.0100811250485002i</v>
      </c>
      <c r="AN52" s="10" t="str">
        <f t="shared" si="11"/>
        <v>-15.0687414539074+48.8721642716996i</v>
      </c>
      <c r="AO52" s="10">
        <f t="shared" si="12"/>
        <v>51.142501010458005</v>
      </c>
      <c r="AP52" s="10">
        <f t="shared" si="13"/>
        <v>1.869877452372904</v>
      </c>
      <c r="AQ52" s="10">
        <f t="shared" si="14"/>
        <v>107.136086227642</v>
      </c>
      <c r="AR52" s="10">
        <f t="shared" si="15"/>
        <v>34.175639248339834</v>
      </c>
      <c r="AS52" s="10">
        <f t="shared" si="16"/>
        <v>57.654007600639865</v>
      </c>
      <c r="AT52" s="10">
        <f t="shared" si="17"/>
        <v>35.548390708743071</v>
      </c>
    </row>
    <row r="53" spans="25:46" x14ac:dyDescent="0.25">
      <c r="Y53" s="10">
        <v>51</v>
      </c>
      <c r="Z53" s="10">
        <f t="shared" si="7"/>
        <v>33.884415613920254</v>
      </c>
      <c r="AA53" s="10" t="str">
        <f t="shared" si="8"/>
        <v>212.90206232775i</v>
      </c>
      <c r="AC53" s="10">
        <f>1/(2*$T$3+$T$6*$T$2/('4. Boost Inductor'!$B$11*$T$3^2)*($T$5))</f>
        <v>0.20979859335038364</v>
      </c>
      <c r="AD53" s="10" t="str">
        <f t="shared" si="0"/>
        <v>0.0869235744873501-0.279074325582294i</v>
      </c>
      <c r="AE53" s="10" t="str">
        <f t="shared" si="1"/>
        <v>0.999999998571531-0.000111763444624014i</v>
      </c>
      <c r="AF53" s="10" t="str">
        <f t="shared" si="9"/>
        <v>4.16683427374917-13.3831860643422i</v>
      </c>
      <c r="AG53" s="10">
        <f t="shared" si="10"/>
        <v>14.016853323684813</v>
      </c>
      <c r="AH53" s="10">
        <f t="shared" si="2"/>
        <v>-1.2689608985300138</v>
      </c>
      <c r="AI53" s="10">
        <f t="shared" si="3"/>
        <v>-72.706103852898508</v>
      </c>
      <c r="AJ53" s="10">
        <f t="shared" si="4"/>
        <v>22.933010575690702</v>
      </c>
      <c r="AL53" s="10" t="str">
        <f t="shared" si="5"/>
        <v>0.0653156604147481-0.212028211845543i</v>
      </c>
      <c r="AM53" s="10" t="str">
        <f t="shared" si="6"/>
        <v>0.999882158861063-0.0108019542414417i</v>
      </c>
      <c r="AN53" s="10" t="str">
        <f t="shared" si="11"/>
        <v>-13.6118112121478+45.9450928025183i</v>
      </c>
      <c r="AO53" s="10">
        <f t="shared" si="12"/>
        <v>47.91902500163345</v>
      </c>
      <c r="AP53" s="10">
        <f t="shared" si="13"/>
        <v>1.8588207679760873</v>
      </c>
      <c r="AQ53" s="10">
        <f t="shared" si="14"/>
        <v>106.50258487629625</v>
      </c>
      <c r="AR53" s="10">
        <f t="shared" si="15"/>
        <v>33.610159459445541</v>
      </c>
      <c r="AS53" s="10">
        <f t="shared" si="16"/>
        <v>56.543170035136242</v>
      </c>
      <c r="AT53" s="10">
        <f t="shared" si="17"/>
        <v>33.796481023397746</v>
      </c>
    </row>
    <row r="54" spans="25:46" x14ac:dyDescent="0.25">
      <c r="Y54" s="10">
        <v>52</v>
      </c>
      <c r="Z54" s="10">
        <f t="shared" si="7"/>
        <v>36.307805477010106</v>
      </c>
      <c r="AA54" s="10" t="str">
        <f t="shared" si="8"/>
        <v>228.128669909084i</v>
      </c>
      <c r="AC54" s="10">
        <f>1/(2*$T$3+$T$6*$T$2/('4. Boost Inductor'!$B$11*$T$3^2)*($T$5))</f>
        <v>0.20979859335038364</v>
      </c>
      <c r="AD54" s="10" t="str">
        <f t="shared" si="0"/>
        <v>0.0767453151372182-0.263350576838852i</v>
      </c>
      <c r="AE54" s="10" t="str">
        <f t="shared" si="1"/>
        <v>0.999999998359898-0.000119756688549628i</v>
      </c>
      <c r="AF54" s="10" t="str">
        <f t="shared" si="9"/>
        <v>3.67872971635254-12.6291448451918i</v>
      </c>
      <c r="AG54" s="10">
        <f t="shared" si="10"/>
        <v>13.154024169310691</v>
      </c>
      <c r="AH54" s="10">
        <f t="shared" si="2"/>
        <v>-1.2873504022172837</v>
      </c>
      <c r="AI54" s="10">
        <f t="shared" si="3"/>
        <v>-73.759744801519332</v>
      </c>
      <c r="AJ54" s="10">
        <f t="shared" si="4"/>
        <v>22.381172710003476</v>
      </c>
      <c r="AL54" s="10" t="str">
        <f t="shared" si="5"/>
        <v>0.0593755604857427-0.199133782412135i</v>
      </c>
      <c r="AM54" s="10" t="str">
        <f t="shared" si="6"/>
        <v>0.999864702654847-0.0115742984503037i</v>
      </c>
      <c r="AN54" s="10" t="str">
        <f t="shared" si="11"/>
        <v>-12.3255417529871+43.1555192491162i</v>
      </c>
      <c r="AO54" s="10">
        <f t="shared" si="12"/>
        <v>44.881152181795279</v>
      </c>
      <c r="AP54" s="10">
        <f t="shared" si="13"/>
        <v>1.848997294929517</v>
      </c>
      <c r="AQ54" s="10">
        <f t="shared" si="14"/>
        <v>105.93974133056726</v>
      </c>
      <c r="AR54" s="10">
        <f t="shared" si="15"/>
        <v>33.041279950600632</v>
      </c>
      <c r="AS54" s="10">
        <f t="shared" si="16"/>
        <v>55.422452660604108</v>
      </c>
      <c r="AT54" s="10">
        <f t="shared" si="17"/>
        <v>32.179996529047926</v>
      </c>
    </row>
    <row r="55" spans="25:46" x14ac:dyDescent="0.25">
      <c r="Y55" s="10">
        <v>53</v>
      </c>
      <c r="Z55" s="10">
        <f t="shared" si="7"/>
        <v>38.904514499428039</v>
      </c>
      <c r="AA55" s="10" t="str">
        <f t="shared" si="8"/>
        <v>244.444273885761i</v>
      </c>
      <c r="AC55" s="10">
        <f>1/(2*$T$3+$T$6*$T$2/('4. Boost Inductor'!$B$11*$T$3^2)*($T$5))</f>
        <v>0.20979859335038364</v>
      </c>
      <c r="AD55" s="10" t="str">
        <f t="shared" si="0"/>
        <v>0.0676937226930352-0.248182618452674i</v>
      </c>
      <c r="AE55" s="10" t="str">
        <f t="shared" si="1"/>
        <v>0.999999998116911-0.000128321603730884i</v>
      </c>
      <c r="AF55" s="10" t="str">
        <f t="shared" si="9"/>
        <v>3.24465514900626-11.9017569318598i</v>
      </c>
      <c r="AG55" s="10">
        <f t="shared" si="10"/>
        <v>12.336109804190528</v>
      </c>
      <c r="AH55" s="10">
        <f t="shared" si="2"/>
        <v>-1.3046442693064055</v>
      </c>
      <c r="AI55" s="10">
        <f t="shared" si="3"/>
        <v>-74.750610397186207</v>
      </c>
      <c r="AJ55" s="10">
        <f t="shared" si="4"/>
        <v>21.823564527921356</v>
      </c>
      <c r="AL55" s="10" t="str">
        <f t="shared" si="5"/>
        <v>0.0541400913626844-0.186876848807563i</v>
      </c>
      <c r="AM55" s="10" t="str">
        <f t="shared" si="6"/>
        <v>0.999844661007473-0.0124018332027015i</v>
      </c>
      <c r="AN55" s="10" t="str">
        <f t="shared" si="11"/>
        <v>-11.191838210009+40.5041592806212i</v>
      </c>
      <c r="AO55" s="10">
        <f t="shared" si="12"/>
        <v>42.021948569157885</v>
      </c>
      <c r="AP55" s="10">
        <f t="shared" si="13"/>
        <v>1.8403830986073326</v>
      </c>
      <c r="AQ55" s="10">
        <f t="shared" si="14"/>
        <v>105.44618423740899</v>
      </c>
      <c r="AR55" s="10">
        <f t="shared" si="15"/>
        <v>32.469523737796621</v>
      </c>
      <c r="AS55" s="10">
        <f t="shared" si="16"/>
        <v>54.293088265717977</v>
      </c>
      <c r="AT55" s="10">
        <f t="shared" si="17"/>
        <v>30.695573840222778</v>
      </c>
    </row>
    <row r="56" spans="25:46" x14ac:dyDescent="0.25">
      <c r="Y56" s="10">
        <v>54</v>
      </c>
      <c r="Z56" s="10">
        <f t="shared" si="7"/>
        <v>41.686938347033525</v>
      </c>
      <c r="AA56" s="10" t="str">
        <f t="shared" si="8"/>
        <v>261.926758523382i</v>
      </c>
      <c r="AC56" s="10">
        <f>1/(2*$T$3+$T$6*$T$2/('4. Boost Inductor'!$B$11*$T$3^2)*($T$5))</f>
        <v>0.20979859335038364</v>
      </c>
      <c r="AD56" s="10" t="str">
        <f t="shared" si="0"/>
        <v>0.0596642613141183-0.233612295171555i</v>
      </c>
      <c r="AE56" s="10" t="str">
        <f t="shared" si="1"/>
        <v>0.999999997837925-0.000137499075699612i</v>
      </c>
      <c r="AF56" s="10" t="str">
        <f t="shared" si="9"/>
        <v>2.85959749250935-11.2030290176111i</v>
      </c>
      <c r="AG56" s="10">
        <f t="shared" si="10"/>
        <v>11.562229758511204</v>
      </c>
      <c r="AH56" s="10">
        <f t="shared" si="2"/>
        <v>-1.3208805841602036</v>
      </c>
      <c r="AI56" s="10">
        <f t="shared" si="3"/>
        <v>-75.680882713154404</v>
      </c>
      <c r="AJ56" s="10">
        <f t="shared" si="4"/>
        <v>21.260831903899323</v>
      </c>
      <c r="AL56" s="10" t="str">
        <f t="shared" si="5"/>
        <v>0.0495324716419069-0.175253204889353i</v>
      </c>
      <c r="AM56" s="10" t="str">
        <f t="shared" si="6"/>
        <v>0.999821651117972-0.0132884948743914i</v>
      </c>
      <c r="AN56" s="10" t="str">
        <f t="shared" si="11"/>
        <v>-10.1940738334717+37.9901147050912i</v>
      </c>
      <c r="AO56" s="10">
        <f t="shared" si="12"/>
        <v>39.334055939201839</v>
      </c>
      <c r="AP56" s="10">
        <f t="shared" si="13"/>
        <v>1.8329555549285468</v>
      </c>
      <c r="AQ56" s="10">
        <f t="shared" si="14"/>
        <v>105.02061733246546</v>
      </c>
      <c r="AR56" s="10">
        <f t="shared" si="15"/>
        <v>31.895374621657378</v>
      </c>
      <c r="AS56" s="10">
        <f t="shared" si="16"/>
        <v>53.156206525556698</v>
      </c>
      <c r="AT56" s="10">
        <f t="shared" si="17"/>
        <v>29.339734619311059</v>
      </c>
    </row>
    <row r="57" spans="25:46" x14ac:dyDescent="0.25">
      <c r="Y57" s="10">
        <v>55</v>
      </c>
      <c r="Z57" s="10">
        <f t="shared" si="7"/>
        <v>44.668359215096302</v>
      </c>
      <c r="AA57" s="10" t="str">
        <f t="shared" si="8"/>
        <v>280.659578316113i</v>
      </c>
      <c r="AC57" s="10">
        <f>1/(2*$T$3+$T$6*$T$2/('4. Boost Inductor'!$B$11*$T$3^2)*($T$5))</f>
        <v>0.20979859335038364</v>
      </c>
      <c r="AD57" s="10" t="str">
        <f t="shared" si="0"/>
        <v>0.0525573526356214-0.219667437415485i</v>
      </c>
      <c r="AE57" s="10" t="str">
        <f t="shared" si="1"/>
        <v>0.999999997517605-0.000147332914092659i</v>
      </c>
      <c r="AF57" s="10" t="str">
        <f t="shared" si="9"/>
        <v>2.5187814064003-10.5342957304078i</v>
      </c>
      <c r="AG57" s="10">
        <f t="shared" ref="AG57:AG120" si="18">IMABS(AF57)</f>
        <v>10.831234754584349</v>
      </c>
      <c r="AH57" s="10">
        <f t="shared" ref="AH57:AH120" si="19">IMARGUMENT(AF57)</f>
        <v>-1.3360996927413848</v>
      </c>
      <c r="AI57" s="10">
        <f t="shared" ref="AI57:AI120" si="20">AH57/(PI())*180</f>
        <v>-76.552873402807421</v>
      </c>
      <c r="AJ57" s="10">
        <f t="shared" ref="AJ57:AJ120" si="21">20*LOG(AG57,10)</f>
        <v>20.693559375415724</v>
      </c>
      <c r="AL57" s="10" t="str">
        <f t="shared" si="5"/>
        <v>0.0454826711588564-0.164252694109942i</v>
      </c>
      <c r="AM57" s="10" t="str">
        <f t="shared" si="6"/>
        <v>0.99979523354885-0.0142384988795782i</v>
      </c>
      <c r="AN57" s="10" t="str">
        <f t="shared" si="11"/>
        <v>-9.31708354305073+35.6111997762988i</v>
      </c>
      <c r="AO57" s="10">
        <f t="shared" si="12"/>
        <v>36.809857310992797</v>
      </c>
      <c r="AP57" s="10">
        <f t="shared" si="13"/>
        <v>1.8266938617159889</v>
      </c>
      <c r="AQ57" s="10">
        <f t="shared" si="14"/>
        <v>104.66184873878021</v>
      </c>
      <c r="AR57" s="10">
        <f t="shared" si="15"/>
        <v>31.31928267918676</v>
      </c>
      <c r="AS57" s="10">
        <f t="shared" si="16"/>
        <v>52.012842054602487</v>
      </c>
      <c r="AT57" s="10">
        <f t="shared" si="17"/>
        <v>28.108975335972787</v>
      </c>
    </row>
    <row r="58" spans="25:46" x14ac:dyDescent="0.25">
      <c r="Y58" s="10">
        <v>56</v>
      </c>
      <c r="Z58" s="10">
        <f t="shared" si="7"/>
        <v>47.863009232263813</v>
      </c>
      <c r="AA58" s="10" t="str">
        <f t="shared" si="8"/>
        <v>300.732156365561i</v>
      </c>
      <c r="AC58" s="10">
        <f>1/(2*$T$3+$T$6*$T$2/('4. Boost Inductor'!$B$11*$T$3^2)*($T$5))</f>
        <v>0.20979859335038364</v>
      </c>
      <c r="AD58" s="10" t="str">
        <f t="shared" si="0"/>
        <v>0.0462793865968254-0.206363993358993i</v>
      </c>
      <c r="AE58" s="10" t="str">
        <f t="shared" si="1"/>
        <v>0.99999999714983-0.000157870061781889i</v>
      </c>
      <c r="AF58" s="10" t="str">
        <f t="shared" si="9"/>
        <v>2.21771776383664-9.89632187821812i</v>
      </c>
      <c r="AG58" s="10">
        <f t="shared" si="18"/>
        <v>10.141768031134177</v>
      </c>
      <c r="AH58" s="10">
        <f t="shared" si="19"/>
        <v>-1.3503432977139804</v>
      </c>
      <c r="AI58" s="10">
        <f t="shared" si="20"/>
        <v>-77.368971852788704</v>
      </c>
      <c r="AJ58" s="10">
        <f t="shared" si="21"/>
        <v>20.122273457405065</v>
      </c>
      <c r="AL58" s="10" t="str">
        <f t="shared" si="5"/>
        <v>0.0419272189485615-0.153860516658282i</v>
      </c>
      <c r="AM58" s="10" t="str">
        <f t="shared" si="6"/>
        <v>0.999764903859617-0.0152563590552141i</v>
      </c>
      <c r="AN58" s="10" t="str">
        <f t="shared" si="11"/>
        <v>-8.54712231868444+33.3642242918428i</v>
      </c>
      <c r="AO58" s="10">
        <f t="shared" si="12"/>
        <v>34.441613820013529</v>
      </c>
      <c r="AP58" s="10">
        <f t="shared" si="13"/>
        <v>1.8215794434076542</v>
      </c>
      <c r="AQ58" s="10">
        <f t="shared" si="14"/>
        <v>104.36881415504818</v>
      </c>
      <c r="AR58" s="10">
        <f t="shared" si="15"/>
        <v>30.741669857203831</v>
      </c>
      <c r="AS58" s="10">
        <f t="shared" si="16"/>
        <v>50.863943314608896</v>
      </c>
      <c r="AT58" s="10">
        <f t="shared" si="17"/>
        <v>26.999842302259481</v>
      </c>
    </row>
    <row r="59" spans="25:46" x14ac:dyDescent="0.25">
      <c r="Y59" s="10">
        <v>57</v>
      </c>
      <c r="Z59" s="10">
        <f t="shared" si="7"/>
        <v>51.286138399136469</v>
      </c>
      <c r="AA59" s="10" t="str">
        <f t="shared" si="8"/>
        <v>322.240311251433i</v>
      </c>
      <c r="AC59" s="10">
        <f>1/(2*$T$3+$T$6*$T$2/('4. Boost Inductor'!$B$11*$T$3^2)*($T$5))</f>
        <v>0.20979859335038364</v>
      </c>
      <c r="AD59" s="10" t="str">
        <f t="shared" si="0"/>
        <v>0.0407433256601327-0.193708011770713i</v>
      </c>
      <c r="AE59" s="10" t="str">
        <f t="shared" si="1"/>
        <v>0.999999996727567-0.000169160818961026i</v>
      </c>
      <c r="AF59" s="10" t="str">
        <f t="shared" si="9"/>
        <v>1.95223262728065-9.28939753729951i</v>
      </c>
      <c r="AG59" s="10">
        <f t="shared" si="18"/>
        <v>9.4923189388581619</v>
      </c>
      <c r="AH59" s="10">
        <f t="shared" si="19"/>
        <v>-1.3636536954868967</v>
      </c>
      <c r="AI59" s="10">
        <f t="shared" si="20"/>
        <v>-78.131601468817138</v>
      </c>
      <c r="AJ59" s="10">
        <f t="shared" si="21"/>
        <v>19.547446438902519</v>
      </c>
      <c r="AL59" s="10" t="str">
        <f t="shared" si="5"/>
        <v>0.0388088983037498-0.144058346650231i</v>
      </c>
      <c r="AM59" s="10" t="str">
        <f t="shared" si="6"/>
        <v>0.999730083008569-0.0163469083001338i</v>
      </c>
      <c r="AN59" s="10" t="str">
        <f t="shared" si="11"/>
        <v>-7.87179914066563+31.2452355650069i</v>
      </c>
      <c r="AO59" s="10">
        <f t="shared" si="12"/>
        <v>32.22157611327782</v>
      </c>
      <c r="AP59" s="10">
        <f t="shared" si="13"/>
        <v>1.8175962600557023</v>
      </c>
      <c r="AQ59" s="10">
        <f t="shared" si="14"/>
        <v>104.14059455995456</v>
      </c>
      <c r="AR59" s="10">
        <f t="shared" si="15"/>
        <v>30.162935600967579</v>
      </c>
      <c r="AS59" s="10">
        <f t="shared" si="16"/>
        <v>49.710382039870098</v>
      </c>
      <c r="AT59" s="10">
        <f t="shared" si="17"/>
        <v>26.008993091137427</v>
      </c>
    </row>
    <row r="60" spans="25:46" x14ac:dyDescent="0.25">
      <c r="Y60" s="10">
        <v>58</v>
      </c>
      <c r="Z60" s="10">
        <f t="shared" si="7"/>
        <v>54.95408738576247</v>
      </c>
      <c r="AA60" s="10" t="str">
        <f t="shared" si="8"/>
        <v>345.286714431686i</v>
      </c>
      <c r="AC60" s="10">
        <f>1/(2*$T$3+$T$6*$T$2/('4. Boost Inductor'!$B$11*$T$3^2)*($T$5))</f>
        <v>0.20979859335038364</v>
      </c>
      <c r="AD60" s="10" t="str">
        <f t="shared" si="0"/>
        <v>0.0358689864869298-0.18169743943773i</v>
      </c>
      <c r="AE60" s="10" t="str">
        <f t="shared" si="1"/>
        <v>0.999999996242744-0.00018125908325905i</v>
      </c>
      <c r="AF60" s="10" t="str">
        <f t="shared" si="9"/>
        <v>1.718480756435-8.71342424878457i</v>
      </c>
      <c r="AG60" s="10">
        <f t="shared" si="18"/>
        <v>8.8812689549154165</v>
      </c>
      <c r="AH60" s="10">
        <f t="shared" si="19"/>
        <v>-1.3760731434437401</v>
      </c>
      <c r="AI60" s="10">
        <f t="shared" si="20"/>
        <v>-78.84318342062663</v>
      </c>
      <c r="AJ60" s="10">
        <f t="shared" si="21"/>
        <v>18.969500443376312</v>
      </c>
      <c r="AL60" s="10" t="str">
        <f t="shared" si="5"/>
        <v>0.0360763685756353-0.134825274126739i</v>
      </c>
      <c r="AM60" s="10" t="str">
        <f t="shared" si="6"/>
        <v>0.999690106342773-0.0175153205285983i</v>
      </c>
      <c r="AN60" s="10" t="str">
        <f t="shared" si="11"/>
        <v>-7.27999506276882+29.2497224663297i</v>
      </c>
      <c r="AO60" s="10">
        <f t="shared" si="12"/>
        <v>30.142073460053322</v>
      </c>
      <c r="AP60" s="10">
        <f t="shared" si="13"/>
        <v>1.8147310300552377</v>
      </c>
      <c r="AQ60" s="10">
        <f t="shared" si="14"/>
        <v>103.97642897359368</v>
      </c>
      <c r="AR60" s="10">
        <f t="shared" si="15"/>
        <v>29.583462478674218</v>
      </c>
      <c r="AS60" s="10">
        <f t="shared" si="16"/>
        <v>48.552962922050526</v>
      </c>
      <c r="AT60" s="10">
        <f t="shared" si="17"/>
        <v>25.133245552967054</v>
      </c>
    </row>
    <row r="61" spans="25:46" x14ac:dyDescent="0.25">
      <c r="Y61" s="10">
        <v>59</v>
      </c>
      <c r="Z61" s="10">
        <f t="shared" si="7"/>
        <v>58.884365535558892</v>
      </c>
      <c r="AA61" s="10" t="str">
        <f t="shared" si="8"/>
        <v>369.981380355616i</v>
      </c>
      <c r="AC61" s="10">
        <f>1/(2*$T$3+$T$6*$T$2/('4. Boost Inductor'!$B$11*$T$3^2)*($T$5))</f>
        <v>0.20979859335038364</v>
      </c>
      <c r="AD61" s="10" t="str">
        <f t="shared" si="0"/>
        <v>0.0315830741152476-0.170323716639632i</v>
      </c>
      <c r="AE61" s="10" t="str">
        <f t="shared" si="1"/>
        <v>0.999999995686093-0.00019422260702634i</v>
      </c>
      <c r="AF61" s="10" t="str">
        <f t="shared" si="9"/>
        <v>1.51294724725305-8.16799153062007i</v>
      </c>
      <c r="AG61" s="10">
        <f t="shared" si="18"/>
        <v>8.3069305412560031</v>
      </c>
      <c r="AH61" s="10">
        <f t="shared" si="19"/>
        <v>-1.3876433438098148</v>
      </c>
      <c r="AI61" s="10">
        <f t="shared" si="20"/>
        <v>-79.506107069723427</v>
      </c>
      <c r="AJ61" s="10">
        <f t="shared" si="21"/>
        <v>18.388811582182182</v>
      </c>
      <c r="AL61" s="10" t="str">
        <f t="shared" si="5"/>
        <v>0.0336837446616741-0.126138589327951i</v>
      </c>
      <c r="AM61" s="10" t="str">
        <f t="shared" si="6"/>
        <v>0.999644210970396-0.0187671339951826i</v>
      </c>
      <c r="AN61" s="10" t="str">
        <f t="shared" si="11"/>
        <v>-6.76177211814477+27.3727853174556i</v>
      </c>
      <c r="AO61" s="10">
        <f t="shared" si="12"/>
        <v>28.195583665057065</v>
      </c>
      <c r="AP61" s="10">
        <f t="shared" si="13"/>
        <v>1.8129733741751333</v>
      </c>
      <c r="AQ61" s="10">
        <f t="shared" si="14"/>
        <v>103.87572270982733</v>
      </c>
      <c r="AR61" s="10">
        <f t="shared" si="15"/>
        <v>29.003621783339312</v>
      </c>
      <c r="AS61" s="10">
        <f t="shared" si="16"/>
        <v>47.392433365521498</v>
      </c>
      <c r="AT61" s="10">
        <f t="shared" si="17"/>
        <v>24.369615640103902</v>
      </c>
    </row>
    <row r="62" spans="25:46" x14ac:dyDescent="0.25">
      <c r="Y62" s="10">
        <v>60</v>
      </c>
      <c r="Z62" s="10">
        <f t="shared" si="7"/>
        <v>63.095734448019307</v>
      </c>
      <c r="AA62" s="10" t="str">
        <f t="shared" si="8"/>
        <v>396.4421916295i</v>
      </c>
      <c r="AC62" s="10">
        <f>1/(2*$T$3+$T$6*$T$2/('4. Boost Inductor'!$B$11*$T$3^2)*($T$5))</f>
        <v>0.20979859335038364</v>
      </c>
      <c r="AD62" s="10" t="str">
        <f t="shared" si="0"/>
        <v>0.0278190330879251-0.159573168392765i</v>
      </c>
      <c r="AE62" s="10" t="str">
        <f t="shared" si="1"/>
        <v>0.999999995046972-0.000208113273021772i</v>
      </c>
      <c r="AF62" s="10" t="str">
        <f t="shared" si="9"/>
        <v>1.33244039270026-7.65244359554458i</v>
      </c>
      <c r="AG62" s="10">
        <f t="shared" si="18"/>
        <v>7.767579441698067</v>
      </c>
      <c r="AH62" s="10">
        <f t="shared" si="19"/>
        <v>-1.3984050299816007</v>
      </c>
      <c r="AI62" s="10">
        <f t="shared" si="20"/>
        <v>-80.122706267811068</v>
      </c>
      <c r="AJ62" s="10">
        <f t="shared" si="21"/>
        <v>17.805714072565799</v>
      </c>
      <c r="AL62" s="10" t="str">
        <f t="shared" si="5"/>
        <v>0.0315901576934859-0.117974427676279i</v>
      </c>
      <c r="AM62" s="10" t="str">
        <f t="shared" si="6"/>
        <v>0.999591521279939-0.020108276043542i</v>
      </c>
      <c r="AN62" s="10" t="str">
        <f t="shared" si="11"/>
        <v>-6.30827814855843+25.6092756287518i</v>
      </c>
      <c r="AO62" s="10">
        <f t="shared" si="12"/>
        <v>26.374786661297577</v>
      </c>
      <c r="AP62" s="10">
        <f t="shared" si="13"/>
        <v>1.8123158863542517</v>
      </c>
      <c r="AQ62" s="10">
        <f t="shared" si="14"/>
        <v>103.83805143260956</v>
      </c>
      <c r="AR62" s="10">
        <f t="shared" si="15"/>
        <v>28.423779108525629</v>
      </c>
      <c r="AS62" s="10">
        <f t="shared" si="16"/>
        <v>46.229493181091428</v>
      </c>
      <c r="AT62" s="10">
        <f t="shared" si="17"/>
        <v>23.715345164798492</v>
      </c>
    </row>
    <row r="63" spans="25:46" x14ac:dyDescent="0.25">
      <c r="Y63" s="10">
        <v>61</v>
      </c>
      <c r="Z63" s="10">
        <f t="shared" si="7"/>
        <v>67.608297539198134</v>
      </c>
      <c r="AA63" s="10" t="str">
        <f t="shared" si="8"/>
        <v>424.795461741715i</v>
      </c>
      <c r="AC63" s="10">
        <f>1/(2*$T$3+$T$6*$T$2/('4. Boost Inductor'!$B$11*$T$3^2)*($T$5))</f>
        <v>0.20979859335038364</v>
      </c>
      <c r="AD63" s="10" t="str">
        <f t="shared" si="0"/>
        <v>0.0245167691252901-0.149428198937888i</v>
      </c>
      <c r="AE63" s="10" t="str">
        <f t="shared" si="1"/>
        <v>0.999999994313163-0.000222997389816784i</v>
      </c>
      <c r="AF63" s="10" t="str">
        <f t="shared" si="9"/>
        <v>1.17407833539989-7.16593663348637i</v>
      </c>
      <c r="AG63" s="10">
        <f t="shared" si="18"/>
        <v>7.2614811004916442</v>
      </c>
      <c r="AH63" s="10">
        <f t="shared" si="19"/>
        <v>-1.4083976413434633</v>
      </c>
      <c r="AI63" s="10">
        <f t="shared" si="20"/>
        <v>-80.695240725160275</v>
      </c>
      <c r="AJ63" s="10">
        <f t="shared" si="21"/>
        <v>17.220504227134278</v>
      </c>
      <c r="AL63" s="10" t="str">
        <f t="shared" si="5"/>
        <v>0.0297593142747018-0.110308293677262i</v>
      </c>
      <c r="AM63" s="10" t="str">
        <f t="shared" si="6"/>
        <v>0.999531032337532-0.0215450893249564i</v>
      </c>
      <c r="AN63" s="10" t="str">
        <f t="shared" si="11"/>
        <v>-5.91165131286736+23.9539096236074i</v>
      </c>
      <c r="AO63" s="10">
        <f t="shared" si="12"/>
        <v>24.672604392339245</v>
      </c>
      <c r="AP63" s="10">
        <f t="shared" si="13"/>
        <v>1.8127541344763447</v>
      </c>
      <c r="AQ63" s="10">
        <f t="shared" si="14"/>
        <v>103.86316120038504</v>
      </c>
      <c r="AR63" s="10">
        <f t="shared" si="15"/>
        <v>27.844299903878703</v>
      </c>
      <c r="AS63" s="10">
        <f t="shared" si="16"/>
        <v>45.064804131012977</v>
      </c>
      <c r="AT63" s="10">
        <f t="shared" si="17"/>
        <v>23.167920475224761</v>
      </c>
    </row>
    <row r="64" spans="25:46" x14ac:dyDescent="0.25">
      <c r="Y64" s="10">
        <v>62</v>
      </c>
      <c r="Z64" s="10">
        <f t="shared" si="7"/>
        <v>72.443596007499011</v>
      </c>
      <c r="AA64" s="10" t="str">
        <f t="shared" si="8"/>
        <v>455.176538033571i</v>
      </c>
      <c r="AC64" s="10">
        <f>1/(2*$T$3+$T$6*$T$2/('4. Boost Inductor'!$B$11*$T$3^2)*($T$5))</f>
        <v>0.20979859335038364</v>
      </c>
      <c r="AD64" s="10" t="str">
        <f t="shared" si="0"/>
        <v>0.0216222846605773-0.139868303116896i</v>
      </c>
      <c r="AE64" s="10" t="str">
        <f t="shared" si="1"/>
        <v>0.999999993470637-0.000238946008326565i</v>
      </c>
      <c r="AF64" s="10" t="str">
        <f t="shared" si="9"/>
        <v>1.03527158951453-6.70748731276801i</v>
      </c>
      <c r="AG64" s="10">
        <f t="shared" si="18"/>
        <v>6.786911913013145</v>
      </c>
      <c r="AH64" s="10">
        <f t="shared" si="19"/>
        <v>-1.4176590733413383</v>
      </c>
      <c r="AI64" s="10">
        <f t="shared" si="20"/>
        <v>-81.225881690885927</v>
      </c>
      <c r="AJ64" s="10">
        <f t="shared" si="21"/>
        <v>16.633444250838096</v>
      </c>
      <c r="AL64" s="10" t="str">
        <f t="shared" si="5"/>
        <v>0.0281590666327878-0.103115480962587i</v>
      </c>
      <c r="AM64" s="10" t="str">
        <f t="shared" si="6"/>
        <v>0.999461590855295-0.0230843595230836i</v>
      </c>
      <c r="AN64" s="10" t="str">
        <f t="shared" si="11"/>
        <v>-5.56492695095599+22.401359279135i</v>
      </c>
      <c r="AO64" s="10">
        <f t="shared" si="12"/>
        <v>23.082229301399035</v>
      </c>
      <c r="AP64" s="10">
        <f t="shared" si="13"/>
        <v>1.8142865920145186</v>
      </c>
      <c r="AQ64" s="10">
        <f t="shared" si="14"/>
        <v>103.9509645496054</v>
      </c>
      <c r="AR64" s="10">
        <f t="shared" si="15"/>
        <v>27.26555502081867</v>
      </c>
      <c r="AS64" s="10">
        <f t="shared" si="16"/>
        <v>43.898999271656763</v>
      </c>
      <c r="AT64" s="10">
        <f t="shared" si="17"/>
        <v>22.725082858719475</v>
      </c>
    </row>
    <row r="65" spans="25:46" x14ac:dyDescent="0.25">
      <c r="Y65" s="10">
        <v>63</v>
      </c>
      <c r="Z65" s="10">
        <f t="shared" si="7"/>
        <v>77.624711662869146</v>
      </c>
      <c r="AA65" s="10" t="str">
        <f t="shared" si="8"/>
        <v>487.730447794191i</v>
      </c>
      <c r="AC65" s="10">
        <f>1/(2*$T$3+$T$6*$T$2/('4. Boost Inductor'!$B$11*$T$3^2)*($T$5))</f>
        <v>0.20979859335038364</v>
      </c>
      <c r="AD65" s="10" t="str">
        <f t="shared" si="0"/>
        <v>0.0190872623314939-0.130870911735872i</v>
      </c>
      <c r="AE65" s="10" t="str">
        <f t="shared" si="1"/>
        <v>0.999999992503288-0.000256035260979363i</v>
      </c>
      <c r="AF65" s="10" t="str">
        <f t="shared" si="9"/>
        <v>0.913703066833182-6.27601332002699i</v>
      </c>
      <c r="AG65" s="10">
        <f t="shared" si="18"/>
        <v>6.3421760057173255</v>
      </c>
      <c r="AH65" s="10">
        <f t="shared" si="19"/>
        <v>-1.4262254906563652</v>
      </c>
      <c r="AI65" s="10">
        <f t="shared" si="20"/>
        <v>-81.716701248584755</v>
      </c>
      <c r="AJ65" s="10">
        <f t="shared" si="21"/>
        <v>16.044765804755375</v>
      </c>
      <c r="AL65" s="10" t="str">
        <f t="shared" si="5"/>
        <v>0.0267610021056753-0.0963714042734238i</v>
      </c>
      <c r="AM65" s="10" t="str">
        <f t="shared" si="6"/>
        <v>0.999381873380729-0.0247333446083294i</v>
      </c>
      <c r="AN65" s="10" t="str">
        <f t="shared" si="11"/>
        <v>-5.26194862537655+20.9463243041339i</v>
      </c>
      <c r="AO65" s="10">
        <f t="shared" si="12"/>
        <v>21.597143449772531</v>
      </c>
      <c r="AP65" s="10">
        <f t="shared" si="13"/>
        <v>1.8169144990946036</v>
      </c>
      <c r="AQ65" s="10">
        <f t="shared" si="14"/>
        <v>104.10153253424681</v>
      </c>
      <c r="AR65" s="10">
        <f t="shared" si="15"/>
        <v>26.687926258166307</v>
      </c>
      <c r="AS65" s="10">
        <f t="shared" si="16"/>
        <v>42.732692062921686</v>
      </c>
      <c r="AT65" s="10">
        <f t="shared" si="17"/>
        <v>22.384831285662059</v>
      </c>
    </row>
    <row r="66" spans="25:46" x14ac:dyDescent="0.25">
      <c r="Y66" s="10">
        <v>64</v>
      </c>
      <c r="Z66" s="10">
        <f t="shared" si="7"/>
        <v>83.176377110267055</v>
      </c>
      <c r="AA66" s="10" t="str">
        <f t="shared" si="8"/>
        <v>522.612590563658i</v>
      </c>
      <c r="AC66" s="10">
        <f>1/(2*$T$3+$T$6*$T$2/('4. Boost Inductor'!$B$11*$T$3^2)*($T$5))</f>
        <v>0.20979859335038364</v>
      </c>
      <c r="AD66" s="10" t="str">
        <f t="shared" ref="AD66:AD129" si="22">IMDIV(IMSUM(1,IMDIV(AA66,$W$3)),IMSUM(1,IMDIV(AA66,$W$5)))</f>
        <v>0.0168686225590926-0.122412089484675i</v>
      </c>
      <c r="AE66" s="10" t="str">
        <f t="shared" ref="AE66:AE129" si="23">IMDIV(IMSUM(1,IMDIV(IMPRODUCT(-1,AA66),$W$4)),IMSUM(1,IMDIV(AA66,$W$1*$W$2),IMDIV(IMPOWER(AA66,2),$W$1^2)))</f>
        <v>0.999999991392623-0.000274346725142996i</v>
      </c>
      <c r="AF66" s="10" t="str">
        <f t="shared" si="9"/>
        <v>0.807306860199647-5.87036682939825i</v>
      </c>
      <c r="AG66" s="10">
        <f t="shared" si="18"/>
        <v>5.9256182021983737</v>
      </c>
      <c r="AH66" s="10">
        <f t="shared" si="19"/>
        <v>-1.4341311925608959</v>
      </c>
      <c r="AI66" s="10">
        <f t="shared" si="20"/>
        <v>-82.169664601802893</v>
      </c>
      <c r="AJ66" s="10">
        <f t="shared" si="21"/>
        <v>15.454673314058056</v>
      </c>
      <c r="AL66" s="10" t="str">
        <f t="shared" ref="AL66:AL129" si="24">IMDIV(IMSUM(1,IMDIV(AA66,wz1e)),IMSUM(1,IMDIV(AA66,wp1e)))</f>
        <v>0.0255400573313768-0.0900518575423433i</v>
      </c>
      <c r="AM66" s="10" t="str">
        <f t="shared" ref="AM66:AM129" si="25">IMDIV(IMSUM(1,IMDIV(AA66,wz2e)),IMSUM(1,IMDIV(AA66,wp2e)))</f>
        <v>0.999290361308279-0.0264998056277609i</v>
      </c>
      <c r="AN66" s="10" t="str">
        <f t="shared" si="11"/>
        <v>-4.99728450179839+19.5835881200342i</v>
      </c>
      <c r="AO66" s="10">
        <f t="shared" si="12"/>
        <v>20.211130004209537</v>
      </c>
      <c r="AP66" s="10">
        <f t="shared" si="13"/>
        <v>1.8206416492136053</v>
      </c>
      <c r="AQ66" s="10">
        <f t="shared" si="14"/>
        <v>104.31508250567731</v>
      </c>
      <c r="AR66" s="10">
        <f t="shared" si="15"/>
        <v>26.111811911942326</v>
      </c>
      <c r="AS66" s="10">
        <f t="shared" si="16"/>
        <v>41.566485226000381</v>
      </c>
      <c r="AT66" s="10">
        <f t="shared" si="17"/>
        <v>22.145417903874417</v>
      </c>
    </row>
    <row r="67" spans="25:46" x14ac:dyDescent="0.25">
      <c r="Y67" s="10">
        <v>65</v>
      </c>
      <c r="Z67" s="10">
        <f t="shared" ref="Z67:Z130" si="26">10^(LOG($F$3/$F$2,10)*Y67/200)</f>
        <v>89.125093813374562</v>
      </c>
      <c r="AA67" s="10" t="str">
        <f t="shared" ref="AA67:AA130" si="27">IMPRODUCT(COMPLEX(0,1),2*PI()*Z67)</f>
        <v>559.989479949197i</v>
      </c>
      <c r="AC67" s="10">
        <f>1/(2*$T$3+$T$6*$T$2/('4. Boost Inductor'!$B$11*$T$3^2)*($T$5))</f>
        <v>0.20979859335038364</v>
      </c>
      <c r="AD67" s="10" t="str">
        <f t="shared" si="22"/>
        <v>0.0149280746834419-0.114467104084527i</v>
      </c>
      <c r="AE67" s="10" t="str">
        <f t="shared" si="23"/>
        <v>0.999999990117409-0.000293967812543417i</v>
      </c>
      <c r="AF67" s="10" t="str">
        <f t="shared" ref="AF67:AF130" si="28">IMPRODUCT(AB$2,AC67,AD67,AE67)</f>
        <v>0.714246717953226-5.48936179635976i</v>
      </c>
      <c r="AG67" s="10">
        <f t="shared" si="18"/>
        <v>5.535633776311526</v>
      </c>
      <c r="AH67" s="10">
        <f t="shared" si="19"/>
        <v>-1.4414085208300793</v>
      </c>
      <c r="AI67" s="10">
        <f t="shared" si="20"/>
        <v>-82.586624797758347</v>
      </c>
      <c r="AJ67" s="10">
        <f t="shared" si="21"/>
        <v>14.863347011242558</v>
      </c>
      <c r="AL67" s="10" t="str">
        <f t="shared" si="24"/>
        <v>0.0244741601959962-0.0841332105349958i</v>
      </c>
      <c r="AM67" s="10" t="str">
        <f t="shared" si="25"/>
        <v>0.999185312259218-0.0283920390134553i</v>
      </c>
      <c r="AN67" s="10" t="str">
        <f t="shared" ref="AN67:AN130" si="29">IMPRODUCT($AK$2,AL67,AM67)</f>
        <v>-4.76614972840645+18.3080605429915i</v>
      </c>
      <c r="AO67" s="10">
        <f t="shared" ref="AO67:AO130" si="30">IMABS(AN67)</f>
        <v>18.918278570721785</v>
      </c>
      <c r="AP67" s="10">
        <f t="shared" ref="AP67:AP130" si="31">IMARGUMENT(AN67)</f>
        <v>1.8254740956194999</v>
      </c>
      <c r="AQ67" s="10">
        <f t="shared" ref="AQ67:AQ130" si="32">AP67/(PI())*180</f>
        <v>104.59196128945823</v>
      </c>
      <c r="AR67" s="10">
        <f t="shared" ref="AR67:AR130" si="33">20*LOG(AO67,10)</f>
        <v>25.537632322870483</v>
      </c>
      <c r="AS67" s="10">
        <f t="shared" ref="AS67:AS130" si="34">AR67+AJ67</f>
        <v>40.400979334113039</v>
      </c>
      <c r="AT67" s="10">
        <f t="shared" ref="AT67:AT130" si="35">AQ67+AI67</f>
        <v>22.005336491699879</v>
      </c>
    </row>
    <row r="68" spans="25:46" x14ac:dyDescent="0.25">
      <c r="Y68" s="10">
        <v>66</v>
      </c>
      <c r="Z68" s="10">
        <f t="shared" si="26"/>
        <v>95.49925860214357</v>
      </c>
      <c r="AA68" s="10" t="str">
        <f t="shared" si="27"/>
        <v>600.039538495532i</v>
      </c>
      <c r="AC68" s="10">
        <f>1/(2*$T$3+$T$6*$T$2/('4. Boost Inductor'!$B$11*$T$3^2)*($T$5))</f>
        <v>0.20979859335038364</v>
      </c>
      <c r="AD68" s="10" t="str">
        <f t="shared" si="22"/>
        <v>0.0132316756959053-0.107010884539196i</v>
      </c>
      <c r="AE68" s="10" t="str">
        <f t="shared" si="23"/>
        <v>0.999999988653267-0.000314992186534298i</v>
      </c>
      <c r="AF68" s="10" t="str">
        <f t="shared" si="28"/>
        <v>0.632894882669359-5.13179593347655i</v>
      </c>
      <c r="AG68" s="10">
        <f t="shared" si="18"/>
        <v>5.1706755298853855</v>
      </c>
      <c r="AH68" s="10">
        <f t="shared" si="19"/>
        <v>-1.4480878018465202</v>
      </c>
      <c r="AI68" s="10">
        <f t="shared" si="20"/>
        <v>-82.969319410182266</v>
      </c>
      <c r="AJ68" s="10">
        <f t="shared" si="21"/>
        <v>14.270945715791063</v>
      </c>
      <c r="AL68" s="10" t="str">
        <f t="shared" si="24"/>
        <v>0.0235439008834807-0.0785925548605334i</v>
      </c>
      <c r="AM68" s="10" t="str">
        <f t="shared" si="25"/>
        <v>0.999064727314109-0.0304189103622441i</v>
      </c>
      <c r="AN68" s="10" t="str">
        <f t="shared" si="29"/>
        <v>-4.56433510347851+17.1148095074614i</v>
      </c>
      <c r="AO68" s="10">
        <f t="shared" si="30"/>
        <v>17.712985615461253</v>
      </c>
      <c r="AP68" s="10">
        <f t="shared" si="31"/>
        <v>1.8314197692848875</v>
      </c>
      <c r="AQ68" s="10">
        <f t="shared" si="32"/>
        <v>104.93262329684701</v>
      </c>
      <c r="AR68" s="10">
        <f t="shared" si="33"/>
        <v>24.965835398884927</v>
      </c>
      <c r="AS68" s="10">
        <f t="shared" si="34"/>
        <v>39.236781114675992</v>
      </c>
      <c r="AT68" s="10">
        <f t="shared" si="35"/>
        <v>21.963303886664747</v>
      </c>
    </row>
    <row r="69" spans="25:46" x14ac:dyDescent="0.25">
      <c r="Y69" s="10">
        <v>67</v>
      </c>
      <c r="Z69" s="10">
        <f t="shared" si="26"/>
        <v>102.32929922807544</v>
      </c>
      <c r="AA69" s="10" t="str">
        <f t="shared" si="27"/>
        <v>642.953949403827i</v>
      </c>
      <c r="AC69" s="10">
        <f>1/(2*$T$3+$T$6*$T$2/('4. Boost Inductor'!$B$11*$T$3^2)*($T$5))</f>
        <v>0.20979859335038364</v>
      </c>
      <c r="AD69" s="10" t="str">
        <f t="shared" si="22"/>
        <v>0.0117494062836058-0.100018385029438i</v>
      </c>
      <c r="AE69" s="10" t="str">
        <f t="shared" si="23"/>
        <v>0.999999986972208-0.000337520209209516i</v>
      </c>
      <c r="AF69" s="10" t="str">
        <f t="shared" si="28"/>
        <v>0.561811760116546-4.79646816121258i</v>
      </c>
      <c r="AG69" s="10">
        <f t="shared" si="18"/>
        <v>4.8292586672626303</v>
      </c>
      <c r="AH69" s="10">
        <f t="shared" si="19"/>
        <v>-1.4541973157242352</v>
      </c>
      <c r="AI69" s="10">
        <f t="shared" si="20"/>
        <v>-83.319368770251941</v>
      </c>
      <c r="AJ69" s="10">
        <f t="shared" si="21"/>
        <v>13.677609358602119</v>
      </c>
      <c r="AL69" s="10" t="str">
        <f t="shared" si="24"/>
        <v>0.0227322321364905-0.0734078086147257i</v>
      </c>
      <c r="AM69" s="10" t="str">
        <f t="shared" si="25"/>
        <v>0.998926313512732-0.0325898896013454i</v>
      </c>
      <c r="AN69" s="10" t="str">
        <f t="shared" si="29"/>
        <v>-4.38814205295613+15.9990838369077i</v>
      </c>
      <c r="AO69" s="10">
        <f t="shared" si="30"/>
        <v>16.589951003463611</v>
      </c>
      <c r="AP69" s="10">
        <f t="shared" si="31"/>
        <v>1.8384879985927529</v>
      </c>
      <c r="AQ69" s="10">
        <f t="shared" si="32"/>
        <v>105.33760300481838</v>
      </c>
      <c r="AR69" s="10">
        <f t="shared" si="33"/>
        <v>24.396902067736388</v>
      </c>
      <c r="AS69" s="10">
        <f t="shared" si="34"/>
        <v>38.074511426338503</v>
      </c>
      <c r="AT69" s="10">
        <f t="shared" si="35"/>
        <v>22.018234234566435</v>
      </c>
    </row>
    <row r="70" spans="25:46" x14ac:dyDescent="0.25">
      <c r="Y70" s="10">
        <v>68</v>
      </c>
      <c r="Z70" s="10">
        <f t="shared" si="26"/>
        <v>109.64781961431841</v>
      </c>
      <c r="AA70" s="10" t="str">
        <f t="shared" si="27"/>
        <v>688.937569164963i</v>
      </c>
      <c r="AC70" s="10">
        <f>1/(2*$T$3+$T$6*$T$2/('4. Boost Inductor'!$B$11*$T$3^2)*($T$5))</f>
        <v>0.20979859335038364</v>
      </c>
      <c r="AD70" s="10" t="str">
        <f t="shared" si="22"/>
        <v>0.0104547705314354-0.0934648693727775i</v>
      </c>
      <c r="AE70" s="10" t="str">
        <f t="shared" si="23"/>
        <v>0.999999985042093-0.000361659420492904i</v>
      </c>
      <c r="AF70" s="10" t="str">
        <f t="shared" si="28"/>
        <v>0.499726722725069-4.48219224940811i</v>
      </c>
      <c r="AG70" s="10">
        <f t="shared" si="18"/>
        <v>4.5099638754716942</v>
      </c>
      <c r="AH70" s="10">
        <f t="shared" si="19"/>
        <v>-1.4597632863634833</v>
      </c>
      <c r="AI70" s="10">
        <f t="shared" si="20"/>
        <v>-83.638275396774588</v>
      </c>
      <c r="AJ70" s="10">
        <f t="shared" si="21"/>
        <v>13.083461264405607</v>
      </c>
      <c r="AL70" s="10" t="str">
        <f t="shared" si="24"/>
        <v>0.022024197977431-0.0685577875153566i</v>
      </c>
      <c r="AM70" s="10" t="str">
        <f t="shared" si="25"/>
        <v>0.998767440958928-0.034915087405367i</v>
      </c>
      <c r="AN70" s="10" t="str">
        <f t="shared" si="29"/>
        <v>-4.23432375328965+14.9563287630577i</v>
      </c>
      <c r="AO70" s="10">
        <f t="shared" si="30"/>
        <v>15.544171503053485</v>
      </c>
      <c r="AP70" s="10">
        <f t="shared" si="31"/>
        <v>1.846688919443173</v>
      </c>
      <c r="AQ70" s="10">
        <f t="shared" si="32"/>
        <v>105.80748115766829</v>
      </c>
      <c r="AR70" s="10">
        <f t="shared" si="33"/>
        <v>23.831351586135678</v>
      </c>
      <c r="AS70" s="10">
        <f t="shared" si="34"/>
        <v>36.914812850541281</v>
      </c>
      <c r="AT70" s="10">
        <f t="shared" si="35"/>
        <v>22.169205760893703</v>
      </c>
    </row>
    <row r="71" spans="25:46" x14ac:dyDescent="0.25">
      <c r="Y71" s="10">
        <v>69</v>
      </c>
      <c r="Z71" s="10">
        <f t="shared" si="26"/>
        <v>117.48975549395293</v>
      </c>
      <c r="AA71" s="10" t="str">
        <f t="shared" si="27"/>
        <v>738.209905463727i</v>
      </c>
      <c r="AC71" s="10">
        <f>1/(2*$T$3+$T$6*$T$2/('4. Boost Inductor'!$B$11*$T$3^2)*($T$5))</f>
        <v>0.20979859335038364</v>
      </c>
      <c r="AD71" s="10" t="str">
        <f t="shared" si="22"/>
        <v>0.00932442305587394-0.087326129251592i</v>
      </c>
      <c r="AE71" s="10" t="str">
        <f t="shared" si="23"/>
        <v>0.999999982826025-0.000387525051492304i</v>
      </c>
      <c r="AF71" s="10" t="str">
        <f t="shared" si="28"/>
        <v>0.445520228564659-4.18780728257897i</v>
      </c>
      <c r="AG71" s="10">
        <f t="shared" si="18"/>
        <v>4.2114389595578565</v>
      </c>
      <c r="AH71" s="10">
        <f t="shared" si="19"/>
        <v>-1.4648098873172934</v>
      </c>
      <c r="AI71" s="10">
        <f t="shared" si="20"/>
        <v>-83.927424332314615</v>
      </c>
      <c r="AJ71" s="10">
        <f t="shared" si="21"/>
        <v>12.488610208496953</v>
      </c>
      <c r="AL71" s="10" t="str">
        <f t="shared" si="24"/>
        <v>0.0214066895653651-0.0640222491399746i</v>
      </c>
      <c r="AM71" s="10" t="str">
        <f t="shared" si="25"/>
        <v>0.998585093781793-0.0374052926682017i</v>
      </c>
      <c r="AN71" s="10" t="str">
        <f t="shared" si="29"/>
        <v>-4.1000321104194+13.9821956243595i</v>
      </c>
      <c r="AO71" s="10">
        <f t="shared" si="30"/>
        <v>14.570931946321352</v>
      </c>
      <c r="AP71" s="10">
        <f t="shared" si="31"/>
        <v>1.8560327636831584</v>
      </c>
      <c r="AQ71" s="10">
        <f t="shared" si="32"/>
        <v>106.34284399704708</v>
      </c>
      <c r="AR71" s="10">
        <f t="shared" si="33"/>
        <v>23.2697465964171</v>
      </c>
      <c r="AS71" s="10">
        <f t="shared" si="34"/>
        <v>35.758356804914051</v>
      </c>
      <c r="AT71" s="10">
        <f t="shared" si="35"/>
        <v>22.415419664732468</v>
      </c>
    </row>
    <row r="72" spans="25:46" x14ac:dyDescent="0.25">
      <c r="Y72" s="10">
        <v>70</v>
      </c>
      <c r="Z72" s="10">
        <f t="shared" si="26"/>
        <v>125.89254117941665</v>
      </c>
      <c r="AA72" s="10" t="str">
        <f t="shared" si="27"/>
        <v>791.006165022012i</v>
      </c>
      <c r="AC72" s="10">
        <f>1/(2*$T$3+$T$6*$T$2/('4. Boost Inductor'!$B$11*$T$3^2)*($T$5))</f>
        <v>0.20979859335038364</v>
      </c>
      <c r="AD72" s="10" t="str">
        <f t="shared" si="22"/>
        <v>0.00833782542706647-0.0815786477111082i</v>
      </c>
      <c r="AE72" s="10" t="str">
        <f t="shared" si="23"/>
        <v>0.999999980281638-0.000415240574568467i</v>
      </c>
      <c r="AF72" s="10" t="str">
        <f t="shared" si="28"/>
        <v>0.398207344858222-3.91218550060415i</v>
      </c>
      <c r="AG72" s="10">
        <f t="shared" si="18"/>
        <v>3.9323993287351144</v>
      </c>
      <c r="AH72" s="10">
        <f t="shared" si="19"/>
        <v>-1.4693592592009399</v>
      </c>
      <c r="AI72" s="10">
        <f t="shared" si="20"/>
        <v>-84.188084140683031</v>
      </c>
      <c r="AJ72" s="10">
        <f t="shared" si="21"/>
        <v>11.893152265909235</v>
      </c>
      <c r="AL72" s="10" t="str">
        <f t="shared" si="24"/>
        <v>0.020868226507805-0.0597819157824383i</v>
      </c>
      <c r="AM72" s="10" t="str">
        <f t="shared" si="25"/>
        <v>0.998375814109696-0.0400720107554797i</v>
      </c>
      <c r="AN72" s="10" t="str">
        <f t="shared" si="29"/>
        <v>-3.98277022821227+13.0725469372459i</v>
      </c>
      <c r="AO72" s="10">
        <f t="shared" si="30"/>
        <v>13.665794602482183</v>
      </c>
      <c r="AP72" s="10">
        <f t="shared" si="31"/>
        <v>1.8665290138170427</v>
      </c>
      <c r="AQ72" s="10">
        <f t="shared" si="32"/>
        <v>106.94423483043226</v>
      </c>
      <c r="AR72" s="10">
        <f t="shared" si="33"/>
        <v>22.71269777939597</v>
      </c>
      <c r="AS72" s="10">
        <f t="shared" si="34"/>
        <v>34.605850045305203</v>
      </c>
      <c r="AT72" s="10">
        <f t="shared" si="35"/>
        <v>22.756150689749234</v>
      </c>
    </row>
    <row r="73" spans="25:46" x14ac:dyDescent="0.25">
      <c r="Y73" s="10">
        <v>71</v>
      </c>
      <c r="Z73" s="10">
        <f t="shared" si="26"/>
        <v>134.89628825916537</v>
      </c>
      <c r="AA73" s="10" t="str">
        <f t="shared" si="27"/>
        <v>847.57837638305i</v>
      </c>
      <c r="AC73" s="10">
        <f>1/(2*$T$3+$T$6*$T$2/('4. Boost Inductor'!$B$11*$T$3^2)*($T$5))</f>
        <v>0.20979859335038364</v>
      </c>
      <c r="AD73" s="10" t="str">
        <f t="shared" si="22"/>
        <v>0.00747693234086839-0.0761997178201313i</v>
      </c>
      <c r="AE73" s="10" t="str">
        <f t="shared" si="23"/>
        <v>0.999999977360292-0.000444938292744695i</v>
      </c>
      <c r="AF73" s="10" t="str">
        <f t="shared" si="28"/>
        <v>0.356922698173193-3.65423798921848i</v>
      </c>
      <c r="AG73" s="10">
        <f t="shared" si="18"/>
        <v>3.6716275811033383</v>
      </c>
      <c r="AH73" s="10">
        <f t="shared" si="19"/>
        <v>-1.4734315351117242</v>
      </c>
      <c r="AI73" s="10">
        <f t="shared" si="20"/>
        <v>-84.421408363383776</v>
      </c>
      <c r="AJ73" s="10">
        <f t="shared" si="21"/>
        <v>11.297172471966217</v>
      </c>
      <c r="AL73" s="10" t="str">
        <f t="shared" si="24"/>
        <v>0.0203987617501283-0.055818480500061i</v>
      </c>
      <c r="AM73" s="10" t="str">
        <f t="shared" si="25"/>
        <v>0.998135638109553-0.0429275021659637i</v>
      </c>
      <c r="AN73" s="10" t="str">
        <f t="shared" si="29"/>
        <v>-3.88034995684505+12.2234578289523i</v>
      </c>
      <c r="AO73" s="10">
        <f t="shared" si="30"/>
        <v>12.824587209098103</v>
      </c>
      <c r="AP73" s="10">
        <f t="shared" si="31"/>
        <v>1.8781854131949025</v>
      </c>
      <c r="AQ73" s="10">
        <f t="shared" si="32"/>
        <v>107.61209731910255</v>
      </c>
      <c r="AR73" s="10">
        <f t="shared" si="33"/>
        <v>22.160867903441584</v>
      </c>
      <c r="AS73" s="10">
        <f t="shared" si="34"/>
        <v>33.458040375407805</v>
      </c>
      <c r="AT73" s="10">
        <f t="shared" si="35"/>
        <v>23.19068895571877</v>
      </c>
    </row>
    <row r="74" spans="25:46" x14ac:dyDescent="0.25">
      <c r="Y74" s="10">
        <v>72</v>
      </c>
      <c r="Z74" s="10">
        <f t="shared" si="26"/>
        <v>144.54397707459273</v>
      </c>
      <c r="AA74" s="10" t="str">
        <f t="shared" si="27"/>
        <v>908.196592996384i</v>
      </c>
      <c r="AC74" s="10">
        <f>1/(2*$T$3+$T$6*$T$2/('4. Boost Inductor'!$B$11*$T$3^2)*($T$5))</f>
        <v>0.20979859335038364</v>
      </c>
      <c r="AD74" s="10" t="str">
        <f t="shared" si="22"/>
        <v>0.00672590701894209-0.0711675249131385i</v>
      </c>
      <c r="AE74" s="10" t="str">
        <f t="shared" si="23"/>
        <v>0.999999974006136-0.000476759971270861i</v>
      </c>
      <c r="AF74" s="10" t="str">
        <f t="shared" si="28"/>
        <v>0.320906826261674-3.41291862403085i</v>
      </c>
      <c r="AG74" s="10">
        <f t="shared" si="18"/>
        <v>3.4279723927415127</v>
      </c>
      <c r="AH74" s="10">
        <f t="shared" si="19"/>
        <v>-1.4770448711560689</v>
      </c>
      <c r="AI74" s="10">
        <f t="shared" si="20"/>
        <v>-84.628437268687208</v>
      </c>
      <c r="AJ74" s="10">
        <f t="shared" si="21"/>
        <v>10.70074631328283</v>
      </c>
      <c r="AL74" s="10" t="str">
        <f t="shared" si="24"/>
        <v>0.0199895080854605-0.0521146001158832i</v>
      </c>
      <c r="AM74" s="10" t="str">
        <f t="shared" si="25"/>
        <v>0.997860023030771-0.0459848211093231i</v>
      </c>
      <c r="AN74" s="10" t="str">
        <f t="shared" si="29"/>
        <v>-3.79085409396402+11.4312146454535i</v>
      </c>
      <c r="AO74" s="10">
        <f t="shared" si="30"/>
        <v>12.043390014117882</v>
      </c>
      <c r="AP74" s="10">
        <f t="shared" si="31"/>
        <v>1.8910068236819289</v>
      </c>
      <c r="AQ74" s="10">
        <f t="shared" si="32"/>
        <v>108.34671002741393</v>
      </c>
      <c r="AR74" s="10">
        <f t="shared" si="33"/>
        <v>21.614975016171236</v>
      </c>
      <c r="AS74" s="10">
        <f t="shared" si="34"/>
        <v>32.315721329454064</v>
      </c>
      <c r="AT74" s="10">
        <f t="shared" si="35"/>
        <v>23.718272758726727</v>
      </c>
    </row>
    <row r="75" spans="25:46" x14ac:dyDescent="0.25">
      <c r="Y75" s="10">
        <v>73</v>
      </c>
      <c r="Z75" s="10">
        <f t="shared" si="26"/>
        <v>154.88166189124806</v>
      </c>
      <c r="AA75" s="10" t="str">
        <f t="shared" si="27"/>
        <v>973.150182346646i</v>
      </c>
      <c r="AC75" s="10">
        <f>1/(2*$T$3+$T$6*$T$2/('4. Boost Inductor'!$B$11*$T$3^2)*($T$5))</f>
        <v>0.20979859335038364</v>
      </c>
      <c r="AD75" s="10" t="str">
        <f t="shared" si="22"/>
        <v>0.00607086464887112-0.0664611995127017i</v>
      </c>
      <c r="AE75" s="10" t="str">
        <f t="shared" si="23"/>
        <v>0.999999970155051-0.000510857514356725i</v>
      </c>
      <c r="AF75" s="10" t="str">
        <f t="shared" si="28"/>
        <v>0.289493874576515-3.1872266085036i</v>
      </c>
      <c r="AG75" s="10">
        <f t="shared" si="18"/>
        <v>3.2003468807881874</v>
      </c>
      <c r="AH75" s="10">
        <f t="shared" si="19"/>
        <v>-1.4802154797146012</v>
      </c>
      <c r="AI75" s="10">
        <f t="shared" si="20"/>
        <v>-84.810099757579167</v>
      </c>
      <c r="AJ75" s="10">
        <f t="shared" si="21"/>
        <v>10.103941067945716</v>
      </c>
      <c r="AL75" s="10" t="str">
        <f t="shared" si="24"/>
        <v>0.0196327843301998-0.0486538782568854i</v>
      </c>
      <c r="AM75" s="10" t="str">
        <f t="shared" si="25"/>
        <v>0.997543764072088-0.0492578533580553i</v>
      </c>
      <c r="AN75" s="10" t="str">
        <f t="shared" si="29"/>
        <v>-3.71260281156869+10.6923113995592i</v>
      </c>
      <c r="AO75" s="10">
        <f t="shared" si="30"/>
        <v>11.318522107661025</v>
      </c>
      <c r="AP75" s="10">
        <f t="shared" si="31"/>
        <v>1.9049939276002033</v>
      </c>
      <c r="AQ75" s="10">
        <f t="shared" si="32"/>
        <v>109.14811204954195</v>
      </c>
      <c r="AR75" s="10">
        <f t="shared" si="33"/>
        <v>21.075794469219382</v>
      </c>
      <c r="AS75" s="10">
        <f t="shared" si="34"/>
        <v>31.179735537165097</v>
      </c>
      <c r="AT75" s="10">
        <f t="shared" si="35"/>
        <v>24.338012291962784</v>
      </c>
    </row>
    <row r="76" spans="25:46" x14ac:dyDescent="0.25">
      <c r="Y76" s="10">
        <v>74</v>
      </c>
      <c r="Z76" s="10">
        <f t="shared" si="26"/>
        <v>165.95869074375608</v>
      </c>
      <c r="AA76" s="10" t="str">
        <f t="shared" si="27"/>
        <v>1042.74920727993i</v>
      </c>
      <c r="AC76" s="10">
        <f>1/(2*$T$3+$T$6*$T$2/('4. Boost Inductor'!$B$11*$T$3^2)*($T$5))</f>
        <v>0.20979859335038364</v>
      </c>
      <c r="AD76" s="10" t="str">
        <f t="shared" si="22"/>
        <v>0.00549964225112232-0.0620608468705996i</v>
      </c>
      <c r="AE76" s="10" t="str">
        <f t="shared" si="23"/>
        <v>0.999999965733414-0.000547393690305076i</v>
      </c>
      <c r="AF76" s="10" t="str">
        <f t="shared" si="28"/>
        <v>0.262100560102769-2.97620789067072i</v>
      </c>
      <c r="AG76" s="10">
        <f t="shared" si="18"/>
        <v>2.9877265792064778</v>
      </c>
      <c r="AH76" s="10">
        <f t="shared" si="19"/>
        <v>-1.4829576635247455</v>
      </c>
      <c r="AI76" s="10">
        <f t="shared" si="20"/>
        <v>-84.967215316549542</v>
      </c>
      <c r="AJ76" s="10">
        <f t="shared" si="21"/>
        <v>9.5068170129665557</v>
      </c>
      <c r="AL76" s="10" t="str">
        <f t="shared" si="24"/>
        <v>0.0193218792688708-0.0454208409342352i</v>
      </c>
      <c r="AM76" s="10" t="str">
        <f t="shared" si="25"/>
        <v>0.997180899761372-0.0527613525468893i</v>
      </c>
      <c r="AN76" s="10" t="str">
        <f t="shared" si="29"/>
        <v>-3.64412389382766+10.0034445991735i</v>
      </c>
      <c r="AO76" s="10">
        <f t="shared" si="30"/>
        <v>10.646527264901881</v>
      </c>
      <c r="AP76" s="10">
        <f t="shared" si="31"/>
        <v>1.9201417779184378</v>
      </c>
      <c r="AQ76" s="10">
        <f t="shared" si="32"/>
        <v>110.01601994147269</v>
      </c>
      <c r="AR76" s="10">
        <f t="shared" si="33"/>
        <v>20.544159412513455</v>
      </c>
      <c r="AS76" s="10">
        <f t="shared" si="34"/>
        <v>30.050976425480009</v>
      </c>
      <c r="AT76" s="10">
        <f t="shared" si="35"/>
        <v>25.04880462492315</v>
      </c>
    </row>
    <row r="77" spans="25:46" x14ac:dyDescent="0.25">
      <c r="Y77" s="10">
        <v>75</v>
      </c>
      <c r="Z77" s="10">
        <f t="shared" si="26"/>
        <v>177.82794100389225</v>
      </c>
      <c r="AA77" s="10" t="str">
        <f t="shared" si="27"/>
        <v>1117.32590612165i</v>
      </c>
      <c r="AC77" s="10">
        <f>1/(2*$T$3+$T$6*$T$2/('4. Boost Inductor'!$B$11*$T$3^2)*($T$5))</f>
        <v>0.20979859335038364</v>
      </c>
      <c r="AD77" s="10" t="str">
        <f t="shared" si="22"/>
        <v>0.0050015931141643-0.0579475580596135i</v>
      </c>
      <c r="AE77" s="10" t="str">
        <f t="shared" si="23"/>
        <v>0.999999960656695-0.000586542908506289i</v>
      </c>
      <c r="AF77" s="10" t="str">
        <f t="shared" si="28"/>
        <v>0.238216313369884-2.77895569511209i</v>
      </c>
      <c r="AG77" s="10">
        <f t="shared" si="18"/>
        <v>2.7891471397815244</v>
      </c>
      <c r="AH77" s="10">
        <f t="shared" si="19"/>
        <v>-1.485283849035534</v>
      </c>
      <c r="AI77" s="10">
        <f t="shared" si="20"/>
        <v>-85.100495928682207</v>
      </c>
      <c r="AJ77" s="10">
        <f t="shared" si="21"/>
        <v>8.9094285162969662</v>
      </c>
      <c r="AL77" s="10" t="str">
        <f t="shared" si="24"/>
        <v>0.0190509315671112-0.0424009066917361i</v>
      </c>
      <c r="AM77" s="10" t="str">
        <f t="shared" si="25"/>
        <v>0.996764604405766-0.0565109738667619i</v>
      </c>
      <c r="AN77" s="10" t="str">
        <f t="shared" si="29"/>
        <v>-3.58412639120695+9.36150689108749i</v>
      </c>
      <c r="AO77" s="10">
        <f t="shared" si="30"/>
        <v>10.024159478980007</v>
      </c>
      <c r="AP77" s="10">
        <f t="shared" si="31"/>
        <v>1.9364382105842268</v>
      </c>
      <c r="AQ77" s="10">
        <f t="shared" si="32"/>
        <v>110.94973675434154</v>
      </c>
      <c r="AR77" s="10">
        <f t="shared" si="33"/>
        <v>20.020959348648528</v>
      </c>
      <c r="AS77" s="10">
        <f t="shared" si="34"/>
        <v>28.930387864945494</v>
      </c>
      <c r="AT77" s="10">
        <f t="shared" si="35"/>
        <v>25.849240825659336</v>
      </c>
    </row>
    <row r="78" spans="25:46" x14ac:dyDescent="0.25">
      <c r="Y78" s="10">
        <v>76</v>
      </c>
      <c r="Z78" s="10">
        <f t="shared" si="26"/>
        <v>190.54607179632481</v>
      </c>
      <c r="AA78" s="10" t="str">
        <f t="shared" si="27"/>
        <v>1197.23627865145i</v>
      </c>
      <c r="AC78" s="10">
        <f>1/(2*$T$3+$T$6*$T$2/('4. Boost Inductor'!$B$11*$T$3^2)*($T$5))</f>
        <v>0.20979859335038364</v>
      </c>
      <c r="AD78" s="10" t="str">
        <f t="shared" si="22"/>
        <v>0.00456740382470347-0.0541034066852546i</v>
      </c>
      <c r="AE78" s="10" t="str">
        <f t="shared" si="23"/>
        <v>0.99999995482784-0.000628492052003533i</v>
      </c>
      <c r="AF78" s="10" t="str">
        <f t="shared" si="28"/>
        <v>0.217394504026342-2.59461036532716i</v>
      </c>
      <c r="AG78" s="10">
        <f t="shared" si="18"/>
        <v>2.6037018489535235</v>
      </c>
      <c r="AH78" s="10">
        <f t="shared" si="19"/>
        <v>-1.4872046178016134</v>
      </c>
      <c r="AI78" s="10">
        <f t="shared" si="20"/>
        <v>-85.210547872399104</v>
      </c>
      <c r="AJ78" s="10">
        <f t="shared" si="21"/>
        <v>8.3118250298148837</v>
      </c>
      <c r="AL78" s="10" t="str">
        <f t="shared" si="24"/>
        <v>0.0188148239687906-0.0395803529501614i</v>
      </c>
      <c r="AM78" s="10" t="str">
        <f t="shared" si="25"/>
        <v>0.996287066035887-0.0605233038240722i</v>
      </c>
      <c r="AN78" s="10" t="str">
        <f t="shared" si="29"/>
        <v>-3.53147732124079+8.76357986850159i</v>
      </c>
      <c r="AO78" s="10">
        <f t="shared" si="30"/>
        <v>9.4483683343762781</v>
      </c>
      <c r="AP78" s="10">
        <f t="shared" si="31"/>
        <v>1.9538621457137644</v>
      </c>
      <c r="AQ78" s="10">
        <f t="shared" si="32"/>
        <v>111.94805469977378</v>
      </c>
      <c r="AR78" s="10">
        <f t="shared" si="33"/>
        <v>19.507136308682046</v>
      </c>
      <c r="AS78" s="10">
        <f t="shared" si="34"/>
        <v>27.81896133849693</v>
      </c>
      <c r="AT78" s="10">
        <f t="shared" si="35"/>
        <v>26.737506827374673</v>
      </c>
    </row>
    <row r="79" spans="25:46" x14ac:dyDescent="0.25">
      <c r="Y79" s="10">
        <v>77</v>
      </c>
      <c r="Z79" s="10">
        <f t="shared" si="26"/>
        <v>204.17379446695278</v>
      </c>
      <c r="AA79" s="10" t="str">
        <f t="shared" si="27"/>
        <v>1282.86178550586i</v>
      </c>
      <c r="AC79" s="10">
        <f>1/(2*$T$3+$T$6*$T$2/('4. Boost Inductor'!$B$11*$T$3^2)*($T$5))</f>
        <v>0.20979859335038364</v>
      </c>
      <c r="AD79" s="10" t="str">
        <f t="shared" si="22"/>
        <v>0.0041889318991722-0.0505114345540233i</v>
      </c>
      <c r="AE79" s="10" t="str">
        <f t="shared" si="23"/>
        <v>0.999999948135421-0.000673441369603033i</v>
      </c>
      <c r="AF79" s="10" t="str">
        <f t="shared" si="28"/>
        <v>0.199244654359735-2.42235867651715i</v>
      </c>
      <c r="AG79" s="10">
        <f t="shared" si="18"/>
        <v>2.4305390328050378</v>
      </c>
      <c r="AH79" s="10">
        <f t="shared" si="19"/>
        <v>-1.4887287349427558</v>
      </c>
      <c r="AI79" s="10">
        <f t="shared" si="20"/>
        <v>-85.297873352070113</v>
      </c>
      <c r="AJ79" s="10">
        <f t="shared" si="21"/>
        <v>7.7140519988158163</v>
      </c>
      <c r="AL79" s="10" t="str">
        <f t="shared" si="24"/>
        <v>0.0186090902219926-0.0369462798460349i</v>
      </c>
      <c r="AM79" s="10" t="str">
        <f t="shared" si="25"/>
        <v>0.995739348138625-0.0648158843998174i</v>
      </c>
      <c r="AN79" s="10" t="str">
        <f t="shared" si="29"/>
        <v>-3.48518107373671+8.20692631814093i</v>
      </c>
      <c r="AO79" s="10">
        <f t="shared" si="30"/>
        <v>8.9162843554995934</v>
      </c>
      <c r="AP79" s="10">
        <f t="shared" si="31"/>
        <v>1.9723818199392871</v>
      </c>
      <c r="AQ79" s="10">
        <f t="shared" si="32"/>
        <v>113.00915387085344</v>
      </c>
      <c r="AR79" s="10">
        <f t="shared" si="33"/>
        <v>19.003678208400729</v>
      </c>
      <c r="AS79" s="10">
        <f t="shared" si="34"/>
        <v>26.717730207216544</v>
      </c>
      <c r="AT79" s="10">
        <f t="shared" si="35"/>
        <v>27.711280518783326</v>
      </c>
    </row>
    <row r="80" spans="25:46" x14ac:dyDescent="0.25">
      <c r="Y80" s="10">
        <v>78</v>
      </c>
      <c r="Z80" s="10">
        <f t="shared" si="26"/>
        <v>218.77616239495524</v>
      </c>
      <c r="AA80" s="10" t="str">
        <f t="shared" si="27"/>
        <v>1374.61116912112i</v>
      </c>
      <c r="AC80" s="10">
        <f>1/(2*$T$3+$T$6*$T$2/('4. Boost Inductor'!$B$11*$T$3^2)*($T$5))</f>
        <v>0.20979859335038364</v>
      </c>
      <c r="AD80" s="10" t="str">
        <f t="shared" si="22"/>
        <v>0.00385906206643261-0.0471556290175331i</v>
      </c>
      <c r="AE80" s="10" t="str">
        <f t="shared" si="23"/>
        <v>0.999999940451495-0.000721605431788235i</v>
      </c>
      <c r="AF80" s="10" t="str">
        <f t="shared" si="28"/>
        <v>0.183425547247097-2.26143274918325i</v>
      </c>
      <c r="AG80" s="10">
        <f t="shared" si="18"/>
        <v>2.2688594073810324</v>
      </c>
      <c r="AH80" s="10">
        <f t="shared" si="19"/>
        <v>-1.4898631739107064</v>
      </c>
      <c r="AI80" s="10">
        <f t="shared" si="20"/>
        <v>-85.362871917048864</v>
      </c>
      <c r="AJ80" s="10">
        <f t="shared" si="21"/>
        <v>7.1161517027109724</v>
      </c>
      <c r="AL80" s="10" t="str">
        <f t="shared" si="24"/>
        <v>0.0184298333113055-0.0344865725928318i</v>
      </c>
      <c r="AM80" s="10" t="str">
        <f t="shared" si="25"/>
        <v>0.995111233356144-0.0694072295364653i</v>
      </c>
      <c r="AN80" s="10" t="str">
        <f t="shared" si="29"/>
        <v>-3.4443612065703+7.68898212293569i</v>
      </c>
      <c r="AO80" s="10">
        <f t="shared" si="30"/>
        <v>8.4252044609107895</v>
      </c>
      <c r="AP80" s="10">
        <f t="shared" si="31"/>
        <v>1.9919530099784541</v>
      </c>
      <c r="AQ80" s="10">
        <f t="shared" si="32"/>
        <v>114.13050046014619</v>
      </c>
      <c r="AR80" s="10">
        <f t="shared" si="33"/>
        <v>18.511608980583535</v>
      </c>
      <c r="AS80" s="10">
        <f t="shared" si="34"/>
        <v>25.627760683294508</v>
      </c>
      <c r="AT80" s="10">
        <f t="shared" si="35"/>
        <v>28.767628543097331</v>
      </c>
    </row>
    <row r="81" spans="25:46" x14ac:dyDescent="0.25">
      <c r="Y81" s="10">
        <v>79</v>
      </c>
      <c r="Z81" s="10">
        <f t="shared" si="26"/>
        <v>234.42288153199212</v>
      </c>
      <c r="AA81" s="10" t="str">
        <f t="shared" si="27"/>
        <v>1472.92240490851i</v>
      </c>
      <c r="AC81" s="10">
        <f>1/(2*$T$3+$T$6*$T$2/('4. Boost Inductor'!$B$11*$T$3^2)*($T$5))</f>
        <v>0.20979859335038364</v>
      </c>
      <c r="AD81" s="10" t="str">
        <f t="shared" si="22"/>
        <v>0.0035715793383437-0.0440208941953858i</v>
      </c>
      <c r="AE81" s="10" t="str">
        <f t="shared" si="23"/>
        <v>0.999999931629167-0.000773214155001201i</v>
      </c>
      <c r="AF81" s="10" t="str">
        <f t="shared" si="28"/>
        <v>0.16963913917731-2.11110866918194i</v>
      </c>
      <c r="AG81" s="10">
        <f t="shared" si="18"/>
        <v>2.1179134190603635</v>
      </c>
      <c r="AH81" s="10">
        <f t="shared" si="19"/>
        <v>-1.4906131369850648</v>
      </c>
      <c r="AI81" s="10">
        <f t="shared" si="20"/>
        <v>-85.405841636000261</v>
      </c>
      <c r="AJ81" s="10">
        <f t="shared" si="21"/>
        <v>6.5181640408977408</v>
      </c>
      <c r="AL81" s="10" t="str">
        <f t="shared" si="24"/>
        <v>0.0182736537053603-0.0321898631711531i</v>
      </c>
      <c r="AM81" s="10" t="str">
        <f t="shared" si="25"/>
        <v>0.994391047234857-0.0743168313906735i</v>
      </c>
      <c r="AN81" s="10" t="str">
        <f t="shared" si="29"/>
        <v>-3.4082443463978+7.20734798673126i</v>
      </c>
      <c r="AO81" s="10">
        <f t="shared" si="30"/>
        <v>7.9725776588623907</v>
      </c>
      <c r="AP81" s="10">
        <f t="shared" si="31"/>
        <v>2.012517326252143</v>
      </c>
      <c r="AQ81" s="10">
        <f t="shared" si="32"/>
        <v>115.30874899120076</v>
      </c>
      <c r="AR81" s="10">
        <f t="shared" si="33"/>
        <v>18.03197516576596</v>
      </c>
      <c r="AS81" s="10">
        <f t="shared" si="34"/>
        <v>24.550139206663701</v>
      </c>
      <c r="AT81" s="10">
        <f t="shared" si="35"/>
        <v>29.902907355200497</v>
      </c>
    </row>
    <row r="82" spans="25:46" x14ac:dyDescent="0.25">
      <c r="Y82" s="10">
        <v>80</v>
      </c>
      <c r="Z82" s="10">
        <f t="shared" si="26"/>
        <v>251.18864315095806</v>
      </c>
      <c r="AA82" s="10" t="str">
        <f t="shared" si="27"/>
        <v>1578.26479197648i</v>
      </c>
      <c r="AC82" s="10">
        <f>1/(2*$T$3+$T$6*$T$2/('4. Boost Inductor'!$B$11*$T$3^2)*($T$5))</f>
        <v>0.20979859335038364</v>
      </c>
      <c r="AD82" s="10" t="str">
        <f t="shared" si="22"/>
        <v>0.00332105711813192-0.0410930178500962i</v>
      </c>
      <c r="AE82" s="10" t="str">
        <f t="shared" si="23"/>
        <v>0.999999921499779-0.000828513899181095i</v>
      </c>
      <c r="AF82" s="10" t="str">
        <f t="shared" si="28"/>
        <v>0.157625194420401-1.97070489927754i</v>
      </c>
      <c r="AG82" s="10">
        <f t="shared" si="18"/>
        <v>1.9769986094968726</v>
      </c>
      <c r="AH82" s="10">
        <f t="shared" si="19"/>
        <v>-1.4909820710716621</v>
      </c>
      <c r="AI82" s="10">
        <f t="shared" si="20"/>
        <v>-85.426980002080796</v>
      </c>
      <c r="AJ82" s="10">
        <f t="shared" si="21"/>
        <v>5.9201272771379099</v>
      </c>
      <c r="AL82" s="10" t="str">
        <f t="shared" si="24"/>
        <v>0.0181375864552937-0.0300454919739813i</v>
      </c>
      <c r="AM82" s="10" t="str">
        <f t="shared" si="25"/>
        <v>0.993565460052396-0.079565153203785i</v>
      </c>
      <c r="AN82" s="10" t="str">
        <f t="shared" si="29"/>
        <v>-3.37614593587943+6.75978110654939i</v>
      </c>
      <c r="AO82" s="10">
        <f t="shared" si="30"/>
        <v>7.5559911321293445</v>
      </c>
      <c r="AP82" s="10">
        <f t="shared" si="31"/>
        <v>2.0340006732680838</v>
      </c>
      <c r="AQ82" s="10">
        <f t="shared" si="32"/>
        <v>116.53965410502913</v>
      </c>
      <c r="AR82" s="10">
        <f t="shared" si="33"/>
        <v>17.565828791058514</v>
      </c>
      <c r="AS82" s="10">
        <f t="shared" si="34"/>
        <v>23.485956068196423</v>
      </c>
      <c r="AT82" s="10">
        <f t="shared" si="35"/>
        <v>31.112674102948333</v>
      </c>
    </row>
    <row r="83" spans="25:46" x14ac:dyDescent="0.25">
      <c r="Y83" s="10">
        <v>81</v>
      </c>
      <c r="Z83" s="10">
        <f t="shared" si="26"/>
        <v>269.15348039269156</v>
      </c>
      <c r="AA83" s="10" t="str">
        <f t="shared" si="27"/>
        <v>1691.14119337961i</v>
      </c>
      <c r="AC83" s="10">
        <f>1/(2*$T$3+$T$6*$T$2/('4. Boost Inductor'!$B$11*$T$3^2)*($T$5))</f>
        <v>0.20979859335038364</v>
      </c>
      <c r="AD83" s="10" t="str">
        <f t="shared" si="22"/>
        <v>0.00310275872453235-0.0383586353320171i</v>
      </c>
      <c r="AE83" s="10" t="str">
        <f t="shared" si="23"/>
        <v>0.999999909869685-0.000887768643799187i</v>
      </c>
      <c r="AF83" s="10" t="str">
        <f t="shared" si="28"/>
        <v>0.14715656255817-1.83958055019083i</v>
      </c>
      <c r="AG83" s="10">
        <f t="shared" si="18"/>
        <v>1.8454570313459844</v>
      </c>
      <c r="AH83" s="10">
        <f t="shared" si="19"/>
        <v>-1.4909716785070699</v>
      </c>
      <c r="AI83" s="10">
        <f t="shared" si="20"/>
        <v>-85.426384551991347</v>
      </c>
      <c r="AJ83" s="10">
        <f t="shared" si="21"/>
        <v>5.322078755287226</v>
      </c>
      <c r="AL83" s="10" t="str">
        <f t="shared" si="24"/>
        <v>0.018019046099607-0.0280434698867352i</v>
      </c>
      <c r="AM83" s="10" t="str">
        <f t="shared" si="25"/>
        <v>0.992619264753018-0.0851736049449604i</v>
      </c>
      <c r="AN83" s="10" t="str">
        <f t="shared" si="29"/>
        <v>-3.34745759495317+6.34418688399857i</v>
      </c>
      <c r="AO83" s="10">
        <f t="shared" si="30"/>
        <v>7.1731568760977993</v>
      </c>
      <c r="AP83" s="10">
        <f t="shared" si="31"/>
        <v>2.0563119879551373</v>
      </c>
      <c r="AQ83" s="10">
        <f t="shared" si="32"/>
        <v>117.81799827198553</v>
      </c>
      <c r="AR83" s="10">
        <f t="shared" si="33"/>
        <v>17.114206578171476</v>
      </c>
      <c r="AS83" s="10">
        <f t="shared" si="34"/>
        <v>22.436285333458702</v>
      </c>
      <c r="AT83" s="10">
        <f t="shared" si="35"/>
        <v>32.391613719994183</v>
      </c>
    </row>
    <row r="84" spans="25:46" x14ac:dyDescent="0.25">
      <c r="Y84" s="10">
        <v>82</v>
      </c>
      <c r="Z84" s="10">
        <f t="shared" si="26"/>
        <v>288.4031503126605</v>
      </c>
      <c r="AA84" s="10" t="str">
        <f t="shared" si="27"/>
        <v>1812.09043658881i</v>
      </c>
      <c r="AC84" s="10">
        <f>1/(2*$T$3+$T$6*$T$2/('4. Boost Inductor'!$B$11*$T$3^2)*($T$5))</f>
        <v>0.20979859335038364</v>
      </c>
      <c r="AD84" s="10" t="str">
        <f t="shared" si="22"/>
        <v>0.00291255084387907-0.0358051917196058i</v>
      </c>
      <c r="AE84" s="10" t="str">
        <f t="shared" si="23"/>
        <v>0.99999989651655-0.000951261248004914i</v>
      </c>
      <c r="AF84" s="10" t="str">
        <f t="shared" si="28"/>
        <v>0.138035028026759-1.71713356511085i</v>
      </c>
      <c r="AG84" s="10">
        <f t="shared" si="18"/>
        <v>1.7226727342686556</v>
      </c>
      <c r="AH84" s="10">
        <f t="shared" si="19"/>
        <v>-1.4905819226878032</v>
      </c>
      <c r="AI84" s="10">
        <f t="shared" si="20"/>
        <v>-85.404053188506694</v>
      </c>
      <c r="AJ84" s="10">
        <f t="shared" si="21"/>
        <v>4.7240555988622592</v>
      </c>
      <c r="AL84" s="10" t="str">
        <f t="shared" si="24"/>
        <v>0.0179157784424119-0.0261744411635675i</v>
      </c>
      <c r="AM84" s="10" t="str">
        <f t="shared" si="25"/>
        <v>0.99153512910928-0.0911644970593122i</v>
      </c>
      <c r="AN84" s="10" t="str">
        <f t="shared" si="29"/>
        <v>-3.32163588812507+5.9586107391957i</v>
      </c>
      <c r="AO84" s="10">
        <f t="shared" si="30"/>
        <v>6.8218990695068742</v>
      </c>
      <c r="AP84" s="10">
        <f t="shared" si="31"/>
        <v>2.0793423751106364</v>
      </c>
      <c r="AQ84" s="10">
        <f t="shared" si="32"/>
        <v>119.13754225654795</v>
      </c>
      <c r="AR84" s="10">
        <f t="shared" si="33"/>
        <v>16.678105794008985</v>
      </c>
      <c r="AS84" s="10">
        <f t="shared" si="34"/>
        <v>21.402161392871243</v>
      </c>
      <c r="AT84" s="10">
        <f t="shared" si="35"/>
        <v>33.733489068041251</v>
      </c>
    </row>
    <row r="85" spans="25:46" x14ac:dyDescent="0.25">
      <c r="Y85" s="10">
        <v>83</v>
      </c>
      <c r="Z85" s="10">
        <f t="shared" si="26"/>
        <v>309.02954325135909</v>
      </c>
      <c r="AA85" s="10" t="str">
        <f t="shared" si="27"/>
        <v>1941.68988564136i</v>
      </c>
      <c r="AC85" s="10">
        <f>1/(2*$T$3+$T$6*$T$2/('4. Boost Inductor'!$B$11*$T$3^2)*($T$5))</f>
        <v>0.20979859335038364</v>
      </c>
      <c r="AD85" s="10" t="str">
        <f t="shared" si="22"/>
        <v>0.00274682755675335-0.0334209030406371i</v>
      </c>
      <c r="AE85" s="10" t="str">
        <f t="shared" si="23"/>
        <v>0.999999881185099-0.00101929480089879i</v>
      </c>
      <c r="AF85" s="10" t="str">
        <f t="shared" si="28"/>
        <v>0.130087666768477-1.60279886013987i</v>
      </c>
      <c r="AG85" s="10">
        <f t="shared" si="18"/>
        <v>1.6080693352933926</v>
      </c>
      <c r="AH85" s="10">
        <f t="shared" si="19"/>
        <v>-1.489811028447918</v>
      </c>
      <c r="AI85" s="10">
        <f t="shared" si="20"/>
        <v>-85.359884202110337</v>
      </c>
      <c r="AJ85" s="10">
        <f t="shared" si="21"/>
        <v>4.1260954067330076</v>
      </c>
      <c r="AL85" s="10" t="str">
        <f t="shared" si="24"/>
        <v>0.0178258183747095-0.0244296473662724i</v>
      </c>
      <c r="AM85" s="10" t="str">
        <f t="shared" si="25"/>
        <v>0.990293320435148-0.0975609666915095i</v>
      </c>
      <c r="AN85" s="10" t="str">
        <f t="shared" si="29"/>
        <v>-3.2981923126322+5.60123006690367i</v>
      </c>
      <c r="AO85" s="10">
        <f t="shared" si="30"/>
        <v>6.5001423671710334</v>
      </c>
      <c r="AP85" s="10">
        <f t="shared" si="31"/>
        <v>2.1029647574118777</v>
      </c>
      <c r="AQ85" s="10">
        <f t="shared" si="32"/>
        <v>120.4910050644536</v>
      </c>
      <c r="AR85" s="10">
        <f t="shared" si="33"/>
        <v>16.258457374702285</v>
      </c>
      <c r="AS85" s="10">
        <f t="shared" si="34"/>
        <v>20.384552781435293</v>
      </c>
      <c r="AT85" s="10">
        <f t="shared" si="35"/>
        <v>35.131120862343266</v>
      </c>
    </row>
    <row r="86" spans="25:46" x14ac:dyDescent="0.25">
      <c r="Y86" s="10">
        <v>84</v>
      </c>
      <c r="Z86" s="10">
        <f t="shared" si="26"/>
        <v>331.13112148259108</v>
      </c>
      <c r="AA86" s="10" t="str">
        <f t="shared" si="27"/>
        <v>2080.55819724932i</v>
      </c>
      <c r="AC86" s="10">
        <f>1/(2*$T$3+$T$6*$T$2/('4. Boost Inductor'!$B$11*$T$3^2)*($T$5))</f>
        <v>0.20979859335038364</v>
      </c>
      <c r="AD86" s="10" t="str">
        <f t="shared" si="22"/>
        <v>0.00260244371637395-0.0311947172642964i</v>
      </c>
      <c r="AE86" s="10" t="str">
        <f t="shared" si="23"/>
        <v>0.999999863582237-0.00109219406837852i</v>
      </c>
      <c r="AF86" s="10" t="str">
        <f t="shared" si="28"/>
        <v>0.123163651351994-1.4960464537583i</v>
      </c>
      <c r="AG86" s="10">
        <f t="shared" si="18"/>
        <v>1.5011076832849606</v>
      </c>
      <c r="AH86" s="10">
        <f t="shared" si="19"/>
        <v>-1.4886554772096414</v>
      </c>
      <c r="AI86" s="10">
        <f t="shared" si="20"/>
        <v>-85.293675993145953</v>
      </c>
      <c r="AJ86" s="10">
        <f t="shared" si="21"/>
        <v>3.5282369571772283</v>
      </c>
      <c r="AL86" s="10" t="str">
        <f t="shared" si="24"/>
        <v>0.0177474530019705-0.0228008925560893i</v>
      </c>
      <c r="AM86" s="10" t="str">
        <f t="shared" si="25"/>
        <v>0.988871401548199-0.104386869642715i</v>
      </c>
      <c r="AN86" s="10" t="str">
        <f t="shared" si="29"/>
        <v>-3.27668434379553+5.27034635456331i</v>
      </c>
      <c r="AO86" s="10">
        <f t="shared" si="30"/>
        <v>6.2059013032704211</v>
      </c>
      <c r="AP86" s="10">
        <f t="shared" si="31"/>
        <v>2.1270341433045887</v>
      </c>
      <c r="AQ86" s="10">
        <f t="shared" si="32"/>
        <v>121.87007929157765</v>
      </c>
      <c r="AR86" s="10">
        <f t="shared" si="33"/>
        <v>15.856097288366485</v>
      </c>
      <c r="AS86" s="10">
        <f t="shared" si="34"/>
        <v>19.384334245543712</v>
      </c>
      <c r="AT86" s="10">
        <f t="shared" si="35"/>
        <v>36.5764032984317</v>
      </c>
    </row>
    <row r="87" spans="25:46" x14ac:dyDescent="0.25">
      <c r="Y87" s="10">
        <v>85</v>
      </c>
      <c r="Z87" s="10">
        <f t="shared" si="26"/>
        <v>354.81338923357566</v>
      </c>
      <c r="AA87" s="10" t="str">
        <f t="shared" si="27"/>
        <v>2229.35827402299i</v>
      </c>
      <c r="AC87" s="10">
        <f>1/(2*$T$3+$T$6*$T$2/('4. Boost Inductor'!$B$11*$T$3^2)*($T$5))</f>
        <v>0.20979859335038364</v>
      </c>
      <c r="AD87" s="10" t="str">
        <f t="shared" si="22"/>
        <v>0.00247665658001625-0.0291162755951382i</v>
      </c>
      <c r="AE87" s="10" t="str">
        <f t="shared" si="23"/>
        <v>0.999999843371444-0.00117030704346586i</v>
      </c>
      <c r="AF87" s="10" t="str">
        <f t="shared" si="28"/>
        <v>0.117131451871449-1.39637961077387i</v>
      </c>
      <c r="AG87" s="10">
        <f t="shared" si="18"/>
        <v>1.401283623825847</v>
      </c>
      <c r="AH87" s="10">
        <f t="shared" si="19"/>
        <v>-1.4871099970335471</v>
      </c>
      <c r="AI87" s="10">
        <f t="shared" si="20"/>
        <v>-85.205126501734625</v>
      </c>
      <c r="AJ87" s="10">
        <f t="shared" si="21"/>
        <v>2.9305209326397756</v>
      </c>
      <c r="AL87" s="10" t="str">
        <f t="shared" si="24"/>
        <v>0.0176791894260419-0.0212805098681653i</v>
      </c>
      <c r="AM87" s="10" t="str">
        <f t="shared" si="25"/>
        <v>0.987243897273765-0.111666630048744i</v>
      </c>
      <c r="AN87" s="10" t="str">
        <f t="shared" si="29"/>
        <v>-3.25670739413249+4.96437746473868i</v>
      </c>
      <c r="AO87" s="10">
        <f t="shared" si="30"/>
        <v>5.9372709777643191</v>
      </c>
      <c r="AP87" s="10">
        <f t="shared" si="31"/>
        <v>2.1513885879812631</v>
      </c>
      <c r="AQ87" s="10">
        <f t="shared" si="32"/>
        <v>123.26548618393598</v>
      </c>
      <c r="AR87" s="10">
        <f t="shared" si="33"/>
        <v>15.471737412619749</v>
      </c>
      <c r="AS87" s="10">
        <f t="shared" si="34"/>
        <v>18.402258345259526</v>
      </c>
      <c r="AT87" s="10">
        <f t="shared" si="35"/>
        <v>38.060359682201351</v>
      </c>
    </row>
    <row r="88" spans="25:46" x14ac:dyDescent="0.25">
      <c r="Y88" s="10">
        <v>86</v>
      </c>
      <c r="Z88" s="10">
        <f t="shared" si="26"/>
        <v>380.18939632056095</v>
      </c>
      <c r="AA88" s="10" t="str">
        <f t="shared" si="27"/>
        <v>2388.80042890683i</v>
      </c>
      <c r="AC88" s="10">
        <f>1/(2*$T$3+$T$6*$T$2/('4. Boost Inductor'!$B$11*$T$3^2)*($T$5))</f>
        <v>0.20979859335038364</v>
      </c>
      <c r="AD88" s="10" t="str">
        <f t="shared" si="22"/>
        <v>0.00236707471079138-0.0271758744713094i</v>
      </c>
      <c r="AE88" s="10" t="str">
        <f t="shared" si="23"/>
        <v>0.999999820166349-0.00125400660751571i</v>
      </c>
      <c r="AF88" s="10" t="str">
        <f t="shared" si="28"/>
        <v>0.111876385499983-1.30333302005277i</v>
      </c>
      <c r="AG88" s="10">
        <f t="shared" si="18"/>
        <v>1.3081258681000139</v>
      </c>
      <c r="AH88" s="10">
        <f t="shared" si="19"/>
        <v>-1.485167547802964</v>
      </c>
      <c r="AI88" s="10">
        <f t="shared" si="20"/>
        <v>-85.093832358903782</v>
      </c>
      <c r="AJ88" s="10">
        <f t="shared" si="21"/>
        <v>2.3329906777973557</v>
      </c>
      <c r="AL88" s="10" t="str">
        <f t="shared" si="24"/>
        <v>0.0176197266056947-0.0198613295506006i</v>
      </c>
      <c r="AM88" s="10" t="str">
        <f t="shared" si="25"/>
        <v>0.985381931673676-0.119425038341882i</v>
      </c>
      <c r="AN88" s="10" t="str">
        <f t="shared" si="29"/>
        <v>-3.23788756215894+4.68185006958556i</v>
      </c>
      <c r="AO88" s="10">
        <f t="shared" si="30"/>
        <v>5.6924191640515973</v>
      </c>
      <c r="AP88" s="10">
        <f t="shared" si="31"/>
        <v>2.1758508810106645</v>
      </c>
      <c r="AQ88" s="10">
        <f t="shared" si="32"/>
        <v>124.66707233173295</v>
      </c>
      <c r="AR88" s="10">
        <f t="shared" si="33"/>
        <v>15.105937441499083</v>
      </c>
      <c r="AS88" s="10">
        <f t="shared" si="34"/>
        <v>17.438928119296438</v>
      </c>
      <c r="AT88" s="10">
        <f t="shared" si="35"/>
        <v>39.573239972829171</v>
      </c>
    </row>
    <row r="89" spans="25:46" x14ac:dyDescent="0.25">
      <c r="Y89" s="10">
        <v>87</v>
      </c>
      <c r="Z89" s="10">
        <f t="shared" si="26"/>
        <v>407.38027780411232</v>
      </c>
      <c r="AA89" s="10" t="str">
        <f t="shared" si="27"/>
        <v>2559.64577593354i</v>
      </c>
      <c r="AC89" s="10">
        <f>1/(2*$T$3+$T$6*$T$2/('4. Boost Inductor'!$B$11*$T$3^2)*($T$5))</f>
        <v>0.20979859335038364</v>
      </c>
      <c r="AD89" s="10" t="str">
        <f t="shared" si="22"/>
        <v>0.00227161327428351-0.0253644285658923i</v>
      </c>
      <c r="AE89" s="10" t="str">
        <f t="shared" si="23"/>
        <v>0.999999793523332-0.00134369231023866i</v>
      </c>
      <c r="AF89" s="10" t="str">
        <f t="shared" si="28"/>
        <v>0.107298472712474-1.21647102036532i</v>
      </c>
      <c r="AG89" s="10">
        <f t="shared" si="18"/>
        <v>1.2211939672447913</v>
      </c>
      <c r="AH89" s="10">
        <f t="shared" si="19"/>
        <v>-1.4828193018972473</v>
      </c>
      <c r="AI89" s="10">
        <f t="shared" si="20"/>
        <v>-84.959287779247333</v>
      </c>
      <c r="AJ89" s="10">
        <f t="shared" si="21"/>
        <v>1.7356930039381633</v>
      </c>
      <c r="AL89" s="10" t="str">
        <f t="shared" si="24"/>
        <v>0.0175679307884344-0.0185366485124633i</v>
      </c>
      <c r="AM89" s="10" t="str">
        <f t="shared" si="25"/>
        <v>0.983252837455238-0.127686986493116i</v>
      </c>
      <c r="AN89" s="10" t="str">
        <f t="shared" si="29"/>
        <v>-3.21987506566467+4.42139221182631i</v>
      </c>
      <c r="AO89" s="10">
        <f t="shared" si="30"/>
        <v>5.4695799225614596</v>
      </c>
      <c r="AP89" s="10">
        <f t="shared" si="31"/>
        <v>2.2002309418426087</v>
      </c>
      <c r="AQ89" s="10">
        <f t="shared" si="32"/>
        <v>126.06394692167555</v>
      </c>
      <c r="AR89" s="10">
        <f t="shared" si="33"/>
        <v>14.759079454203635</v>
      </c>
      <c r="AS89" s="10">
        <f t="shared" si="34"/>
        <v>16.494772458141799</v>
      </c>
      <c r="AT89" s="10">
        <f t="shared" si="35"/>
        <v>41.104659142428218</v>
      </c>
    </row>
    <row r="90" spans="25:46" x14ac:dyDescent="0.25">
      <c r="Y90" s="10">
        <v>88</v>
      </c>
      <c r="Z90" s="10">
        <f t="shared" si="26"/>
        <v>436.51583224016542</v>
      </c>
      <c r="AA90" s="10" t="str">
        <f t="shared" si="27"/>
        <v>2742.70986348268i</v>
      </c>
      <c r="AC90" s="10">
        <f>1/(2*$T$3+$T$6*$T$2/('4. Boost Inductor'!$B$11*$T$3^2)*($T$5))</f>
        <v>0.20979859335038364</v>
      </c>
      <c r="AD90" s="10" t="str">
        <f t="shared" si="22"/>
        <v>0.00218845495254293-0.0236734350072381i</v>
      </c>
      <c r="AE90" s="10" t="str">
        <f t="shared" si="23"/>
        <v>0.999999762933053-0.00143979227703557i</v>
      </c>
      <c r="AF90" s="10" t="str">
        <f t="shared" si="28"/>
        <v>0.103310562891861-1.13538588469893i</v>
      </c>
      <c r="AG90" s="10">
        <f t="shared" si="18"/>
        <v>1.1400763919924863</v>
      </c>
      <c r="AH90" s="10">
        <f t="shared" si="19"/>
        <v>-1.4800546208460785</v>
      </c>
      <c r="AI90" s="10">
        <f t="shared" si="20"/>
        <v>-84.800883223315566</v>
      </c>
      <c r="AJ90" s="10">
        <f t="shared" si="21"/>
        <v>1.1386790532076405</v>
      </c>
      <c r="AL90" s="10" t="str">
        <f t="shared" si="24"/>
        <v>0.0175228140671299-0.0173002013959717i</v>
      </c>
      <c r="AM90" s="10" t="str">
        <f t="shared" si="25"/>
        <v>0.980819740778753-0.136477127861306i</v>
      </c>
      <c r="AN90" s="10" t="str">
        <f t="shared" si="29"/>
        <v>-3.20233827306793+4.1817259550621i</v>
      </c>
      <c r="AO90" s="10">
        <f t="shared" si="30"/>
        <v>5.2670487351453019</v>
      </c>
      <c r="AP90" s="10">
        <f t="shared" si="31"/>
        <v>2.2243288467653257</v>
      </c>
      <c r="AQ90" s="10">
        <f t="shared" si="32"/>
        <v>127.44465516885479</v>
      </c>
      <c r="AR90" s="10">
        <f t="shared" si="33"/>
        <v>14.431346736645567</v>
      </c>
      <c r="AS90" s="10">
        <f t="shared" si="34"/>
        <v>15.570025789853208</v>
      </c>
      <c r="AT90" s="10">
        <f t="shared" si="35"/>
        <v>42.643771945539228</v>
      </c>
    </row>
    <row r="91" spans="25:46" x14ac:dyDescent="0.25">
      <c r="Y91" s="10">
        <v>89</v>
      </c>
      <c r="Z91" s="10">
        <f t="shared" si="26"/>
        <v>467.73514128719791</v>
      </c>
      <c r="AA91" s="10" t="str">
        <f t="shared" si="27"/>
        <v>2938.86656738729i</v>
      </c>
      <c r="AC91" s="10">
        <f>1/(2*$T$3+$T$6*$T$2/('4. Boost Inductor'!$B$11*$T$3^2)*($T$5))</f>
        <v>0.20979859335038364</v>
      </c>
      <c r="AD91" s="10" t="str">
        <f t="shared" si="22"/>
        <v>0.00211601578685193-0.0220949389680351i</v>
      </c>
      <c r="AE91" s="10" t="str">
        <f t="shared" si="23"/>
        <v>0.999999727810707-0.00154276525275079i</v>
      </c>
      <c r="AF91" s="10" t="str">
        <f t="shared" si="28"/>
        <v>0.0998366962976449-1.05969617022025i</v>
      </c>
      <c r="AG91" s="10">
        <f t="shared" si="18"/>
        <v>1.064388716168625</v>
      </c>
      <c r="AH91" s="10">
        <f t="shared" si="19"/>
        <v>-1.4768610286183876</v>
      </c>
      <c r="AI91" s="10">
        <f t="shared" si="20"/>
        <v>-84.617903867183102</v>
      </c>
      <c r="AJ91" s="10">
        <f t="shared" si="21"/>
        <v>0.54200523694672909</v>
      </c>
      <c r="AL91" s="10" t="str">
        <f t="shared" si="24"/>
        <v>0.017483515669165-0.0161461331656086i</v>
      </c>
      <c r="AM91" s="10" t="str">
        <f t="shared" si="25"/>
        <v>0.978041127058957-0.145819447265821i</v>
      </c>
      <c r="AN91" s="10" t="str">
        <f t="shared" si="29"/>
        <v>-3.18495826576808+3.96166007593659i</v>
      </c>
      <c r="AO91" s="10">
        <f t="shared" si="30"/>
        <v>5.0831790950107525</v>
      </c>
      <c r="AP91" s="10">
        <f t="shared" si="31"/>
        <v>2.2479383552449637</v>
      </c>
      <c r="AQ91" s="10">
        <f t="shared" si="32"/>
        <v>128.79738036111635</v>
      </c>
      <c r="AR91" s="10">
        <f t="shared" si="33"/>
        <v>14.122708228304253</v>
      </c>
      <c r="AS91" s="10">
        <f t="shared" si="34"/>
        <v>14.664713465250982</v>
      </c>
      <c r="AT91" s="10">
        <f t="shared" si="35"/>
        <v>44.179476493933251</v>
      </c>
    </row>
    <row r="92" spans="25:46" x14ac:dyDescent="0.25">
      <c r="Y92" s="10">
        <v>90</v>
      </c>
      <c r="Z92" s="10">
        <f t="shared" si="26"/>
        <v>501.18723362727184</v>
      </c>
      <c r="AA92" s="10" t="str">
        <f t="shared" si="27"/>
        <v>3149.05226247286i</v>
      </c>
      <c r="AC92" s="10">
        <f>1/(2*$T$3+$T$6*$T$2/('4. Boost Inductor'!$B$11*$T$3^2)*($T$5))</f>
        <v>0.20979859335038364</v>
      </c>
      <c r="AD92" s="10" t="str">
        <f t="shared" si="22"/>
        <v>0.00205291534084442-0.0206215007204605i</v>
      </c>
      <c r="AE92" s="10" t="str">
        <f t="shared" si="23"/>
        <v>0.999999687484854-0.00165310279160241i</v>
      </c>
      <c r="AF92" s="10" t="str">
        <f t="shared" si="28"/>
        <v>0.0968106732194337-0.98904513855547i</v>
      </c>
      <c r="AG92" s="10">
        <f t="shared" si="18"/>
        <v>0.99377190167030238</v>
      </c>
      <c r="AH92" s="10">
        <f t="shared" si="19"/>
        <v>-1.4732241823918095</v>
      </c>
      <c r="AI92" s="10">
        <f t="shared" si="20"/>
        <v>-84.409527927662097</v>
      </c>
      <c r="AJ92" s="10">
        <f t="shared" si="21"/>
        <v>-5.4265736878193548E-2</v>
      </c>
      <c r="AL92" s="10" t="str">
        <f t="shared" si="24"/>
        <v>0.0174492856338154-0.0150689731899142i</v>
      </c>
      <c r="AM92" s="10" t="str">
        <f t="shared" si="25"/>
        <v>0.974870396488544-0.155736725255857i</v>
      </c>
      <c r="AN92" s="10" t="str">
        <f t="shared" si="29"/>
        <v>-3.16742388481021+3.76008274173414i</v>
      </c>
      <c r="AO92" s="10">
        <f t="shared" si="30"/>
        <v>4.9163804054154649</v>
      </c>
      <c r="AP92" s="10">
        <f t="shared" si="31"/>
        <v>2.2708507579802633</v>
      </c>
      <c r="AQ92" s="10">
        <f t="shared" si="32"/>
        <v>130.11016433635302</v>
      </c>
      <c r="AR92" s="10">
        <f t="shared" si="33"/>
        <v>13.832909581852064</v>
      </c>
      <c r="AS92" s="10">
        <f t="shared" si="34"/>
        <v>13.778643844973871</v>
      </c>
      <c r="AT92" s="10">
        <f t="shared" si="35"/>
        <v>45.700636408690926</v>
      </c>
    </row>
    <row r="93" spans="25:46" x14ac:dyDescent="0.25">
      <c r="Y93" s="10">
        <v>91</v>
      </c>
      <c r="Z93" s="10">
        <f t="shared" si="26"/>
        <v>537.03179637025255</v>
      </c>
      <c r="AA93" s="10" t="str">
        <f t="shared" si="27"/>
        <v>3374.27029244183i</v>
      </c>
      <c r="AC93" s="10">
        <f>1/(2*$T$3+$T$6*$T$2/('4. Boost Inductor'!$B$11*$T$3^2)*($T$5))</f>
        <v>0.20979859335038364</v>
      </c>
      <c r="AD93" s="10" t="str">
        <f t="shared" si="22"/>
        <v>0.00199795064745621-0.0192461642135552i</v>
      </c>
      <c r="AE93" s="10" t="str">
        <f t="shared" si="23"/>
        <v>0.999999641184572-0.00177133160374597i</v>
      </c>
      <c r="AF93" s="10" t="str">
        <f t="shared" si="28"/>
        <v>0.0941748045862374-0.923099249082119i</v>
      </c>
      <c r="AG93" s="10">
        <f t="shared" si="18"/>
        <v>0.92789068185580359</v>
      </c>
      <c r="AH93" s="10">
        <f t="shared" si="19"/>
        <v>-1.4691278418794373</v>
      </c>
      <c r="AI93" s="10">
        <f t="shared" si="20"/>
        <v>-84.174824904854717</v>
      </c>
      <c r="AJ93" s="10">
        <f t="shared" si="21"/>
        <v>-0.65006373129865525</v>
      </c>
      <c r="AL93" s="10" t="str">
        <f t="shared" si="24"/>
        <v>0.0174194705759825-0.0140636107790525i</v>
      </c>
      <c r="AM93" s="10" t="str">
        <f t="shared" si="25"/>
        <v>0.971255422052798-0.16624987913492i</v>
      </c>
      <c r="AN93" s="10" t="str">
        <f t="shared" si="29"/>
        <v>-3.14942723726273+3.5759541097396i</v>
      </c>
      <c r="AO93" s="10">
        <f t="shared" si="30"/>
        <v>4.7651169679007763</v>
      </c>
      <c r="AP93" s="10">
        <f t="shared" si="31"/>
        <v>2.2928588406607879</v>
      </c>
      <c r="AQ93" s="10">
        <f t="shared" si="32"/>
        <v>131.37113458912205</v>
      </c>
      <c r="AR93" s="10">
        <f t="shared" si="33"/>
        <v>13.561471312038398</v>
      </c>
      <c r="AS93" s="10">
        <f t="shared" si="34"/>
        <v>12.911407580739743</v>
      </c>
      <c r="AT93" s="10">
        <f t="shared" si="35"/>
        <v>47.196309684267334</v>
      </c>
    </row>
    <row r="94" spans="25:46" x14ac:dyDescent="0.25">
      <c r="Y94" s="10">
        <v>92</v>
      </c>
      <c r="Z94" s="10">
        <f t="shared" si="26"/>
        <v>575.43993733715661</v>
      </c>
      <c r="AA94" s="10" t="str">
        <f t="shared" si="27"/>
        <v>3615.59575944116i</v>
      </c>
      <c r="AC94" s="10">
        <f>1/(2*$T$3+$T$6*$T$2/('4. Boost Inductor'!$B$11*$T$3^2)*($T$5))</f>
        <v>0.20979859335038364</v>
      </c>
      <c r="AD94" s="10" t="str">
        <f t="shared" si="22"/>
        <v>0.0019500734673826-0.0179624271968282i</v>
      </c>
      <c r="AE94" s="10" t="str">
        <f t="shared" si="23"/>
        <v>0.999999588024727-0.00189801606967668i</v>
      </c>
      <c r="AF94" s="10" t="str">
        <f t="shared" si="28"/>
        <v>0.0918788213809418-0.861546726384135i</v>
      </c>
      <c r="AG94" s="10">
        <f t="shared" si="18"/>
        <v>0.86643203978244621</v>
      </c>
      <c r="AH94" s="10">
        <f t="shared" si="19"/>
        <v>-1.4645538385685968</v>
      </c>
      <c r="AI94" s="10">
        <f t="shared" si="20"/>
        <v>-83.912753819664687</v>
      </c>
      <c r="AJ94" s="10">
        <f t="shared" si="21"/>
        <v>-1.2453099262826341</v>
      </c>
      <c r="AL94" s="10" t="str">
        <f t="shared" si="24"/>
        <v>0.0173935012718528-0.0131252721320624i</v>
      </c>
      <c r="AM94" s="10" t="str">
        <f t="shared" si="25"/>
        <v>0.967138127905765-0.177377162348229i</v>
      </c>
      <c r="AN94" s="10" t="str">
        <f t="shared" si="29"/>
        <v>-3.13065966210179+3.40829877966295i</v>
      </c>
      <c r="AO94" s="10">
        <f t="shared" si="30"/>
        <v>4.6279077876901615</v>
      </c>
      <c r="AP94" s="10">
        <f t="shared" si="31"/>
        <v>2.3137607510929379</v>
      </c>
      <c r="AQ94" s="10">
        <f t="shared" si="32"/>
        <v>132.56872584064473</v>
      </c>
      <c r="AR94" s="10">
        <f t="shared" si="33"/>
        <v>13.307693938626649</v>
      </c>
      <c r="AS94" s="10">
        <f t="shared" si="34"/>
        <v>12.062384012344015</v>
      </c>
      <c r="AT94" s="10">
        <f t="shared" si="35"/>
        <v>48.655972020980045</v>
      </c>
    </row>
    <row r="95" spans="25:46" x14ac:dyDescent="0.25">
      <c r="Y95" s="10">
        <v>93</v>
      </c>
      <c r="Z95" s="10">
        <f t="shared" si="26"/>
        <v>616.59500186148216</v>
      </c>
      <c r="AA95" s="10" t="str">
        <f t="shared" si="27"/>
        <v>3874.18065617643i</v>
      </c>
      <c r="AC95" s="10">
        <f>1/(2*$T$3+$T$6*$T$2/('4. Boost Inductor'!$B$11*$T$3^2)*($T$5))</f>
        <v>0.20979859335038364</v>
      </c>
      <c r="AD95" s="10" t="str">
        <f t="shared" si="22"/>
        <v>0.00190837044384052-0.0167642128892853i</v>
      </c>
      <c r="AE95" s="10" t="str">
        <f t="shared" si="23"/>
        <v>0.999999526989043-0.002033760934477i</v>
      </c>
      <c r="AF95" s="10" t="str">
        <f t="shared" si="28"/>
        <v>0.0898789229486368-0.804096201832774i</v>
      </c>
      <c r="AG95" s="10">
        <f t="shared" si="18"/>
        <v>0.80910377739341954</v>
      </c>
      <c r="AH95" s="10">
        <f t="shared" si="19"/>
        <v>-1.4594820465608909</v>
      </c>
      <c r="AI95" s="10">
        <f t="shared" si="20"/>
        <v>-83.622161543054958</v>
      </c>
      <c r="AJ95" s="10">
        <f t="shared" si="21"/>
        <v>-1.8399154253861871</v>
      </c>
      <c r="AL95" s="10" t="str">
        <f t="shared" si="24"/>
        <v>0.0173708818350205-0.0122494986412918i</v>
      </c>
      <c r="AM95" s="10" t="str">
        <f t="shared" si="25"/>
        <v>0.962454112274701-0.189133203682209i</v>
      </c>
      <c r="AN95" s="10" t="str">
        <f t="shared" si="29"/>
        <v>-3.1108081826358+3.25619802853715i</v>
      </c>
      <c r="AO95" s="10">
        <f t="shared" si="30"/>
        <v>4.5033268979947554</v>
      </c>
      <c r="AP95" s="10">
        <f t="shared" si="31"/>
        <v>2.3333635742671075</v>
      </c>
      <c r="AQ95" s="10">
        <f t="shared" si="32"/>
        <v>133.69188487506588</v>
      </c>
      <c r="AR95" s="10">
        <f t="shared" si="33"/>
        <v>13.070669473757073</v>
      </c>
      <c r="AS95" s="10">
        <f t="shared" si="34"/>
        <v>11.230754048370887</v>
      </c>
      <c r="AT95" s="10">
        <f t="shared" si="35"/>
        <v>50.069723332010923</v>
      </c>
    </row>
    <row r="96" spans="25:46" x14ac:dyDescent="0.25">
      <c r="Y96" s="10">
        <v>94</v>
      </c>
      <c r="Z96" s="10">
        <f t="shared" si="26"/>
        <v>660.69344800759518</v>
      </c>
      <c r="AA96" s="10" t="str">
        <f t="shared" si="27"/>
        <v>4151.25936507114i</v>
      </c>
      <c r="AC96" s="10">
        <f>1/(2*$T$3+$T$6*$T$2/('4. Boost Inductor'!$B$11*$T$3^2)*($T$5))</f>
        <v>0.20979859335038364</v>
      </c>
      <c r="AD96" s="10" t="str">
        <f t="shared" si="22"/>
        <v>0.00187204578909986-0.0156458431741883i</v>
      </c>
      <c r="AE96" s="10" t="str">
        <f t="shared" si="23"/>
        <v>0.999999456910685-0.00217921419477582i</v>
      </c>
      <c r="AF96" s="10" t="str">
        <f t="shared" si="28"/>
        <v>0.0881369467172651-0.750475428349821i</v>
      </c>
      <c r="AG96" s="10">
        <f t="shared" si="18"/>
        <v>0.75563317154125087</v>
      </c>
      <c r="AH96" s="10">
        <f t="shared" si="19"/>
        <v>-1.4538903571040775</v>
      </c>
      <c r="AI96" s="10">
        <f t="shared" si="20"/>
        <v>-83.301781336831752</v>
      </c>
      <c r="AJ96" s="10">
        <f t="shared" si="21"/>
        <v>-2.4337797047577174</v>
      </c>
      <c r="AL96" s="10" t="str">
        <f t="shared" si="24"/>
        <v>0.0173511802806022-0.0114321264972787i</v>
      </c>
      <c r="AM96" s="10" t="str">
        <f t="shared" si="25"/>
        <v>0.957132346636707-0.201527868799055i</v>
      </c>
      <c r="AN96" s="10" t="str">
        <f t="shared" si="29"/>
        <v>-3.08955250297114+3.11878176000897i</v>
      </c>
      <c r="AO96" s="10">
        <f t="shared" si="30"/>
        <v>4.3900039106110009</v>
      </c>
      <c r="AP96" s="10">
        <f t="shared" si="31"/>
        <v>2.3514864574353571</v>
      </c>
      <c r="AQ96" s="10">
        <f t="shared" si="32"/>
        <v>134.73024959321526</v>
      </c>
      <c r="AR96" s="10">
        <f t="shared" si="33"/>
        <v>12.849298142227495</v>
      </c>
      <c r="AS96" s="10">
        <f t="shared" si="34"/>
        <v>10.415518437469778</v>
      </c>
      <c r="AT96" s="10">
        <f t="shared" si="35"/>
        <v>51.42846825638351</v>
      </c>
    </row>
    <row r="97" spans="25:46" x14ac:dyDescent="0.25">
      <c r="Y97" s="10">
        <v>95</v>
      </c>
      <c r="Z97" s="10">
        <f t="shared" si="26"/>
        <v>707.94578438413748</v>
      </c>
      <c r="AA97" s="10" t="str">
        <f t="shared" si="27"/>
        <v>4448.15455072214i</v>
      </c>
      <c r="AC97" s="10">
        <f>1/(2*$T$3+$T$6*$T$2/('4. Boost Inductor'!$B$11*$T$3^2)*($T$5))</f>
        <v>0.20979859335038364</v>
      </c>
      <c r="AD97" s="10" t="str">
        <f t="shared" si="22"/>
        <v>0.00184040618307575-0.0146020132856929i</v>
      </c>
      <c r="AE97" s="10" t="str">
        <f t="shared" si="23"/>
        <v>0.999999376449943-0.00233507019220678i</v>
      </c>
      <c r="AF97" s="10" t="str">
        <f t="shared" si="28"/>
        <v>0.0866196439987568-0.700430066730803i</v>
      </c>
      <c r="AG97" s="10">
        <f t="shared" si="18"/>
        <v>0.70576571261785481</v>
      </c>
      <c r="AH97" s="10">
        <f t="shared" si="19"/>
        <v>-1.4477546593854029</v>
      </c>
      <c r="AI97" s="10">
        <f t="shared" si="20"/>
        <v>-82.950231753183644</v>
      </c>
      <c r="AJ97" s="10">
        <f t="shared" si="21"/>
        <v>-3.0267888855898577</v>
      </c>
      <c r="AL97" s="10" t="str">
        <f t="shared" si="24"/>
        <v>0.0173340203003373-0.0106692675348314i</v>
      </c>
      <c r="AM97" s="10" t="str">
        <f t="shared" si="25"/>
        <v>0.951094991763404-0.21456492950422i</v>
      </c>
      <c r="AN97" s="10" t="str">
        <f t="shared" si="29"/>
        <v>-3.06656263979349+2.99522010857658i</v>
      </c>
      <c r="AO97" s="10">
        <f t="shared" si="30"/>
        <v>4.286624537161928</v>
      </c>
      <c r="AP97" s="10">
        <f t="shared" si="31"/>
        <v>2.367963179446368</v>
      </c>
      <c r="AQ97" s="10">
        <f t="shared" si="32"/>
        <v>135.6742962246565</v>
      </c>
      <c r="AR97" s="10">
        <f t="shared" si="33"/>
        <v>12.642308911734686</v>
      </c>
      <c r="AS97" s="10">
        <f t="shared" si="34"/>
        <v>9.6155200261448286</v>
      </c>
      <c r="AT97" s="10">
        <f t="shared" si="35"/>
        <v>52.724064471472857</v>
      </c>
    </row>
    <row r="98" spans="25:46" x14ac:dyDescent="0.25">
      <c r="Y98" s="10">
        <v>96</v>
      </c>
      <c r="Z98" s="10">
        <f t="shared" si="26"/>
        <v>758.57757502918309</v>
      </c>
      <c r="AA98" s="10" t="str">
        <f t="shared" si="27"/>
        <v>4766.28347377928i</v>
      </c>
      <c r="AC98" s="10">
        <f>1/(2*$T$3+$T$6*$T$2/('4. Boost Inductor'!$B$11*$T$3^2)*($T$5))</f>
        <v>0.20979859335038364</v>
      </c>
      <c r="AD98" s="10" t="str">
        <f t="shared" si="22"/>
        <v>0.00181284760384744-0.0136277679431633i</v>
      </c>
      <c r="AE98" s="10" t="str">
        <f t="shared" si="23"/>
        <v>0.999999284068618-0.0025020729281403i</v>
      </c>
      <c r="AF98" s="10" t="str">
        <f t="shared" si="28"/>
        <v>0.0852980484366072-0.653722541409638i</v>
      </c>
      <c r="AG98" s="10">
        <f t="shared" si="18"/>
        <v>0.65926392151714908</v>
      </c>
      <c r="AH98" s="10">
        <f t="shared" si="19"/>
        <v>-1.4410488307241489</v>
      </c>
      <c r="AI98" s="10">
        <f t="shared" si="20"/>
        <v>-82.566016072755929</v>
      </c>
      <c r="AJ98" s="10">
        <f t="shared" si="21"/>
        <v>-3.6188138109183727</v>
      </c>
      <c r="AL98" s="10" t="str">
        <f t="shared" si="24"/>
        <v>0.0173190740939991-0.00995729125988052i</v>
      </c>
      <c r="AM98" s="10" t="str">
        <f t="shared" si="25"/>
        <v>0.944257381196213-0.228240531524376i</v>
      </c>
      <c r="AN98" s="10" t="str">
        <f t="shared" si="29"/>
        <v>-3.04149731739364+2.88471465624682i</v>
      </c>
      <c r="AO98" s="10">
        <f t="shared" si="30"/>
        <v>4.1919308891819673</v>
      </c>
      <c r="AP98" s="10">
        <f t="shared" si="31"/>
        <v>2.3826441175971</v>
      </c>
      <c r="AQ98" s="10">
        <f t="shared" si="32"/>
        <v>136.51545201998604</v>
      </c>
      <c r="AR98" s="10">
        <f t="shared" si="33"/>
        <v>12.448282279635883</v>
      </c>
      <c r="AS98" s="10">
        <f t="shared" si="34"/>
        <v>8.8294684687175113</v>
      </c>
      <c r="AT98" s="10">
        <f t="shared" si="35"/>
        <v>53.949435947230114</v>
      </c>
    </row>
    <row r="99" spans="25:46" x14ac:dyDescent="0.25">
      <c r="Y99" s="10">
        <v>97</v>
      </c>
      <c r="Z99" s="10">
        <f t="shared" si="26"/>
        <v>812.8305161640983</v>
      </c>
      <c r="AA99" s="10" t="str">
        <f t="shared" si="27"/>
        <v>5107.16475638946i</v>
      </c>
      <c r="AC99" s="10">
        <f>1/(2*$T$3+$T$6*$T$2/('4. Boost Inductor'!$B$11*$T$3^2)*($T$5))</f>
        <v>0.20979859335038364</v>
      </c>
      <c r="AD99" s="10" t="str">
        <f t="shared" si="22"/>
        <v>0.00178884384484073-0.0127184788816197i</v>
      </c>
      <c r="AE99" s="10" t="str">
        <f t="shared" si="23"/>
        <v>0.999999178000628-0.00268101961552207i</v>
      </c>
      <c r="AF99" s="10" t="str">
        <f t="shared" si="28"/>
        <v>0.0841469253381228-0.610130963194142i</v>
      </c>
      <c r="AG99" s="10">
        <f t="shared" si="18"/>
        <v>0.61590624066660582</v>
      </c>
      <c r="AH99" s="10">
        <f t="shared" si="19"/>
        <v>-1.4337447399692103</v>
      </c>
      <c r="AI99" s="10">
        <f t="shared" si="20"/>
        <v>-82.147522499317418</v>
      </c>
      <c r="AJ99" s="10">
        <f t="shared" si="21"/>
        <v>-4.2097079080199089</v>
      </c>
      <c r="AL99" s="10" t="str">
        <f t="shared" si="24"/>
        <v>0.0173060561220227-0.0092928079965299i</v>
      </c>
      <c r="AM99" s="10" t="str">
        <f t="shared" si="25"/>
        <v>0.936528233400912-0.242541460284943i</v>
      </c>
      <c r="AN99" s="10" t="str">
        <f t="shared" si="29"/>
        <v>-3.0140032922213+2.78648924686544i</v>
      </c>
      <c r="AO99" s="10">
        <f t="shared" si="30"/>
        <v>4.1047214483345345</v>
      </c>
      <c r="AP99" s="10">
        <f t="shared" si="31"/>
        <v>2.3953976229478857</v>
      </c>
      <c r="AQ99" s="10">
        <f t="shared" si="32"/>
        <v>137.24617405058356</v>
      </c>
      <c r="AR99" s="10">
        <f t="shared" si="33"/>
        <v>12.265673813489942</v>
      </c>
      <c r="AS99" s="10">
        <f t="shared" si="34"/>
        <v>8.0559659054700319</v>
      </c>
      <c r="AT99" s="10">
        <f t="shared" si="35"/>
        <v>55.098651551266144</v>
      </c>
    </row>
    <row r="100" spans="25:46" x14ac:dyDescent="0.25">
      <c r="Y100" s="10">
        <v>98</v>
      </c>
      <c r="Z100" s="10">
        <f t="shared" si="26"/>
        <v>870.96358995608011</v>
      </c>
      <c r="AA100" s="10" t="str">
        <f t="shared" si="27"/>
        <v>5472.42563150043i</v>
      </c>
      <c r="AC100" s="10">
        <f>1/(2*$T$3+$T$6*$T$2/('4. Boost Inductor'!$B$11*$T$3^2)*($T$5))</f>
        <v>0.20979859335038364</v>
      </c>
      <c r="AD100" s="10" t="str">
        <f t="shared" si="22"/>
        <v>0.00176793650408914-0.011869823721836i</v>
      </c>
      <c r="AE100" s="10" t="str">
        <f t="shared" si="23"/>
        <v>0.999999056218228-0.00287276448478429i</v>
      </c>
      <c r="AF100" s="10" t="str">
        <f t="shared" si="28"/>
        <v>0.0831442916007426-0.569448116265011i</v>
      </c>
      <c r="AG100" s="10">
        <f t="shared" si="18"/>
        <v>0.57548599491521835</v>
      </c>
      <c r="AH100" s="10">
        <f t="shared" si="19"/>
        <v>-1.4258122686853751</v>
      </c>
      <c r="AI100" s="10">
        <f t="shared" si="20"/>
        <v>-81.693025373644943</v>
      </c>
      <c r="AJ100" s="10">
        <f t="shared" si="21"/>
        <v>-4.7993048187914766</v>
      </c>
      <c r="AL100" s="10" t="str">
        <f t="shared" si="24"/>
        <v>0.0172947176613916-0.00867265309437609i</v>
      </c>
      <c r="AM100" s="10" t="str">
        <f t="shared" si="25"/>
        <v>0.927810164525154-0.257443217126606i</v>
      </c>
      <c r="AN100" s="10" t="str">
        <f t="shared" si="29"/>
        <v>-2.98371581104161+2.69978042485605i</v>
      </c>
      <c r="AO100" s="10">
        <f t="shared" si="30"/>
        <v>4.0238506910042782</v>
      </c>
      <c r="AP100" s="10">
        <f t="shared" si="31"/>
        <v>2.4061108644138374</v>
      </c>
      <c r="AQ100" s="10">
        <f t="shared" si="32"/>
        <v>137.85999757148713</v>
      </c>
      <c r="AR100" s="10">
        <f t="shared" si="33"/>
        <v>12.092837148333276</v>
      </c>
      <c r="AS100" s="10">
        <f t="shared" si="34"/>
        <v>7.2935323295417991</v>
      </c>
      <c r="AT100" s="10">
        <f t="shared" si="35"/>
        <v>56.166972197842185</v>
      </c>
    </row>
    <row r="101" spans="25:46" x14ac:dyDescent="0.25">
      <c r="Y101" s="10">
        <v>99</v>
      </c>
      <c r="Z101" s="10">
        <f t="shared" si="26"/>
        <v>933.25430079699026</v>
      </c>
      <c r="AA101" s="10" t="str">
        <f t="shared" si="27"/>
        <v>5863.80971062981i</v>
      </c>
      <c r="AC101" s="10">
        <f>1/(2*$T$3+$T$6*$T$2/('4. Boost Inductor'!$B$11*$T$3^2)*($T$5))</f>
        <v>0.20979859335038364</v>
      </c>
      <c r="AD101" s="10" t="str">
        <f t="shared" si="22"/>
        <v>0.00174972625794223-0.0110777661205424i</v>
      </c>
      <c r="AE101" s="10" t="str">
        <f t="shared" si="23"/>
        <v>0.999998916393255-0.00307822286201251i</v>
      </c>
      <c r="AF101" s="10" t="str">
        <f t="shared" si="28"/>
        <v>0.0822709972344041-0.531480506584228i</v>
      </c>
      <c r="AG101" s="10">
        <f t="shared" si="18"/>
        <v>0.53781041814469421</v>
      </c>
      <c r="AH101" s="10">
        <f t="shared" si="19"/>
        <v>-1.4172193556064812</v>
      </c>
      <c r="AI101" s="10">
        <f t="shared" si="20"/>
        <v>-81.200687720501548</v>
      </c>
      <c r="AJ101" s="10">
        <f t="shared" si="21"/>
        <v>-5.3874157827181328</v>
      </c>
      <c r="AL101" s="10" t="str">
        <f t="shared" si="24"/>
        <v>0.0172848420618292-0.00809387213739711i</v>
      </c>
      <c r="AM101" s="10" t="str">
        <f t="shared" si="25"/>
        <v>0.918000583168515-0.272907936485681i</v>
      </c>
      <c r="AN101" s="10" t="str">
        <f t="shared" si="29"/>
        <v>-2.9502604403004+2.62382758310808i</v>
      </c>
      <c r="AO101" s="10">
        <f t="shared" si="30"/>
        <v>3.9482284446926692</v>
      </c>
      <c r="AP101" s="10">
        <f t="shared" si="31"/>
        <v>2.4146902381443751</v>
      </c>
      <c r="AQ101" s="10">
        <f t="shared" si="32"/>
        <v>138.35155947711237</v>
      </c>
      <c r="AR101" s="10">
        <f t="shared" si="33"/>
        <v>11.928045460494927</v>
      </c>
      <c r="AS101" s="10">
        <f t="shared" si="34"/>
        <v>6.5406296777767938</v>
      </c>
      <c r="AT101" s="10">
        <f t="shared" si="35"/>
        <v>57.150871756610826</v>
      </c>
    </row>
    <row r="102" spans="25:46" x14ac:dyDescent="0.25">
      <c r="Y102" s="10">
        <v>100</v>
      </c>
      <c r="Z102" s="10">
        <f t="shared" si="26"/>
        <v>999.99999999999977</v>
      </c>
      <c r="AA102" s="10" t="str">
        <f t="shared" si="27"/>
        <v>6283.18530717958i</v>
      </c>
      <c r="AC102" s="10">
        <f>1/(2*$T$3+$T$6*$T$2/('4. Boost Inductor'!$B$11*$T$3^2)*($T$5))</f>
        <v>0.20979859335038364</v>
      </c>
      <c r="AD102" s="10" t="str">
        <f t="shared" si="22"/>
        <v>0.00173386525524135-0.0103385371395972i</v>
      </c>
      <c r="AE102" s="10" t="str">
        <f t="shared" si="23"/>
        <v>0.999998755852616-0.00329837553885246i</v>
      </c>
      <c r="AF102" s="10" t="str">
        <f t="shared" si="28"/>
        <v>0.0815103606161443-0.496047468782552i</v>
      </c>
      <c r="AG102" s="10">
        <f t="shared" si="18"/>
        <v>0.50269974156881247</v>
      </c>
      <c r="AH102" s="10">
        <f t="shared" si="19"/>
        <v>-1.4079320708469272</v>
      </c>
      <c r="AI102" s="10">
        <f t="shared" si="20"/>
        <v>-80.668565500642941</v>
      </c>
      <c r="AJ102" s="10">
        <f t="shared" si="21"/>
        <v>-5.9738267607365856</v>
      </c>
      <c r="AL102" s="10" t="str">
        <f t="shared" si="24"/>
        <v>0.017276240612458-0.00755370709737544i</v>
      </c>
      <c r="AM102" s="10" t="str">
        <f t="shared" si="25"/>
        <v>0.906993055138056-0.288882198510392i</v>
      </c>
      <c r="AN102" s="10" t="str">
        <f t="shared" si="29"/>
        <v>-2.91325652809921+2.5578629815654i</v>
      </c>
      <c r="AO102" s="10">
        <f t="shared" si="30"/>
        <v>3.8768191382853163</v>
      </c>
      <c r="AP102" s="10">
        <f t="shared" si="31"/>
        <v>2.4210614593885111</v>
      </c>
      <c r="AQ102" s="10">
        <f t="shared" si="32"/>
        <v>138.71660356474544</v>
      </c>
      <c r="AR102" s="10">
        <f t="shared" si="33"/>
        <v>11.769510814692341</v>
      </c>
      <c r="AS102" s="10">
        <f t="shared" si="34"/>
        <v>5.795684053955755</v>
      </c>
      <c r="AT102" s="10">
        <f t="shared" si="35"/>
        <v>58.048038064102499</v>
      </c>
    </row>
    <row r="103" spans="25:46" x14ac:dyDescent="0.25">
      <c r="Y103" s="10">
        <v>101</v>
      </c>
      <c r="Z103" s="10">
        <f t="shared" si="26"/>
        <v>1071.5193052376057</v>
      </c>
      <c r="AA103" s="10" t="str">
        <f t="shared" si="27"/>
        <v>6732.5543550282i</v>
      </c>
      <c r="AC103" s="10">
        <f>1/(2*$T$3+$T$6*$T$2/('4. Boost Inductor'!$B$11*$T$3^2)*($T$5))</f>
        <v>0.20979859335038364</v>
      </c>
      <c r="AD103" s="10" t="str">
        <f t="shared" si="22"/>
        <v>0.00172005048871849-0.00964861777254668i</v>
      </c>
      <c r="AE103" s="10" t="str">
        <f t="shared" si="23"/>
        <v>0.99999857152718-0.00353427345503919i</v>
      </c>
      <c r="AF103" s="10" t="str">
        <f t="shared" si="28"/>
        <v>0.0808478506075026-0.462980328574587i</v>
      </c>
      <c r="AG103" s="10">
        <f t="shared" si="18"/>
        <v>0.4699863397960472</v>
      </c>
      <c r="AH103" s="10">
        <f t="shared" si="19"/>
        <v>-1.3979147274893842</v>
      </c>
      <c r="AI103" s="10">
        <f t="shared" si="20"/>
        <v>-80.094614004322324</v>
      </c>
      <c r="AJ103" s="10">
        <f t="shared" si="21"/>
        <v>-6.5582952939415069</v>
      </c>
      <c r="AL103" s="10" t="str">
        <f t="shared" si="24"/>
        <v>0.0172687489405519-0.00704958337679559i</v>
      </c>
      <c r="AM103" s="10" t="str">
        <f t="shared" si="25"/>
        <v>0.894679227439232-0.305294821710002i</v>
      </c>
      <c r="AN103" s="10" t="str">
        <f t="shared" si="29"/>
        <v>-2.87232256673851+2.50110189466859i</v>
      </c>
      <c r="AO103" s="10">
        <f t="shared" si="30"/>
        <v>3.8086411769698274</v>
      </c>
      <c r="AP103" s="10">
        <f t="shared" si="31"/>
        <v>2.4251694591491431</v>
      </c>
      <c r="AQ103" s="10">
        <f t="shared" si="32"/>
        <v>138.95197461327041</v>
      </c>
      <c r="AR103" s="10">
        <f t="shared" si="33"/>
        <v>11.615401169141325</v>
      </c>
      <c r="AS103" s="10">
        <f t="shared" si="34"/>
        <v>5.0571058751998184</v>
      </c>
      <c r="AT103" s="10">
        <f t="shared" si="35"/>
        <v>58.857360608948085</v>
      </c>
    </row>
    <row r="104" spans="25:46" x14ac:dyDescent="0.25">
      <c r="Y104" s="10">
        <v>102</v>
      </c>
      <c r="Z104" s="10">
        <f t="shared" si="26"/>
        <v>1148.1536214968828</v>
      </c>
      <c r="AA104" s="10" t="str">
        <f t="shared" si="27"/>
        <v>7214.06196497425i</v>
      </c>
      <c r="AC104" s="10">
        <f>1/(2*$T$3+$T$6*$T$2/('4. Boost Inductor'!$B$11*$T$3^2)*($T$5))</f>
        <v>0.20979859335038364</v>
      </c>
      <c r="AD104" s="10" t="str">
        <f t="shared" si="22"/>
        <v>0.00170801801853512-0.00900472256741008i</v>
      </c>
      <c r="AE104" s="10" t="str">
        <f t="shared" si="23"/>
        <v>0.999998359893106-0.00378704271592736i</v>
      </c>
      <c r="AF104" s="10" t="str">
        <f t="shared" si="28"/>
        <v>0.0802708095362118-0.432121617770058i</v>
      </c>
      <c r="AG104" s="10">
        <f t="shared" si="18"/>
        <v>0.43951393084612328</v>
      </c>
      <c r="AH104" s="10">
        <f t="shared" si="19"/>
        <v>-1.3871300393882808</v>
      </c>
      <c r="AI104" s="10">
        <f t="shared" si="20"/>
        <v>-79.476696892764139</v>
      </c>
      <c r="AJ104" s="10">
        <f t="shared" si="21"/>
        <v>-7.140547099234599</v>
      </c>
      <c r="AL104" s="10" t="str">
        <f t="shared" si="24"/>
        <v>0.0172622238740271-0.0065790976883393i</v>
      </c>
      <c r="AM104" s="10" t="str">
        <f t="shared" si="25"/>
        <v>0.880951393752319-0.322054756104663i</v>
      </c>
      <c r="AN104" s="10" t="str">
        <f t="shared" si="29"/>
        <v>-2.82708370361128+2.4527332607938i</v>
      </c>
      <c r="AO104" s="10">
        <f t="shared" si="30"/>
        <v>3.7427667193973844</v>
      </c>
      <c r="AP104" s="10">
        <f t="shared" si="31"/>
        <v>2.4269781990891452</v>
      </c>
      <c r="AQ104" s="10">
        <f t="shared" si="32"/>
        <v>139.05560777806929</v>
      </c>
      <c r="AR104" s="10">
        <f t="shared" si="33"/>
        <v>11.463855181691551</v>
      </c>
      <c r="AS104" s="10">
        <f t="shared" si="34"/>
        <v>4.3233080824569523</v>
      </c>
      <c r="AT104" s="10">
        <f t="shared" si="35"/>
        <v>59.578910885305149</v>
      </c>
    </row>
    <row r="105" spans="25:46" x14ac:dyDescent="0.25">
      <c r="Y105" s="10">
        <v>103</v>
      </c>
      <c r="Z105" s="10">
        <f t="shared" si="26"/>
        <v>1230.2687708123801</v>
      </c>
      <c r="AA105" s="10" t="str">
        <f t="shared" si="27"/>
        <v>7730.00666465024i</v>
      </c>
      <c r="AC105" s="10">
        <f>1/(2*$T$3+$T$6*$T$2/('4. Boost Inductor'!$B$11*$T$3^2)*($T$5))</f>
        <v>0.20979859335038364</v>
      </c>
      <c r="AD105" s="10" t="str">
        <f t="shared" si="22"/>
        <v>0.00169753793877366-0.0084037842856091i</v>
      </c>
      <c r="AE105" s="10" t="str">
        <f t="shared" si="23"/>
        <v>0.999998116904468-0.00405788996900713i</v>
      </c>
      <c r="AF105" s="10" t="str">
        <f t="shared" si="28"/>
        <v>0.0797682118059437-0.403324339001961i</v>
      </c>
      <c r="AG105" s="10">
        <f t="shared" si="18"/>
        <v>0.41113682642897204</v>
      </c>
      <c r="AH105" s="10">
        <f t="shared" si="19"/>
        <v>-1.3755393353110159</v>
      </c>
      <c r="AI105" s="10">
        <f t="shared" si="20"/>
        <v>-78.81259846755178</v>
      </c>
      <c r="AJ105" s="10">
        <f t="shared" si="21"/>
        <v>-7.7202724153255158</v>
      </c>
      <c r="AL105" s="10" t="str">
        <f t="shared" si="24"/>
        <v>0.0172565407080622-0.00614000672041852i</v>
      </c>
      <c r="AM105" s="10" t="str">
        <f t="shared" si="25"/>
        <v>0.865705764900338-0.339049237365137i</v>
      </c>
      <c r="AN105" s="10" t="str">
        <f t="shared" si="29"/>
        <v>-2.77718159028213+2.41191133510076i</v>
      </c>
      <c r="AO105" s="10">
        <f t="shared" si="30"/>
        <v>3.6783221547044396</v>
      </c>
      <c r="AP105" s="10">
        <f t="shared" si="31"/>
        <v>2.4264704979985452</v>
      </c>
      <c r="AQ105" s="10">
        <f t="shared" si="32"/>
        <v>139.0265186483237</v>
      </c>
      <c r="AR105" s="10">
        <f t="shared" si="33"/>
        <v>11.312995258690879</v>
      </c>
      <c r="AS105" s="10">
        <f t="shared" si="34"/>
        <v>3.5927228433653635</v>
      </c>
      <c r="AT105" s="10">
        <f t="shared" si="35"/>
        <v>60.213920180771922</v>
      </c>
    </row>
    <row r="106" spans="25:46" x14ac:dyDescent="0.25">
      <c r="Y106" s="10">
        <v>104</v>
      </c>
      <c r="Z106" s="10">
        <f t="shared" si="26"/>
        <v>1318.2567385564053</v>
      </c>
      <c r="AA106" s="10" t="str">
        <f t="shared" si="27"/>
        <v>8282.85137078809i</v>
      </c>
      <c r="AC106" s="10">
        <f>1/(2*$T$3+$T$6*$T$2/('4. Boost Inductor'!$B$11*$T$3^2)*($T$5))</f>
        <v>0.20979859335038364</v>
      </c>
      <c r="AD106" s="10" t="str">
        <f t="shared" si="22"/>
        <v>0.00168840999159786-0.0078429395385303i</v>
      </c>
      <c r="AE106" s="10" t="str">
        <f t="shared" si="23"/>
        <v>0.999997837915911-0.00434810816511135i</v>
      </c>
      <c r="AF106" s="10" t="str">
        <f t="shared" si="28"/>
        <v>0.0793304535646191-0.376451277367617i</v>
      </c>
      <c r="AG106" s="10">
        <f t="shared" si="18"/>
        <v>0.38471922891178534</v>
      </c>
      <c r="AH106" s="10">
        <f t="shared" si="19"/>
        <v>-1.363102840823341</v>
      </c>
      <c r="AI106" s="10">
        <f t="shared" si="20"/>
        <v>-78.100039821470304</v>
      </c>
      <c r="AJ106" s="10">
        <f t="shared" si="21"/>
        <v>-8.2971221276937293</v>
      </c>
      <c r="AL106" s="10" t="str">
        <f t="shared" si="24"/>
        <v>0.0172515908238748-0.00573021654057358i</v>
      </c>
      <c r="AM106" s="10" t="str">
        <f t="shared" si="25"/>
        <v>0.848846473746848-0.356142403389852i</v>
      </c>
      <c r="AN106" s="10" t="str">
        <f t="shared" si="29"/>
        <v>-2.72228665247974+2.37774897847832i</v>
      </c>
      <c r="AO106" s="10">
        <f t="shared" si="30"/>
        <v>3.6144895660278289</v>
      </c>
      <c r="AP106" s="10">
        <f t="shared" si="31"/>
        <v>2.4236479346946762</v>
      </c>
      <c r="AQ106" s="10">
        <f t="shared" si="32"/>
        <v>138.86479768360351</v>
      </c>
      <c r="AR106" s="10">
        <f t="shared" si="33"/>
        <v>11.160939508077918</v>
      </c>
      <c r="AS106" s="10">
        <f t="shared" si="34"/>
        <v>2.8638173803841891</v>
      </c>
      <c r="AT106" s="10">
        <f t="shared" si="35"/>
        <v>60.764757862133209</v>
      </c>
    </row>
    <row r="107" spans="25:46" x14ac:dyDescent="0.25">
      <c r="Y107" s="10">
        <v>105</v>
      </c>
      <c r="Z107" s="10">
        <f t="shared" si="26"/>
        <v>1412.5375446227531</v>
      </c>
      <c r="AA107" s="10" t="str">
        <f t="shared" si="27"/>
        <v>8875.23514621321i</v>
      </c>
      <c r="AC107" s="10">
        <f>1/(2*$T$3+$T$6*$T$2/('4. Boost Inductor'!$B$11*$T$3^2)*($T$5))</f>
        <v>0.20979859335038364</v>
      </c>
      <c r="AD107" s="10" t="str">
        <f t="shared" si="22"/>
        <v>0.00168045974595231-0.00731951534512298i</v>
      </c>
      <c r="AE107" s="10" t="str">
        <f t="shared" si="23"/>
        <v>0.999997517593827-0.00465908273186487i</v>
      </c>
      <c r="AF107" s="10" t="str">
        <f t="shared" si="28"/>
        <v>0.078949169444625-0.35137435627063i</v>
      </c>
      <c r="AG107" s="10">
        <f t="shared" si="18"/>
        <v>0.36013457151542078</v>
      </c>
      <c r="AH107" s="10">
        <f t="shared" si="19"/>
        <v>-1.3497800405216305</v>
      </c>
      <c r="AI107" s="10">
        <f t="shared" si="20"/>
        <v>-77.33669959288666</v>
      </c>
      <c r="AJ107" s="10">
        <f t="shared" si="21"/>
        <v>-8.8707037209940669</v>
      </c>
      <c r="AL107" s="10" t="str">
        <f t="shared" si="24"/>
        <v>0.0172472796143458-0.00534777269097793i</v>
      </c>
      <c r="AM107" s="10" t="str">
        <f t="shared" si="25"/>
        <v>0.830290291540684-0.373174611443025i</v>
      </c>
      <c r="AN107" s="10" t="str">
        <f t="shared" si="29"/>
        <v>-2.66211269781931+2.3493133328871i</v>
      </c>
      <c r="AO107" s="10">
        <f t="shared" si="30"/>
        <v>3.5505094214734738</v>
      </c>
      <c r="AP107" s="10">
        <f t="shared" si="31"/>
        <v>2.4185308585334937</v>
      </c>
      <c r="AQ107" s="10">
        <f t="shared" si="32"/>
        <v>138.57161081612077</v>
      </c>
      <c r="AR107" s="10">
        <f t="shared" si="33"/>
        <v>11.005813388215273</v>
      </c>
      <c r="AS107" s="10">
        <f t="shared" si="34"/>
        <v>2.1351096672212062</v>
      </c>
      <c r="AT107" s="10">
        <f t="shared" si="35"/>
        <v>61.234911223234107</v>
      </c>
    </row>
    <row r="108" spans="25:46" x14ac:dyDescent="0.25">
      <c r="Y108" s="10">
        <v>106</v>
      </c>
      <c r="Z108" s="10">
        <f t="shared" si="26"/>
        <v>1513.5612484362066</v>
      </c>
      <c r="AA108" s="10" t="str">
        <f t="shared" si="27"/>
        <v>9509.98579769076i</v>
      </c>
      <c r="AC108" s="10">
        <f>1/(2*$T$3+$T$6*$T$2/('4. Boost Inductor'!$B$11*$T$3^2)*($T$5))</f>
        <v>0.20979859335038364</v>
      </c>
      <c r="AD108" s="10" t="str">
        <f t="shared" si="22"/>
        <v>0.00167353526829149-0.00683101655610012i</v>
      </c>
      <c r="AE108" s="10" t="str">
        <f t="shared" si="23"/>
        <v>0.99999714981439-0.00499229818890691i</v>
      </c>
      <c r="AF108" s="10" t="str">
        <f t="shared" si="28"/>
        <v>0.0786170728975674-0.32797403485569i</v>
      </c>
      <c r="AG108" s="10">
        <f t="shared" si="18"/>
        <v>0.33726489839665019</v>
      </c>
      <c r="AH108" s="10">
        <f t="shared" si="19"/>
        <v>-1.3355301341919519</v>
      </c>
      <c r="AI108" s="10">
        <f t="shared" si="20"/>
        <v>-76.520240101739319</v>
      </c>
      <c r="AJ108" s="10">
        <f t="shared" si="21"/>
        <v>-9.4405771326886985</v>
      </c>
      <c r="AL108" s="10" t="str">
        <f t="shared" si="24"/>
        <v>0.0172435246769981-0.0049908509326918i</v>
      </c>
      <c r="AM108" s="10" t="str">
        <f t="shared" si="25"/>
        <v>0.809971960451143-0.389962718985198i</v>
      </c>
      <c r="AN108" s="10" t="str">
        <f t="shared" si="29"/>
        <v>-2.59643354859796+2.3256247137557i</v>
      </c>
      <c r="AO108" s="10">
        <f t="shared" si="30"/>
        <v>3.4856846503257115</v>
      </c>
      <c r="AP108" s="10">
        <f t="shared" si="31"/>
        <v>2.4111585026307027</v>
      </c>
      <c r="AQ108" s="10">
        <f t="shared" si="32"/>
        <v>138.14920593782247</v>
      </c>
      <c r="AR108" s="10">
        <f t="shared" si="33"/>
        <v>10.845761879126275</v>
      </c>
      <c r="AS108" s="10">
        <f t="shared" si="34"/>
        <v>1.4051847464375768</v>
      </c>
      <c r="AT108" s="10">
        <f t="shared" si="35"/>
        <v>61.628965836083154</v>
      </c>
    </row>
    <row r="109" spans="25:46" x14ac:dyDescent="0.25">
      <c r="Y109" s="10">
        <v>107</v>
      </c>
      <c r="Z109" s="10">
        <f t="shared" si="26"/>
        <v>1621.8100973589292</v>
      </c>
      <c r="AA109" s="10" t="str">
        <f t="shared" si="27"/>
        <v>10190.1333747611i</v>
      </c>
      <c r="AC109" s="10">
        <f>1/(2*$T$3+$T$6*$T$2/('4. Boost Inductor'!$B$11*$T$3^2)*($T$5))</f>
        <v>0.20979859335038364</v>
      </c>
      <c r="AD109" s="10" t="str">
        <f t="shared" si="22"/>
        <v>0.00166750422210358-0.00637511409262373i</v>
      </c>
      <c r="AE109" s="10" t="str">
        <f t="shared" si="23"/>
        <v>0.99999672754647-0.00534934523653938i</v>
      </c>
      <c r="AF109" s="10" t="str">
        <f t="shared" si="28"/>
        <v>0.0783278170909397-0.306138744539316i</v>
      </c>
      <c r="AG109" s="10">
        <f t="shared" si="18"/>
        <v>0.31600028138965369</v>
      </c>
      <c r="AH109" s="10">
        <f t="shared" si="19"/>
        <v>-1.3203126010528052</v>
      </c>
      <c r="AI109" s="10">
        <f t="shared" si="20"/>
        <v>-75.648339678265756</v>
      </c>
      <c r="AJ109" s="10">
        <f t="shared" si="21"/>
        <v>-10.006250613080059</v>
      </c>
      <c r="AL109" s="10" t="str">
        <f t="shared" si="24"/>
        <v>0.0172402542399066-0.00465774859767073i</v>
      </c>
      <c r="AM109" s="10" t="str">
        <f t="shared" si="25"/>
        <v>0.78784995620866-0.406301595399169i</v>
      </c>
      <c r="AN109" s="10" t="str">
        <f t="shared" si="29"/>
        <v>-2.5251010981347+2.30565956359691i</v>
      </c>
      <c r="AO109" s="10">
        <f t="shared" si="30"/>
        <v>3.4193861406701291</v>
      </c>
      <c r="AP109" s="10">
        <f t="shared" si="31"/>
        <v>2.4015891591791516</v>
      </c>
      <c r="AQ109" s="10">
        <f t="shared" si="32"/>
        <v>137.60092294533743</v>
      </c>
      <c r="AR109" s="10">
        <f t="shared" si="33"/>
        <v>10.678962941893101</v>
      </c>
      <c r="AS109" s="10">
        <f t="shared" si="34"/>
        <v>0.67271232881304144</v>
      </c>
      <c r="AT109" s="10">
        <f t="shared" si="35"/>
        <v>61.952583267071674</v>
      </c>
    </row>
    <row r="110" spans="25:46" x14ac:dyDescent="0.25">
      <c r="Y110" s="10">
        <v>108</v>
      </c>
      <c r="Z110" s="10">
        <f t="shared" si="26"/>
        <v>1737.8008287493742</v>
      </c>
      <c r="AA110" s="10" t="str">
        <f t="shared" si="27"/>
        <v>10918.9246340026i</v>
      </c>
      <c r="AC110" s="10">
        <f>1/(2*$T$3+$T$6*$T$2/('4. Boost Inductor'!$B$11*$T$3^2)*($T$5))</f>
        <v>0.20979859335038364</v>
      </c>
      <c r="AD110" s="10" t="str">
        <f t="shared" si="22"/>
        <v>0.00166225134109274-0.00594963394976815i</v>
      </c>
      <c r="AE110" s="10" t="str">
        <f t="shared" si="23"/>
        <v>0.9999962427172-0.00573192835173191i</v>
      </c>
      <c r="AF110" s="10" t="str">
        <f t="shared" si="28"/>
        <v>0.0780758737224391-0.285764362255462i</v>
      </c>
      <c r="AG110" s="10">
        <f t="shared" si="18"/>
        <v>0.29623827030414751</v>
      </c>
      <c r="AH110" s="10">
        <f t="shared" si="19"/>
        <v>-1.3040878861757246</v>
      </c>
      <c r="AI110" s="10">
        <f t="shared" si="20"/>
        <v>-74.718731992005914</v>
      </c>
      <c r="AJ110" s="10">
        <f t="shared" si="21"/>
        <v>-10.56717673477835</v>
      </c>
      <c r="AL110" s="10" t="str">
        <f t="shared" si="24"/>
        <v>0.0172374057905417-0.00434687650983961i</v>
      </c>
      <c r="AM110" s="10" t="str">
        <f t="shared" si="25"/>
        <v>0.763912390827159-0.421967104776577i</v>
      </c>
      <c r="AN110" s="10" t="str">
        <f t="shared" si="29"/>
        <v>-2.44806385826137+2.28835822519207i</v>
      </c>
      <c r="AO110" s="10">
        <f t="shared" si="30"/>
        <v>3.3510595370613374</v>
      </c>
      <c r="AP110" s="10">
        <f t="shared" si="31"/>
        <v>2.3899003436771098</v>
      </c>
      <c r="AQ110" s="10">
        <f t="shared" si="32"/>
        <v>136.93120314956334</v>
      </c>
      <c r="AR110" s="10">
        <f t="shared" si="33"/>
        <v>10.503642877132249</v>
      </c>
      <c r="AS110" s="10">
        <f t="shared" si="34"/>
        <v>-6.353385764610131E-2</v>
      </c>
      <c r="AT110" s="10">
        <f t="shared" si="35"/>
        <v>62.212471157557431</v>
      </c>
    </row>
    <row r="111" spans="25:46" x14ac:dyDescent="0.25">
      <c r="Y111" s="10">
        <v>109</v>
      </c>
      <c r="Z111" s="10">
        <f t="shared" si="26"/>
        <v>1862.0871366628671</v>
      </c>
      <c r="AA111" s="10" t="str">
        <f t="shared" si="27"/>
        <v>11699.8385377682i</v>
      </c>
      <c r="AC111" s="10">
        <f>1/(2*$T$3+$T$6*$T$2/('4. Boost Inductor'!$B$11*$T$3^2)*($T$5))</f>
        <v>0.20979859335038364</v>
      </c>
      <c r="AD111" s="10" t="str">
        <f t="shared" si="22"/>
        <v>0.00165767622795108-0.00555254691750006i</v>
      </c>
      <c r="AE111" s="10" t="str">
        <f t="shared" si="23"/>
        <v>0.999995686057629-0.00614187392785701i</v>
      </c>
      <c r="AF111" s="10" t="str">
        <f t="shared" si="28"/>
        <v>0.0778564274465585-0.266753718152394i</v>
      </c>
      <c r="AG111" s="10">
        <f t="shared" si="18"/>
        <v>0.27788337381510991</v>
      </c>
      <c r="AH111" s="10">
        <f t="shared" si="19"/>
        <v>-1.2868182221729088</v>
      </c>
      <c r="AI111" s="10">
        <f t="shared" si="20"/>
        <v>-73.729253131035563</v>
      </c>
      <c r="AJ111" s="10">
        <f t="shared" si="21"/>
        <v>-11.122748738893733</v>
      </c>
      <c r="AL111" s="10" t="str">
        <f t="shared" si="24"/>
        <v>0.0172349248814034-0.0040567514387747i</v>
      </c>
      <c r="AM111" s="10" t="str">
        <f t="shared" si="25"/>
        <v>0.738182659004636-0.436720732542165i</v>
      </c>
      <c r="AN111" s="10" t="str">
        <f t="shared" si="29"/>
        <v>-2.36538472678913+2.27263807803843i</v>
      </c>
      <c r="AO111" s="10">
        <f t="shared" si="30"/>
        <v>3.2802330312765124</v>
      </c>
      <c r="AP111" s="10">
        <f t="shared" si="31"/>
        <v>2.3761888483659956</v>
      </c>
      <c r="AQ111" s="10">
        <f t="shared" si="32"/>
        <v>136.1455923374231</v>
      </c>
      <c r="AR111" s="10">
        <f t="shared" si="33"/>
        <v>10.318093951078627</v>
      </c>
      <c r="AS111" s="10">
        <f t="shared" si="34"/>
        <v>-0.80465478781510669</v>
      </c>
      <c r="AT111" s="10">
        <f t="shared" si="35"/>
        <v>62.416339206387534</v>
      </c>
    </row>
    <row r="112" spans="25:46" x14ac:dyDescent="0.25">
      <c r="Y112" s="10">
        <v>110</v>
      </c>
      <c r="Z112" s="10">
        <f t="shared" si="26"/>
        <v>1995.2623149688786</v>
      </c>
      <c r="AA112" s="10" t="str">
        <f t="shared" si="27"/>
        <v>12536.6028613816i</v>
      </c>
      <c r="AC112" s="10">
        <f>1/(2*$T$3+$T$6*$T$2/('4. Boost Inductor'!$B$11*$T$3^2)*($T$5))</f>
        <v>0.20979859335038364</v>
      </c>
      <c r="AD112" s="10" t="str">
        <f t="shared" si="22"/>
        <v>0.00165369143681884-0.00518195897436183i</v>
      </c>
      <c r="AE112" s="10" t="str">
        <f t="shared" si="23"/>
        <v>0.999995046925488-0.00658113899715098i</v>
      </c>
      <c r="AF112" s="10" t="str">
        <f t="shared" si="28"/>
        <v>0.0776652839038103-0.249016135594806i</v>
      </c>
      <c r="AG112" s="10">
        <f t="shared" si="18"/>
        <v>0.26084656814002799</v>
      </c>
      <c r="AH112" s="10">
        <f t="shared" si="19"/>
        <v>-1.268468596929518</v>
      </c>
      <c r="AI112" s="10">
        <f t="shared" si="20"/>
        <v>-72.677897048942555</v>
      </c>
      <c r="AJ112" s="10">
        <f t="shared" si="21"/>
        <v>-11.672297455056242</v>
      </c>
      <c r="AL112" s="10" t="str">
        <f t="shared" si="24"/>
        <v>0.0172327640896684-0.00378598905168337i</v>
      </c>
      <c r="AM112" s="10" t="str">
        <f t="shared" si="25"/>
        <v>0.710724339136472-0.450315915327742i</v>
      </c>
      <c r="AN112" s="10" t="str">
        <f t="shared" si="29"/>
        <v>-2.27725640868125+2.25741222030276i</v>
      </c>
      <c r="AO112" s="10">
        <f t="shared" si="30"/>
        <v>3.2065256405106233</v>
      </c>
      <c r="AP112" s="10">
        <f t="shared" si="31"/>
        <v>2.3605705677692286</v>
      </c>
      <c r="AQ112" s="10">
        <f t="shared" si="32"/>
        <v>135.25073077597727</v>
      </c>
      <c r="AR112" s="10">
        <f t="shared" si="33"/>
        <v>10.120694340781702</v>
      </c>
      <c r="AS112" s="10">
        <f t="shared" si="34"/>
        <v>-1.5516031142745401</v>
      </c>
      <c r="AT112" s="10">
        <f t="shared" si="35"/>
        <v>62.57283372703472</v>
      </c>
    </row>
    <row r="113" spans="25:46" x14ac:dyDescent="0.25">
      <c r="Y113" s="10">
        <v>111</v>
      </c>
      <c r="Z113" s="10">
        <f t="shared" si="26"/>
        <v>2137.9620895022326</v>
      </c>
      <c r="AA113" s="10" t="str">
        <f t="shared" si="27"/>
        <v>13433.2119880674i</v>
      </c>
      <c r="AC113" s="10">
        <f>1/(2*$T$3+$T$6*$T$2/('4. Boost Inductor'!$B$11*$T$3^2)*($T$5))</f>
        <v>0.20979859335038364</v>
      </c>
      <c r="AD113" s="10" t="str">
        <f t="shared" si="22"/>
        <v>0.00165022080291126-0.00483610231146107i</v>
      </c>
      <c r="AE113" s="10" t="str">
        <f t="shared" si="23"/>
        <v>0.999994313101709-0.00705182057770889i</v>
      </c>
      <c r="AF113" s="10" t="str">
        <f t="shared" si="28"/>
        <v>0.0774987896009045-0.232467001441248i</v>
      </c>
      <c r="AG113" s="10">
        <f t="shared" si="18"/>
        <v>0.245044830895676</v>
      </c>
      <c r="AH113" s="10">
        <f t="shared" si="19"/>
        <v>-1.2490078741284629</v>
      </c>
      <c r="AI113" s="10">
        <f t="shared" si="20"/>
        <v>-71.562879766168095</v>
      </c>
      <c r="AJ113" s="10">
        <f t="shared" si="21"/>
        <v>-12.215089085811101</v>
      </c>
      <c r="AL113" s="10" t="str">
        <f t="shared" si="24"/>
        <v>0.0172308821109998-0.00353329733143124i</v>
      </c>
      <c r="AM113" s="10" t="str">
        <f t="shared" si="25"/>
        <v>0.6816448014248-0.462505975325673i</v>
      </c>
      <c r="AN113" s="10" t="str">
        <f t="shared" si="29"/>
        <v>-2.18401273869208+2.24161337397482i</v>
      </c>
      <c r="AO113" s="10">
        <f t="shared" si="30"/>
        <v>3.1296552783257225</v>
      </c>
      <c r="AP113" s="10">
        <f t="shared" si="31"/>
        <v>2.3431799738971892</v>
      </c>
      <c r="AQ113" s="10">
        <f t="shared" si="32"/>
        <v>134.25432314388334</v>
      </c>
      <c r="AR113" s="10">
        <f t="shared" si="33"/>
        <v>9.9099300802215531</v>
      </c>
      <c r="AS113" s="10">
        <f t="shared" si="34"/>
        <v>-2.3051590055895481</v>
      </c>
      <c r="AT113" s="10">
        <f t="shared" si="35"/>
        <v>62.691443377715245</v>
      </c>
    </row>
    <row r="114" spans="25:46" x14ac:dyDescent="0.25">
      <c r="Y114" s="10">
        <v>112</v>
      </c>
      <c r="Z114" s="10">
        <f t="shared" si="26"/>
        <v>2290.8676527677708</v>
      </c>
      <c r="AA114" s="10" t="str">
        <f t="shared" si="27"/>
        <v>14393.9459765634i</v>
      </c>
      <c r="AC114" s="10">
        <f>1/(2*$T$3+$T$6*$T$2/('4. Boost Inductor'!$B$11*$T$3^2)*($T$5))</f>
        <v>0.20979859335038364</v>
      </c>
      <c r="AD114" s="10" t="str">
        <f t="shared" si="22"/>
        <v>0.00164719798748281-0.00451332694672939i</v>
      </c>
      <c r="AE114" s="10" t="str">
        <f t="shared" si="23"/>
        <v>0.999993470556782-0.00755616568984453i</v>
      </c>
      <c r="AF114" s="10" t="str">
        <f t="shared" si="28"/>
        <v>0.0773537621151769-0.217027364680376i</v>
      </c>
      <c r="AG114" s="10">
        <f t="shared" si="18"/>
        <v>0.23040069777125308</v>
      </c>
      <c r="AH114" s="10">
        <f t="shared" si="19"/>
        <v>-1.2284100671389744</v>
      </c>
      <c r="AI114" s="10">
        <f t="shared" si="20"/>
        <v>-70.382712358445332</v>
      </c>
      <c r="AJ114" s="10">
        <f t="shared" si="21"/>
        <v>-12.750324199616616</v>
      </c>
      <c r="AL114" s="10" t="str">
        <f t="shared" si="24"/>
        <v>0.0172292429702298-0.00329747043032794i</v>
      </c>
      <c r="AM114" s="10" t="str">
        <f t="shared" si="25"/>
        <v>0.65109697313104-0.473053368171618i</v>
      </c>
      <c r="AN114" s="10" t="str">
        <f t="shared" si="29"/>
        <v>-2.08613414600847+2.22422207780664i</v>
      </c>
      <c r="AO114" s="10">
        <f t="shared" si="30"/>
        <v>3.0494457736685487</v>
      </c>
      <c r="AP114" s="10">
        <f t="shared" si="31"/>
        <v>2.3241691278686112</v>
      </c>
      <c r="AQ114" s="10">
        <f t="shared" si="32"/>
        <v>133.1650819014728</v>
      </c>
      <c r="AR114" s="10">
        <f t="shared" si="33"/>
        <v>9.6844182996628145</v>
      </c>
      <c r="AS114" s="10">
        <f t="shared" si="34"/>
        <v>-3.0659058999538011</v>
      </c>
      <c r="AT114" s="10">
        <f t="shared" si="35"/>
        <v>62.782369543027471</v>
      </c>
    </row>
    <row r="115" spans="25:46" x14ac:dyDescent="0.25">
      <c r="Y115" s="10">
        <v>113</v>
      </c>
      <c r="Z115" s="10">
        <f t="shared" si="26"/>
        <v>2454.708915685027</v>
      </c>
      <c r="AA115" s="10" t="str">
        <f t="shared" si="27"/>
        <v>15423.3909924349i</v>
      </c>
      <c r="AC115" s="10">
        <f>1/(2*$T$3+$T$6*$T$2/('4. Boost Inductor'!$B$11*$T$3^2)*($T$5))</f>
        <v>0.20979859335038364</v>
      </c>
      <c r="AD115" s="10" t="str">
        <f t="shared" si="22"/>
        <v>0.00164456521039102-0.00421209289170725i</v>
      </c>
      <c r="AE115" s="10" t="str">
        <f t="shared" si="23"/>
        <v>0.999992503182479-0.00809658208988808i</v>
      </c>
      <c r="AF115" s="10" t="str">
        <f t="shared" si="28"/>
        <v>0.0772274292927331-0.202623561619736i</v>
      </c>
      <c r="AG115" s="10">
        <f t="shared" si="18"/>
        <v>0.21684183996321152</v>
      </c>
      <c r="AH115" s="10">
        <f t="shared" si="19"/>
        <v>-1.2066557581275692</v>
      </c>
      <c r="AI115" s="10">
        <f t="shared" si="20"/>
        <v>-69.136282265868388</v>
      </c>
      <c r="AJ115" s="10">
        <f t="shared" si="21"/>
        <v>-13.277138325331224</v>
      </c>
      <c r="AL115" s="10" t="str">
        <f t="shared" si="24"/>
        <v>0.0172278153338452-0.00307738293125349i</v>
      </c>
      <c r="AM115" s="10" t="str">
        <f t="shared" si="25"/>
        <v>0.619278782829081-0.481739749130075i</v>
      </c>
      <c r="AN115" s="10" t="str">
        <f t="shared" si="29"/>
        <v>-1.98424573116522+2.20429758087752i</v>
      </c>
      <c r="AO115" s="10">
        <f t="shared" si="30"/>
        <v>2.9658319147770129</v>
      </c>
      <c r="AP115" s="10">
        <f t="shared" si="31"/>
        <v>2.3037061396411609</v>
      </c>
      <c r="AQ115" s="10">
        <f t="shared" si="32"/>
        <v>131.99263903981398</v>
      </c>
      <c r="AR115" s="10">
        <f t="shared" si="33"/>
        <v>9.4429306846675747</v>
      </c>
      <c r="AS115" s="10">
        <f t="shared" si="34"/>
        <v>-3.8342076406636494</v>
      </c>
      <c r="AT115" s="10">
        <f t="shared" si="35"/>
        <v>62.856356773945592</v>
      </c>
    </row>
    <row r="116" spans="25:46" x14ac:dyDescent="0.25">
      <c r="Y116" s="10">
        <v>114</v>
      </c>
      <c r="Z116" s="10">
        <f t="shared" si="26"/>
        <v>2630.26799189538</v>
      </c>
      <c r="AA116" s="10" t="str">
        <f t="shared" si="27"/>
        <v>16526.4612006218i</v>
      </c>
      <c r="AC116" s="10">
        <f>1/(2*$T$3+$T$6*$T$2/('4. Boost Inductor'!$B$11*$T$3^2)*($T$5))</f>
        <v>0.20979859335038364</v>
      </c>
      <c r="AD116" s="10" t="str">
        <f t="shared" si="22"/>
        <v>0.00164227214608975-0.00393096283532049i</v>
      </c>
      <c r="AE116" s="10" t="str">
        <f t="shared" si="23"/>
        <v>0.999991392483826-0.0086756497729798i</v>
      </c>
      <c r="AF116" s="10" t="str">
        <f t="shared" si="28"/>
        <v>0.0771173762808112-0.189186865927064i</v>
      </c>
      <c r="AG116" s="10">
        <f t="shared" si="18"/>
        <v>0.20430066070314384</v>
      </c>
      <c r="AH116" s="10">
        <f t="shared" si="19"/>
        <v>-1.1837336427352121</v>
      </c>
      <c r="AI116" s="10">
        <f t="shared" si="20"/>
        <v>-67.822941796374479</v>
      </c>
      <c r="AJ116" s="10">
        <f t="shared" si="21"/>
        <v>-13.794604577359312</v>
      </c>
      <c r="AL116" s="10" t="str">
        <f t="shared" si="24"/>
        <v>0.017226571911155-0.00287198448947822i</v>
      </c>
      <c r="AM116" s="10" t="str">
        <f t="shared" si="25"/>
        <v>0.58642996024991-0.488376177717171i</v>
      </c>
      <c r="AN116" s="10" t="str">
        <f t="shared" si="29"/>
        <v>-1.87910691991196+2.18100926055087i</v>
      </c>
      <c r="AO116" s="10">
        <f t="shared" si="30"/>
        <v>2.8788616172142882</v>
      </c>
      <c r="AP116" s="10">
        <f t="shared" si="31"/>
        <v>2.2819730276112562</v>
      </c>
      <c r="AQ116" s="10">
        <f t="shared" si="32"/>
        <v>130.74742344481544</v>
      </c>
      <c r="AR116" s="10">
        <f t="shared" si="33"/>
        <v>9.1844157892279412</v>
      </c>
      <c r="AS116" s="10">
        <f t="shared" si="34"/>
        <v>-4.6101887881313708</v>
      </c>
      <c r="AT116" s="10">
        <f t="shared" si="35"/>
        <v>62.92448164844096</v>
      </c>
    </row>
    <row r="117" spans="25:46" x14ac:dyDescent="0.25">
      <c r="Y117" s="10">
        <v>115</v>
      </c>
      <c r="Z117" s="10">
        <f t="shared" si="26"/>
        <v>2818.3829312644511</v>
      </c>
      <c r="AA117" s="10" t="str">
        <f t="shared" si="27"/>
        <v>17708.4222237265i</v>
      </c>
      <c r="AC117" s="10">
        <f>1/(2*$T$3+$T$6*$T$2/('4. Boost Inductor'!$B$11*$T$3^2)*($T$5))</f>
        <v>0.20979859335038364</v>
      </c>
      <c r="AD117" s="10" t="str">
        <f t="shared" si="22"/>
        <v>0.00164027496199143-0.00366859531123402i</v>
      </c>
      <c r="AE117" s="10" t="str">
        <f t="shared" si="23"/>
        <v>0.999990117225421-0.00929613330016317i</v>
      </c>
      <c r="AF117" s="10" t="str">
        <f t="shared" si="28"/>
        <v>0.0770214993839266-0.176653161925949i</v>
      </c>
      <c r="AG117" s="10">
        <f t="shared" si="18"/>
        <v>0.19271390968423571</v>
      </c>
      <c r="AH117" s="10">
        <f t="shared" si="19"/>
        <v>-1.159642166321089</v>
      </c>
      <c r="AI117" s="10">
        <f t="shared" si="20"/>
        <v>-66.442601875606258</v>
      </c>
      <c r="AJ117" s="10">
        <f t="shared" si="21"/>
        <v>-14.301738755038977</v>
      </c>
      <c r="AL117" s="10" t="str">
        <f t="shared" si="24"/>
        <v>0.0172254889327014-0.00268029483020619i</v>
      </c>
      <c r="AM117" s="10" t="str">
        <f t="shared" si="25"/>
        <v>0.552826099608781-0.492812652753209i</v>
      </c>
      <c r="AN117" s="10" t="str">
        <f t="shared" si="29"/>
        <v>-1.77159239749834+2.1536659798589i</v>
      </c>
      <c r="AO117" s="10">
        <f t="shared" si="30"/>
        <v>2.7886944572103114</v>
      </c>
      <c r="AP117" s="10">
        <f t="shared" si="31"/>
        <v>2.2591629820193773</v>
      </c>
      <c r="AQ117" s="10">
        <f t="shared" si="32"/>
        <v>129.44050410189982</v>
      </c>
      <c r="AR117" s="10">
        <f t="shared" si="33"/>
        <v>8.9080186695686621</v>
      </c>
      <c r="AS117" s="10">
        <f t="shared" si="34"/>
        <v>-5.3937200854703153</v>
      </c>
      <c r="AT117" s="10">
        <f t="shared" si="35"/>
        <v>62.997902226293562</v>
      </c>
    </row>
    <row r="118" spans="25:46" x14ac:dyDescent="0.25">
      <c r="Y118" s="10">
        <v>116</v>
      </c>
      <c r="Z118" s="10">
        <f t="shared" si="26"/>
        <v>3019.9517204020176</v>
      </c>
      <c r="AA118" s="10" t="str">
        <f t="shared" si="27"/>
        <v>18974.9162780217i</v>
      </c>
      <c r="AC118" s="10">
        <f>1/(2*$T$3+$T$6*$T$2/('4. Boost Inductor'!$B$11*$T$3^2)*($T$5))</f>
        <v>0.20979859335038364</v>
      </c>
      <c r="AD118" s="10" t="str">
        <f t="shared" si="22"/>
        <v>0.00163853548084882-0.00342373831739541i</v>
      </c>
      <c r="AE118" s="10" t="str">
        <f t="shared" si="23"/>
        <v>0.999988653025319-0.00996099500910463i</v>
      </c>
      <c r="AF118" s="10" t="str">
        <f t="shared" si="28"/>
        <v>0.0769379658633064-0.164962639645319i</v>
      </c>
      <c r="AG118" s="10">
        <f t="shared" si="18"/>
        <v>0.18202231475820393</v>
      </c>
      <c r="AH118" s="10">
        <f t="shared" si="19"/>
        <v>-1.1343912009566262</v>
      </c>
      <c r="AI118" s="10">
        <f t="shared" si="20"/>
        <v>-64.995828131591523</v>
      </c>
      <c r="AJ118" s="10">
        <f t="shared" si="21"/>
        <v>-14.797507341145653</v>
      </c>
      <c r="AL118" s="10" t="str">
        <f t="shared" si="24"/>
        <v>0.0172245456959548-0.00250139907845744i</v>
      </c>
      <c r="AM118" s="10" t="str">
        <f t="shared" si="25"/>
        <v>0.518770177937157-0.494946132298414i</v>
      </c>
      <c r="AN118" s="10" t="str">
        <f t="shared" si="29"/>
        <v>-1.66266493265372+2.121740679852i</v>
      </c>
      <c r="AO118" s="10">
        <f t="shared" si="30"/>
        <v>2.695596073378804</v>
      </c>
      <c r="AP118" s="10">
        <f t="shared" si="31"/>
        <v>2.2354770948977851</v>
      </c>
      <c r="AQ118" s="10">
        <f t="shared" si="32"/>
        <v>128.0834027358093</v>
      </c>
      <c r="AR118" s="10">
        <f t="shared" si="33"/>
        <v>8.6130963014397981</v>
      </c>
      <c r="AS118" s="10">
        <f t="shared" si="34"/>
        <v>-6.1844110397058554</v>
      </c>
      <c r="AT118" s="10">
        <f t="shared" si="35"/>
        <v>63.087574604217778</v>
      </c>
    </row>
    <row r="119" spans="25:46" x14ac:dyDescent="0.25">
      <c r="Y119" s="10">
        <v>117</v>
      </c>
      <c r="Z119" s="10">
        <f t="shared" si="26"/>
        <v>3235.9365692962774</v>
      </c>
      <c r="AA119" s="10" t="str">
        <f t="shared" si="27"/>
        <v>20331.9891071675i</v>
      </c>
      <c r="AC119" s="10">
        <f>1/(2*$T$3+$T$6*$T$2/('4. Boost Inductor'!$B$11*$T$3^2)*($T$5))</f>
        <v>0.20979859335038364</v>
      </c>
      <c r="AD119" s="10" t="str">
        <f t="shared" si="22"/>
        <v>0.00163702045116943-0.00319522335830852i</v>
      </c>
      <c r="AE119" s="10" t="str">
        <f t="shared" si="23"/>
        <v>0.999986971888719-0.0106734091720968i</v>
      </c>
      <c r="AF119" s="10" t="str">
        <f t="shared" si="28"/>
        <v>0.0768651789123412-0.154059510214904i</v>
      </c>
      <c r="AG119" s="10">
        <f t="shared" si="18"/>
        <v>0.17217023092533254</v>
      </c>
      <c r="AH119" s="10">
        <f t="shared" si="19"/>
        <v>-1.108003693947871</v>
      </c>
      <c r="AI119" s="10">
        <f t="shared" si="20"/>
        <v>-63.48393534811796</v>
      </c>
      <c r="AJ119" s="10">
        <f t="shared" si="21"/>
        <v>-15.280838760608875</v>
      </c>
      <c r="AL119" s="10" t="str">
        <f t="shared" si="24"/>
        <v>0.0172237241696167-0.00233444339939746i</v>
      </c>
      <c r="AM119" s="10" t="str">
        <f t="shared" si="25"/>
        <v>0.484582015486302-0.494726267948989i</v>
      </c>
      <c r="AN119" s="10" t="str">
        <f t="shared" si="29"/>
        <v>-1.55334164433932+2.08488774228537i</v>
      </c>
      <c r="AO119" s="10">
        <f t="shared" si="30"/>
        <v>2.5999282993903066</v>
      </c>
      <c r="AP119" s="10">
        <f t="shared" si="31"/>
        <v>2.2111206772931049</v>
      </c>
      <c r="AQ119" s="10">
        <f t="shared" si="32"/>
        <v>126.68788280300299</v>
      </c>
      <c r="AR119" s="10">
        <f t="shared" si="33"/>
        <v>8.2992274239662667</v>
      </c>
      <c r="AS119" s="10">
        <f t="shared" si="34"/>
        <v>-6.981611336642608</v>
      </c>
      <c r="AT119" s="10">
        <f t="shared" si="35"/>
        <v>63.203947454885032</v>
      </c>
    </row>
    <row r="120" spans="25:46" x14ac:dyDescent="0.25">
      <c r="Y120" s="10">
        <v>118</v>
      </c>
      <c r="Z120" s="10">
        <f t="shared" si="26"/>
        <v>3467.368504525316</v>
      </c>
      <c r="AA120" s="10" t="str">
        <f t="shared" si="27"/>
        <v>21786.1188422107i</v>
      </c>
      <c r="AC120" s="10">
        <f>1/(2*$T$3+$T$6*$T$2/('4. Boost Inductor'!$B$11*$T$3^2)*($T$5))</f>
        <v>0.20979859335038364</v>
      </c>
      <c r="AD120" s="10" t="str">
        <f t="shared" si="22"/>
        <v>0.00163570091173453-0.00298195988240882i</v>
      </c>
      <c r="AE120" s="10" t="str">
        <f t="shared" si="23"/>
        <v>0.999985041672531-0.0114367771696635i</v>
      </c>
      <c r="AF120" s="10" t="str">
        <f t="shared" si="28"/>
        <v>0.0768017471394181-0.14389174028709i</v>
      </c>
      <c r="AG120" s="10">
        <f t="shared" si="18"/>
        <v>0.16310530735238041</v>
      </c>
      <c r="AH120" s="10">
        <f t="shared" si="19"/>
        <v>-1.0805172002109775</v>
      </c>
      <c r="AI120" s="10">
        <f t="shared" si="20"/>
        <v>-61.909075263381197</v>
      </c>
      <c r="AJ120" s="10">
        <f t="shared" si="21"/>
        <v>-15.750638140770082</v>
      </c>
      <c r="AL120" s="10" t="str">
        <f t="shared" si="24"/>
        <v>0.0172230086489689-0.00217863092862893i</v>
      </c>
      <c r="AM120" s="10" t="str">
        <f t="shared" si="25"/>
        <v>0.450586423102355-0.492158272320496i</v>
      </c>
      <c r="AN120" s="10" t="str">
        <f t="shared" si="29"/>
        <v>-1.44465608772183+2.04295126281737i</v>
      </c>
      <c r="AO120" s="10">
        <f t="shared" si="30"/>
        <v>2.5021353029040676</v>
      </c>
      <c r="AP120" s="10">
        <f t="shared" si="31"/>
        <v>2.1862993334509451</v>
      </c>
      <c r="AQ120" s="10">
        <f t="shared" si="32"/>
        <v>125.26572455900418</v>
      </c>
      <c r="AR120" s="10">
        <f t="shared" si="33"/>
        <v>7.966215809113133</v>
      </c>
      <c r="AS120" s="10">
        <f t="shared" si="34"/>
        <v>-7.7844223316569492</v>
      </c>
      <c r="AT120" s="10">
        <f t="shared" si="35"/>
        <v>63.356649295622987</v>
      </c>
    </row>
    <row r="121" spans="25:46" x14ac:dyDescent="0.25">
      <c r="Y121" s="10">
        <v>119</v>
      </c>
      <c r="Z121" s="10">
        <f t="shared" si="26"/>
        <v>3715.352290971724</v>
      </c>
      <c r="AA121" s="10" t="str">
        <f t="shared" si="27"/>
        <v>23344.2469256296i</v>
      </c>
      <c r="AC121" s="10">
        <f>1/(2*$T$3+$T$6*$T$2/('4. Boost Inductor'!$B$11*$T$3^2)*($T$5))</f>
        <v>0.20979859335038364</v>
      </c>
      <c r="AD121" s="10" t="str">
        <f t="shared" si="22"/>
        <v>0.00163455163808922-0.00278293008864675i</v>
      </c>
      <c r="AE121" s="10" t="str">
        <f t="shared" si="23"/>
        <v>0.999982825470536-0.0122547437530963i</v>
      </c>
      <c r="AF121" s="10" t="str">
        <f t="shared" si="28"/>
        <v>0.0767464579754542-0.134410804249102i</v>
      </c>
      <c r="AG121" s="10">
        <f t="shared" ref="AG121:AG184" si="36">IMABS(AF121)</f>
        <v>0.1547781738833631</v>
      </c>
      <c r="AH121" s="10">
        <f t="shared" ref="AH121:AH184" si="37">IMARGUMENT(AF121)</f>
        <v>-1.0519851945679659</v>
      </c>
      <c r="AI121" s="10">
        <f t="shared" ref="AI121:AI184" si="38">AH121/(PI())*180</f>
        <v>-60.274311758993186</v>
      </c>
      <c r="AJ121" s="10">
        <f t="shared" ref="AJ121:AJ184" si="39">20*LOG(AG121,10)</f>
        <v>-16.205805631502511</v>
      </c>
      <c r="AL121" s="10" t="str">
        <f t="shared" si="24"/>
        <v>0.0172223854556879-0.00203321797328475i</v>
      </c>
      <c r="AM121" s="10" t="str">
        <f t="shared" si="25"/>
        <v>0.417100953829919-0.487302620191946i</v>
      </c>
      <c r="AN121" s="10" t="str">
        <f t="shared" si="29"/>
        <v>-1.33761908627804+1.99596327433493i</v>
      </c>
      <c r="AO121" s="10">
        <f t="shared" si="30"/>
        <v>2.4027264123218681</v>
      </c>
      <c r="AP121" s="10">
        <f t="shared" si="31"/>
        <v>2.1612149940839029</v>
      </c>
      <c r="AQ121" s="10">
        <f t="shared" si="32"/>
        <v>123.82849778139881</v>
      </c>
      <c r="AR121" s="10">
        <f t="shared" si="33"/>
        <v>7.6140864490926718</v>
      </c>
      <c r="AS121" s="10">
        <f t="shared" si="34"/>
        <v>-8.5917191824098396</v>
      </c>
      <c r="AT121" s="10">
        <f t="shared" si="35"/>
        <v>63.554186022405624</v>
      </c>
    </row>
    <row r="122" spans="25:46" x14ac:dyDescent="0.25">
      <c r="Y122" s="10">
        <v>120</v>
      </c>
      <c r="Z122" s="10">
        <f t="shared" si="26"/>
        <v>3981.0717055349701</v>
      </c>
      <c r="AA122" s="10" t="str">
        <f t="shared" si="27"/>
        <v>25013.8112470457i</v>
      </c>
      <c r="AC122" s="10">
        <f>1/(2*$T$3+$T$6*$T$2/('4. Boost Inductor'!$B$11*$T$3^2)*($T$5))</f>
        <v>0.20979859335038364</v>
      </c>
      <c r="AD122" s="10" t="str">
        <f t="shared" si="22"/>
        <v>0.00163355066043339-0.00259718407802389i</v>
      </c>
      <c r="AE122" s="10" t="str">
        <f t="shared" si="23"/>
        <v>0.999980280907399-0.0131312144746626i</v>
      </c>
      <c r="AF122" s="10" t="str">
        <f t="shared" si="28"/>
        <v>0.0766982544983026-0.125571453068475i</v>
      </c>
      <c r="AG122" s="10">
        <f t="shared" si="36"/>
        <v>0.14714214919191107</v>
      </c>
      <c r="AH122" s="10">
        <f t="shared" si="37"/>
        <v>-1.0224780488316685</v>
      </c>
      <c r="AI122" s="10">
        <f t="shared" si="38"/>
        <v>-58.583676842825902</v>
      </c>
      <c r="AJ122" s="10">
        <f t="shared" si="39"/>
        <v>-16.645258096851649</v>
      </c>
      <c r="AL122" s="10" t="str">
        <f t="shared" si="24"/>
        <v>0.0172218426763868-0.00189751046600325i</v>
      </c>
      <c r="AM122" s="10" t="str">
        <f t="shared" si="25"/>
        <v>0.384424229076525-0.480271614797439i</v>
      </c>
      <c r="AN122" s="10" t="str">
        <f t="shared" si="29"/>
        <v>-1.23318140656567+1.94413201704727i</v>
      </c>
      <c r="AO122" s="10">
        <f t="shared" si="30"/>
        <v>2.3022566497259969</v>
      </c>
      <c r="AP122" s="10">
        <f t="shared" si="31"/>
        <v>2.136062121620963</v>
      </c>
      <c r="AQ122" s="10">
        <f t="shared" si="32"/>
        <v>122.38734434664153</v>
      </c>
      <c r="AR122" s="10">
        <f t="shared" si="33"/>
        <v>7.2430747207740325</v>
      </c>
      <c r="AS122" s="10">
        <f t="shared" si="34"/>
        <v>-9.4021833760776161</v>
      </c>
      <c r="AT122" s="10">
        <f t="shared" si="35"/>
        <v>63.803667503815625</v>
      </c>
    </row>
    <row r="123" spans="25:46" x14ac:dyDescent="0.25">
      <c r="Y123" s="10">
        <v>121</v>
      </c>
      <c r="Z123" s="10">
        <f t="shared" si="26"/>
        <v>4265.7951880159226</v>
      </c>
      <c r="AA123" s="10" t="str">
        <f t="shared" si="27"/>
        <v>26802.781648779i</v>
      </c>
      <c r="AC123" s="10">
        <f>1/(2*$T$3+$T$6*$T$2/('4. Boost Inductor'!$B$11*$T$3^2)*($T$5))</f>
        <v>0.20979859335038364</v>
      </c>
      <c r="AD123" s="10" t="str">
        <f t="shared" si="22"/>
        <v>0.0016326788437054-0.00242383532737317i</v>
      </c>
      <c r="AE123" s="10" t="str">
        <f t="shared" si="23"/>
        <v>0.999977359327973-0.014070374370053i</v>
      </c>
      <c r="AF123" s="10" t="str">
        <f t="shared" si="28"/>
        <v>0.0766562152313782-0.117331498689393i</v>
      </c>
      <c r="AG123" s="10">
        <f t="shared" si="36"/>
        <v>0.14015297327669651</v>
      </c>
      <c r="AH123" s="10">
        <f t="shared" si="37"/>
        <v>-0.99208355561457839</v>
      </c>
      <c r="AI123" s="10">
        <f t="shared" si="38"/>
        <v>-56.842200661047627</v>
      </c>
      <c r="AJ123" s="10">
        <f t="shared" si="39"/>
        <v>-17.06795368922403</v>
      </c>
      <c r="AL123" s="10" t="str">
        <f t="shared" si="24"/>
        <v>0.0172213699348895-0.00177086065503382i</v>
      </c>
      <c r="AM123" s="10" t="str">
        <f t="shared" si="25"/>
        <v>0.352825732785744-0.471223176521757i</v>
      </c>
      <c r="AN123" s="10" t="str">
        <f t="shared" si="29"/>
        <v>-1.13220112690282+1.88782139225851i</v>
      </c>
      <c r="AO123" s="10">
        <f t="shared" si="30"/>
        <v>2.2013062033322113</v>
      </c>
      <c r="AP123" s="10">
        <f t="shared" si="31"/>
        <v>2.111024287823331</v>
      </c>
      <c r="AQ123" s="10">
        <f t="shared" si="32"/>
        <v>120.95278214188721</v>
      </c>
      <c r="AR123" s="10">
        <f t="shared" si="33"/>
        <v>6.8536091488235629</v>
      </c>
      <c r="AS123" s="10">
        <f t="shared" si="34"/>
        <v>-10.214344540400468</v>
      </c>
      <c r="AT123" s="10">
        <f t="shared" si="35"/>
        <v>64.110581480839585</v>
      </c>
    </row>
    <row r="124" spans="25:46" x14ac:dyDescent="0.25">
      <c r="Y124" s="10">
        <v>122</v>
      </c>
      <c r="Z124" s="10">
        <f t="shared" si="26"/>
        <v>4570.881896148745</v>
      </c>
      <c r="AA124" s="10" t="str">
        <f t="shared" si="27"/>
        <v>28719.697970735i</v>
      </c>
      <c r="AC124" s="10">
        <f>1/(2*$T$3+$T$6*$T$2/('4. Boost Inductor'!$B$11*$T$3^2)*($T$5))</f>
        <v>0.20979859335038364</v>
      </c>
      <c r="AD124" s="10" t="str">
        <f t="shared" si="22"/>
        <v>0.00163191952183763-0.00226205646413124i</v>
      </c>
      <c r="AE124" s="10" t="str">
        <f t="shared" si="23"/>
        <v>0.99997400486637-0.0150767079839231i</v>
      </c>
      <c r="AF124" s="10" t="str">
        <f t="shared" si="28"/>
        <v>0.0766195365306298-0.1096516129678i</v>
      </c>
      <c r="AG124" s="10">
        <f t="shared" si="36"/>
        <v>0.13376856732659106</v>
      </c>
      <c r="AH124" s="10">
        <f t="shared" si="37"/>
        <v>-0.96090688917543388</v>
      </c>
      <c r="AI124" s="10">
        <f t="shared" si="38"/>
        <v>-55.055909254797491</v>
      </c>
      <c r="AJ124" s="10">
        <f t="shared" si="39"/>
        <v>-17.47291848477709</v>
      </c>
      <c r="AL124" s="10" t="str">
        <f t="shared" si="24"/>
        <v>0.0172209581938875-0.0016526640148157i</v>
      </c>
      <c r="AM124" s="10" t="str">
        <f t="shared" si="25"/>
        <v>0.322537775650993-0.460352478426873i</v>
      </c>
      <c r="AN124" s="10" t="str">
        <f t="shared" si="29"/>
        <v>-1.03541794024491+1.82752358990661i</v>
      </c>
      <c r="AO124" s="10">
        <f t="shared" si="30"/>
        <v>2.1004601359335902</v>
      </c>
      <c r="AP124" s="10">
        <f t="shared" si="31"/>
        <v>2.0862712905839547</v>
      </c>
      <c r="AQ124" s="10">
        <f t="shared" si="32"/>
        <v>119.53453986977196</v>
      </c>
      <c r="AR124" s="10">
        <f t="shared" si="33"/>
        <v>6.4462888718876998</v>
      </c>
      <c r="AS124" s="10">
        <f t="shared" si="34"/>
        <v>-11.026629612889391</v>
      </c>
      <c r="AT124" s="10">
        <f t="shared" si="35"/>
        <v>64.478630614974463</v>
      </c>
    </row>
    <row r="125" spans="25:46" x14ac:dyDescent="0.25">
      <c r="Y125" s="10">
        <v>123</v>
      </c>
      <c r="Z125" s="10">
        <f t="shared" si="26"/>
        <v>4897.7881936844633</v>
      </c>
      <c r="AA125" s="10" t="str">
        <f t="shared" si="27"/>
        <v>30773.7108162359i</v>
      </c>
      <c r="AC125" s="10">
        <f>1/(2*$T$3+$T$6*$T$2/('4. Boost Inductor'!$B$11*$T$3^2)*($T$5))</f>
        <v>0.20979859335038364</v>
      </c>
      <c r="AD125" s="10" t="str">
        <f t="shared" si="22"/>
        <v>0.00163125817919665-0.00211107532222144i</v>
      </c>
      <c r="AE125" s="10" t="str">
        <f t="shared" si="23"/>
        <v>0.99997015337692-0.0161550208361894i</v>
      </c>
      <c r="AF125" s="10" t="str">
        <f t="shared" si="28"/>
        <v>0.0765875172233716-0.102495140199463i</v>
      </c>
      <c r="AG125" s="10">
        <f t="shared" si="36"/>
        <v>0.12794882398423135</v>
      </c>
      <c r="AH125" s="10">
        <f t="shared" si="37"/>
        <v>-0.92906991551820284</v>
      </c>
      <c r="AI125" s="10">
        <f t="shared" si="38"/>
        <v>-53.231785031768965</v>
      </c>
      <c r="AJ125" s="10">
        <f t="shared" si="39"/>
        <v>-17.859274029768994</v>
      </c>
      <c r="AL125" s="10" t="str">
        <f t="shared" si="24"/>
        <v>0.0172205995821851-0.00154235636239794i</v>
      </c>
      <c r="AM125" s="10" t="str">
        <f t="shared" si="25"/>
        <v>0.293750062697804-0.447882222041102i</v>
      </c>
      <c r="AN125" s="10" t="str">
        <f t="shared" si="29"/>
        <v>-0.943435773833176+1.76382741972367i</v>
      </c>
      <c r="AO125" s="10">
        <f t="shared" si="30"/>
        <v>2.000289535521611</v>
      </c>
      <c r="AP125" s="10">
        <f t="shared" si="31"/>
        <v>2.0619569276644909</v>
      </c>
      <c r="AQ125" s="10">
        <f t="shared" si="32"/>
        <v>118.14142949293731</v>
      </c>
      <c r="AR125" s="10">
        <f t="shared" si="33"/>
        <v>6.0218572590637587</v>
      </c>
      <c r="AS125" s="10">
        <f t="shared" si="34"/>
        <v>-11.837416770705236</v>
      </c>
      <c r="AT125" s="10">
        <f t="shared" si="35"/>
        <v>64.909644461168341</v>
      </c>
    </row>
    <row r="126" spans="25:46" x14ac:dyDescent="0.25">
      <c r="Y126" s="10">
        <v>124</v>
      </c>
      <c r="Z126" s="10">
        <f t="shared" si="26"/>
        <v>5248.0746024977261</v>
      </c>
      <c r="AA126" s="10" t="str">
        <f t="shared" si="27"/>
        <v>32974.6252333961i</v>
      </c>
      <c r="AC126" s="10">
        <f>1/(2*$T$3+$T$6*$T$2/('4. Boost Inductor'!$B$11*$T$3^2)*($T$5))</f>
        <v>0.20979859335038364</v>
      </c>
      <c r="AD126" s="10" t="str">
        <f t="shared" si="22"/>
        <v>0.001630682173122-0.00197017126045374i</v>
      </c>
      <c r="AE126" s="10" t="str">
        <f t="shared" si="23"/>
        <v>0.999965731206531-0.0173104624340843i</v>
      </c>
      <c r="AF126" s="10" t="str">
        <f t="shared" si="28"/>
        <v>0.0765595452054955-0.0958279223574877i</v>
      </c>
      <c r="AG126" s="10">
        <f t="shared" si="36"/>
        <v>0.1226554306397601</v>
      </c>
      <c r="AH126" s="10">
        <f t="shared" si="37"/>
        <v>-0.89670979998000444</v>
      </c>
      <c r="AI126" s="10">
        <f t="shared" si="38"/>
        <v>-51.377686986874487</v>
      </c>
      <c r="AJ126" s="10">
        <f t="shared" si="39"/>
        <v>-18.226264367877004</v>
      </c>
      <c r="AL126" s="10" t="str">
        <f t="shared" si="24"/>
        <v>0.0172202872442361-0.00143941116602981i</v>
      </c>
      <c r="AM126" s="10" t="str">
        <f t="shared" si="25"/>
        <v>0.266607000619284-0.434052400072891i</v>
      </c>
      <c r="AN126" s="10" t="str">
        <f t="shared" si="29"/>
        <v>-0.85671416030717+1.69738504601869i</v>
      </c>
      <c r="AO126" s="10">
        <f t="shared" si="30"/>
        <v>1.9013350959046353</v>
      </c>
      <c r="AP126" s="10">
        <f t="shared" si="31"/>
        <v>2.0382174881583328</v>
      </c>
      <c r="AQ126" s="10">
        <f t="shared" si="32"/>
        <v>116.78125980122832</v>
      </c>
      <c r="AR126" s="10">
        <f t="shared" si="33"/>
        <v>5.5811732944601662</v>
      </c>
      <c r="AS126" s="10">
        <f t="shared" si="34"/>
        <v>-12.645091073416838</v>
      </c>
      <c r="AT126" s="10">
        <f t="shared" si="35"/>
        <v>65.403572814353822</v>
      </c>
    </row>
    <row r="127" spans="25:46" x14ac:dyDescent="0.25">
      <c r="Y127" s="10">
        <v>125</v>
      </c>
      <c r="Z127" s="10">
        <f t="shared" si="26"/>
        <v>5623.4132519034893</v>
      </c>
      <c r="AA127" s="10" t="str">
        <f t="shared" si="27"/>
        <v>35332.947520559i</v>
      </c>
      <c r="AC127" s="10">
        <f>1/(2*$T$3+$T$6*$T$2/('4. Boost Inductor'!$B$11*$T$3^2)*($T$5))</f>
        <v>0.20979859335038364</v>
      </c>
      <c r="AD127" s="10" t="str">
        <f t="shared" si="22"/>
        <v>0.00163018049226184-0.00183867172605767i</v>
      </c>
      <c r="AE127" s="10" t="str">
        <f t="shared" si="23"/>
        <v>0.999960653784851-0.0185485509429431i</v>
      </c>
      <c r="AF127" s="10" t="str">
        <f t="shared" si="28"/>
        <v>0.0765350857409525-0.0896181362144146i</v>
      </c>
      <c r="AG127" s="10">
        <f t="shared" si="36"/>
        <v>0.11785172755594345</v>
      </c>
      <c r="AH127" s="10">
        <f t="shared" si="37"/>
        <v>-0.86397690902916258</v>
      </c>
      <c r="AI127" s="10">
        <f t="shared" si="38"/>
        <v>-49.502230484129278</v>
      </c>
      <c r="AJ127" s="10">
        <f t="shared" si="39"/>
        <v>-18.573280937801307</v>
      </c>
      <c r="AL127" s="10" t="str">
        <f t="shared" si="24"/>
        <v>0.017220015209093-0.00134333703315047i</v>
      </c>
      <c r="AM127" s="10" t="str">
        <f t="shared" si="25"/>
        <v>0.241207604725251-0.419110336137214i</v>
      </c>
      <c r="AN127" s="10" t="str">
        <f t="shared" si="29"/>
        <v>-0.775567912264226+1.62887964566598i</v>
      </c>
      <c r="AO127" s="10">
        <f t="shared" si="30"/>
        <v>1.8040938131368942</v>
      </c>
      <c r="AP127" s="10">
        <f t="shared" si="31"/>
        <v>2.0151709655995464</v>
      </c>
      <c r="AQ127" s="10">
        <f t="shared" si="32"/>
        <v>115.46079132615681</v>
      </c>
      <c r="AR127" s="10">
        <f t="shared" si="33"/>
        <v>5.1251823433685262</v>
      </c>
      <c r="AS127" s="10">
        <f t="shared" si="34"/>
        <v>-13.448098594432782</v>
      </c>
      <c r="AT127" s="10">
        <f t="shared" si="35"/>
        <v>65.958560842027538</v>
      </c>
    </row>
    <row r="128" spans="25:46" x14ac:dyDescent="0.25">
      <c r="Y128" s="10">
        <v>126</v>
      </c>
      <c r="Z128" s="10">
        <f t="shared" si="26"/>
        <v>6025.5958607435741</v>
      </c>
      <c r="AA128" s="10" t="str">
        <f t="shared" si="27"/>
        <v>37859.9353792262i</v>
      </c>
      <c r="AC128" s="10">
        <f>1/(2*$T$3+$T$6*$T$2/('4. Boost Inductor'!$B$11*$T$3^2)*($T$5))</f>
        <v>0.20979859335038364</v>
      </c>
      <c r="AD128" s="10" t="str">
        <f t="shared" si="22"/>
        <v>0.00162974354608806-0.00171594904709846i</v>
      </c>
      <c r="AE128" s="10" t="str">
        <f t="shared" si="23"/>
        <v>0.999954824005146-0.0198751996373294i</v>
      </c>
      <c r="AF128" s="10" t="str">
        <f t="shared" si="28"/>
        <v>0.0765136712399349-0.0838361415790899i</v>
      </c>
      <c r="AG128" s="10">
        <f t="shared" si="36"/>
        <v>0.11350260138640896</v>
      </c>
      <c r="AH128" s="10">
        <f t="shared" si="37"/>
        <v>-0.83103205972597283</v>
      </c>
      <c r="AI128" s="10">
        <f t="shared" si="38"/>
        <v>-47.614629662361999</v>
      </c>
      <c r="AJ128" s="10">
        <f t="shared" si="39"/>
        <v>-18.899883693678674</v>
      </c>
      <c r="AL128" s="10" t="str">
        <f t="shared" si="24"/>
        <v>0.0172197782762656-0.00125367536584893i</v>
      </c>
      <c r="AM128" s="10" t="str">
        <f t="shared" si="25"/>
        <v>0.217607647037111-0.403301650121616i</v>
      </c>
      <c r="AN128" s="10" t="str">
        <f t="shared" si="29"/>
        <v>-0.700173955318008+1.55899605745232i</v>
      </c>
      <c r="AO128" s="10">
        <f t="shared" si="30"/>
        <v>1.7090091500215971</v>
      </c>
      <c r="AP128" s="10">
        <f t="shared" si="31"/>
        <v>1.9929169467500523</v>
      </c>
      <c r="AQ128" s="10">
        <f t="shared" si="32"/>
        <v>114.18572996887622</v>
      </c>
      <c r="AR128" s="10">
        <f t="shared" si="33"/>
        <v>4.6548877587242865</v>
      </c>
      <c r="AS128" s="10">
        <f t="shared" si="34"/>
        <v>-14.244995934954389</v>
      </c>
      <c r="AT128" s="10">
        <f t="shared" si="35"/>
        <v>66.571100306514211</v>
      </c>
    </row>
    <row r="129" spans="25:46" x14ac:dyDescent="0.25">
      <c r="Y129" s="10">
        <v>127</v>
      </c>
      <c r="Z129" s="10">
        <f t="shared" si="26"/>
        <v>6456.5422903465496</v>
      </c>
      <c r="AA129" s="10" t="str">
        <f t="shared" si="27"/>
        <v>40567.6516538891i</v>
      </c>
      <c r="AC129" s="10">
        <f>1/(2*$T$3+$T$6*$T$2/('4. Boost Inductor'!$B$11*$T$3^2)*($T$5))</f>
        <v>0.20979859335038364</v>
      </c>
      <c r="AD129" s="10" t="str">
        <f t="shared" si="22"/>
        <v>0.00162936298156832-0.00160141743859042i</v>
      </c>
      <c r="AE129" s="10" t="str">
        <f t="shared" si="23"/>
        <v>0.999948130364782-0.0212967452634907i</v>
      </c>
      <c r="AF129" s="10" t="str">
        <f t="shared" si="28"/>
        <v>0.0764948923203959-0.078454339930256i</v>
      </c>
      <c r="AG129" s="10">
        <f t="shared" si="36"/>
        <v>0.10957441309448628</v>
      </c>
      <c r="AH129" s="10">
        <f t="shared" si="37"/>
        <v>-0.79804322877302925</v>
      </c>
      <c r="AI129" s="10">
        <f t="shared" si="38"/>
        <v>-45.724508877687796</v>
      </c>
      <c r="AJ129" s="10">
        <f t="shared" si="39"/>
        <v>-19.205816936958705</v>
      </c>
      <c r="AL129" s="10" t="str">
        <f t="shared" si="24"/>
        <v>0.0172195719163064-0.00116999817265288i</v>
      </c>
      <c r="AM129" s="10" t="str">
        <f t="shared" si="25"/>
        <v>0.195823547805593-0.386862606790011i</v>
      </c>
      <c r="AN129" s="10" t="str">
        <f t="shared" si="29"/>
        <v>-0.630583730207848+1.48839588124819i</v>
      </c>
      <c r="AO129" s="10">
        <f t="shared" si="30"/>
        <v>1.6164647042603248</v>
      </c>
      <c r="AP129" s="10">
        <f t="shared" si="31"/>
        <v>1.9715370919219972</v>
      </c>
      <c r="AQ129" s="10">
        <f t="shared" si="32"/>
        <v>112.96075452062627</v>
      </c>
      <c r="AR129" s="10">
        <f t="shared" si="33"/>
        <v>4.1713245233705871</v>
      </c>
      <c r="AS129" s="10">
        <f t="shared" si="34"/>
        <v>-15.034492413588119</v>
      </c>
      <c r="AT129" s="10">
        <f t="shared" si="35"/>
        <v>67.236245642938471</v>
      </c>
    </row>
    <row r="130" spans="25:46" x14ac:dyDescent="0.25">
      <c r="Y130" s="10">
        <v>128</v>
      </c>
      <c r="Z130" s="10">
        <f t="shared" si="26"/>
        <v>6918.3097091893569</v>
      </c>
      <c r="AA130" s="10" t="str">
        <f t="shared" si="27"/>
        <v>43469.0219152964i</v>
      </c>
      <c r="AC130" s="10">
        <f>1/(2*$T$3+$T$6*$T$2/('4. Boost Inductor'!$B$11*$T$3^2)*($T$5))</f>
        <v>0.20979859335038364</v>
      </c>
      <c r="AD130" s="10" t="str">
        <f t="shared" ref="AD130:AD193" si="40">IMDIV(IMSUM(1,IMDIV(AA130,$W$3)),IMSUM(1,IMDIV(AA130,$W$5)))</f>
        <v>0.00162903152349159-0.00149453020811822i</v>
      </c>
      <c r="AE130" s="10" t="str">
        <f t="shared" ref="AE130:AE193" si="41">IMDIV(IMSUM(1,IMDIV(IMPRODUCT(-1,AA130),$W$4)),IMSUM(1,IMDIV(AA130,$W$1*$W$2),IMDIV(IMPOWER(AA130,2),$W$1^2)))</f>
        <v>0.999940444829485-0.0228199784543456i</v>
      </c>
      <c r="AF130" s="10" t="str">
        <f t="shared" si="28"/>
        <v>0.076478389982072-0.0734470427773832i</v>
      </c>
      <c r="AG130" s="10">
        <f t="shared" si="36"/>
        <v>0.10603495757057033</v>
      </c>
      <c r="AH130" s="10">
        <f t="shared" si="37"/>
        <v>-0.76518188541683552</v>
      </c>
      <c r="AI130" s="10">
        <f t="shared" si="38"/>
        <v>-43.841692594247633</v>
      </c>
      <c r="AJ130" s="10">
        <f t="shared" si="39"/>
        <v>-19.491018661280869</v>
      </c>
      <c r="AL130" s="10" t="str">
        <f t="shared" ref="AL130:AL193" si="42">IMDIV(IMSUM(1,IMDIV(AA130,wz1e)),IMSUM(1,IMDIV(AA130,wp1e)))</f>
        <v>0.0172193921842251-0.00109190602624199i</v>
      </c>
      <c r="AM130" s="10" t="str">
        <f t="shared" ref="AM130:AM193" si="43">IMDIV(IMSUM(1,IMDIV(AA130,wz2e)),IMSUM(1,IMDIV(AA130,wp2e)))</f>
        <v>0.175837455777876-0.370014101046651i</v>
      </c>
      <c r="AN130" s="10" t="str">
        <f t="shared" si="29"/>
        <v>-0.566739392757458+1.41769783379924i</v>
      </c>
      <c r="AO130" s="10">
        <f t="shared" si="30"/>
        <v>1.5267811523797867</v>
      </c>
      <c r="AP130" s="10">
        <f t="shared" si="31"/>
        <v>1.9510960984088674</v>
      </c>
      <c r="AQ130" s="10">
        <f t="shared" si="32"/>
        <v>111.78957186326964</v>
      </c>
      <c r="AR130" s="10">
        <f t="shared" si="33"/>
        <v>3.6755358017007906</v>
      </c>
      <c r="AS130" s="10">
        <f t="shared" si="34"/>
        <v>-15.815482859580078</v>
      </c>
      <c r="AT130" s="10">
        <f t="shared" si="35"/>
        <v>67.94787926902201</v>
      </c>
    </row>
    <row r="131" spans="25:46" x14ac:dyDescent="0.25">
      <c r="Y131" s="10">
        <v>129</v>
      </c>
      <c r="Z131" s="10">
        <f t="shared" ref="Z131:Z194" si="44">10^(LOG($F$3/$F$2,10)*Y131/200)</f>
        <v>7413.1024130091646</v>
      </c>
      <c r="AA131" s="10" t="str">
        <f t="shared" ref="AA131:AA194" si="45">IMPRODUCT(COMPLEX(0,1),2*PI()*Z131)</f>
        <v>46577.8961620367i</v>
      </c>
      <c r="AC131" s="10">
        <f>1/(2*$T$3+$T$6*$T$2/('4. Boost Inductor'!$B$11*$T$3^2)*($T$5))</f>
        <v>0.20979859335038364</v>
      </c>
      <c r="AD131" s="10" t="str">
        <f t="shared" si="40"/>
        <v>0.00162874283539585-0.0013947771477098i</v>
      </c>
      <c r="AE131" s="10" t="str">
        <f t="shared" si="41"/>
        <v>0.999931620380268-0.0244521763493425i</v>
      </c>
      <c r="AF131" s="10" t="str">
        <f t="shared" ref="AF131:AF194" si="46">IMPRODUCT(AB$2,AC131,AD131,AE131)</f>
        <v>0.0764638487434283-0.0687903491248876i</v>
      </c>
      <c r="AG131" s="10">
        <f t="shared" si="36"/>
        <v>0.10285345058568432</v>
      </c>
      <c r="AH131" s="10">
        <f t="shared" si="37"/>
        <v>-0.73261915084219231</v>
      </c>
      <c r="AI131" s="10">
        <f t="shared" si="38"/>
        <v>-41.975985333715855</v>
      </c>
      <c r="AJ131" s="10">
        <f t="shared" si="39"/>
        <v>-19.755622675362915</v>
      </c>
      <c r="AL131" s="10" t="str">
        <f t="shared" si="42"/>
        <v>0.0172192356440725-0.00101902615736991i</v>
      </c>
      <c r="AM131" s="10" t="str">
        <f t="shared" si="43"/>
        <v>0.157602976979943-0.352957346110594i</v>
      </c>
      <c r="AN131" s="10" t="str">
        <f t="shared" ref="AN131:AN194" si="47">IMPRODUCT($AK$2,AL131,AM131)</f>
        <v>-0.508492086631721+1.34746357053745i</v>
      </c>
      <c r="AO131" s="10">
        <f t="shared" ref="AO131:AO194" si="48">IMABS(AN131)</f>
        <v>1.4402160518799307</v>
      </c>
      <c r="AP131" s="10">
        <f t="shared" ref="AP131:AP194" si="49">IMARGUMENT(AN131)</f>
        <v>1.9316430280317758</v>
      </c>
      <c r="AQ131" s="10">
        <f t="shared" ref="AQ131:AQ194" si="50">AP131/(PI())*180</f>
        <v>110.67499303209132</v>
      </c>
      <c r="AR131" s="10">
        <f t="shared" ref="AR131:AR194" si="51">20*LOG(AO131,10)</f>
        <v>3.16855294053016</v>
      </c>
      <c r="AS131" s="10">
        <f t="shared" ref="AS131:AS194" si="52">AR131+AJ131</f>
        <v>-16.587069734832756</v>
      </c>
      <c r="AT131" s="10">
        <f t="shared" ref="AT131:AT194" si="53">AQ131+AI131</f>
        <v>68.699007698375468</v>
      </c>
    </row>
    <row r="132" spans="25:46" x14ac:dyDescent="0.25">
      <c r="Y132" s="10">
        <v>130</v>
      </c>
      <c r="Z132" s="10">
        <f t="shared" si="44"/>
        <v>7943.2823472428154</v>
      </c>
      <c r="AA132" s="10" t="str">
        <f t="shared" si="45"/>
        <v>49909.114934975i</v>
      </c>
      <c r="AC132" s="10">
        <f>1/(2*$T$3+$T$6*$T$2/('4. Boost Inductor'!$B$11*$T$3^2)*($T$5))</f>
        <v>0.20979859335038364</v>
      </c>
      <c r="AD132" s="10" t="str">
        <f t="shared" si="40"/>
        <v>0.00162849139843956-0.00130168209957837i</v>
      </c>
      <c r="AE132" s="10" t="str">
        <f t="shared" si="41"/>
        <v>0.999921488195686-0.0262011375836981i</v>
      </c>
      <c r="AF132" s="10" t="str">
        <f t="shared" si="46"/>
        <v>0.076450990610307-0.0644620314587183i</v>
      </c>
      <c r="AG132" s="10">
        <f t="shared" si="36"/>
        <v>0.1000005373239666</v>
      </c>
      <c r="AH132" s="10">
        <f t="shared" si="37"/>
        <v>-0.70052200501570083</v>
      </c>
      <c r="AI132" s="10">
        <f t="shared" si="38"/>
        <v>-40.136954343441943</v>
      </c>
      <c r="AJ132" s="10">
        <f t="shared" si="39"/>
        <v>-19.999953328758647</v>
      </c>
      <c r="AL132" s="10" t="str">
        <f t="shared" si="42"/>
        <v>0.0172190993032587-0.000951010675923439i</v>
      </c>
      <c r="AM132" s="10" t="str">
        <f t="shared" si="43"/>
        <v>0.14105107827474-0.335871180519573i</v>
      </c>
      <c r="AN132" s="10" t="str">
        <f t="shared" si="47"/>
        <v>-0.455620776170834+1.27818870301995i</v>
      </c>
      <c r="AO132" s="10">
        <f t="shared" si="48"/>
        <v>1.3569659731203045</v>
      </c>
      <c r="AP132" s="10">
        <f t="shared" si="49"/>
        <v>1.9132128810238789</v>
      </c>
      <c r="AQ132" s="10">
        <f t="shared" si="50"/>
        <v>109.61902339273315</v>
      </c>
      <c r="AR132" s="10">
        <f t="shared" si="51"/>
        <v>2.6513791511112181</v>
      </c>
      <c r="AS132" s="10">
        <f t="shared" si="52"/>
        <v>-17.348574177647428</v>
      </c>
      <c r="AT132" s="10">
        <f t="shared" si="53"/>
        <v>69.482069049291212</v>
      </c>
    </row>
    <row r="133" spans="25:46" x14ac:dyDescent="0.25">
      <c r="Y133" s="10">
        <v>131</v>
      </c>
      <c r="Z133" s="10">
        <f t="shared" si="44"/>
        <v>8511.3803820237626</v>
      </c>
      <c r="AA133" s="10" t="str">
        <f t="shared" si="45"/>
        <v>53478.5801601483i</v>
      </c>
      <c r="AC133" s="10">
        <f>1/(2*$T$3+$T$6*$T$2/('4. Boost Inductor'!$B$11*$T$3^2)*($T$5))</f>
        <v>0.20979859335038364</v>
      </c>
      <c r="AD133" s="10" t="str">
        <f t="shared" si="40"/>
        <v>0.0016282724059023-0.00121480068416813i</v>
      </c>
      <c r="AE133" s="10" t="str">
        <f t="shared" si="41"/>
        <v>0.999909854415025-0.0280752198248651i</v>
      </c>
      <c r="AF133" s="10" t="str">
        <f t="shared" si="46"/>
        <v>0.0764395697609825-0.0604414297145283i</v>
      </c>
      <c r="AG133" s="10">
        <f t="shared" si="36"/>
        <v>9.7448315794478338E-2</v>
      </c>
      <c r="AH133" s="10">
        <f t="shared" si="37"/>
        <v>-0.66904975716827397</v>
      </c>
      <c r="AI133" s="10">
        <f t="shared" si="38"/>
        <v>-38.333727369994691</v>
      </c>
      <c r="AJ133" s="10">
        <f t="shared" si="39"/>
        <v>-20.224513248420305</v>
      </c>
      <c r="AL133" s="10" t="str">
        <f t="shared" si="42"/>
        <v>0.0172189805553433-0.00088753491064888i</v>
      </c>
      <c r="AM133" s="10" t="str">
        <f t="shared" si="43"/>
        <v>0.126095788627054-0.318910805242135i</v>
      </c>
      <c r="AN133" s="10" t="str">
        <f t="shared" si="47"/>
        <v>-0.407850435239986+1.21029840767063i</v>
      </c>
      <c r="AO133" s="10">
        <f t="shared" si="48"/>
        <v>1.2771703931486622</v>
      </c>
      <c r="AP133" s="10">
        <f t="shared" si="49"/>
        <v>1.8958283085461389</v>
      </c>
      <c r="AQ133" s="10">
        <f t="shared" si="50"/>
        <v>108.62296076111937</v>
      </c>
      <c r="AR133" s="10">
        <f t="shared" si="51"/>
        <v>2.1249768468752834</v>
      </c>
      <c r="AS133" s="10">
        <f t="shared" si="52"/>
        <v>-18.09953640154502</v>
      </c>
      <c r="AT133" s="10">
        <f t="shared" si="53"/>
        <v>70.289233391124682</v>
      </c>
    </row>
    <row r="134" spans="25:46" x14ac:dyDescent="0.25">
      <c r="Y134" s="10">
        <v>132</v>
      </c>
      <c r="Z134" s="10">
        <f t="shared" si="44"/>
        <v>9120.1083935590923</v>
      </c>
      <c r="AA134" s="10" t="str">
        <f t="shared" si="45"/>
        <v>57303.3310582957i</v>
      </c>
      <c r="AC134" s="10">
        <f>1/(2*$T$3+$T$6*$T$2/('4. Boost Inductor'!$B$11*$T$3^2)*($T$5))</f>
        <v>0.20979859335038364</v>
      </c>
      <c r="AD134" s="10" t="str">
        <f t="shared" si="40"/>
        <v>0.00162808167129758-0.00113371817970296i</v>
      </c>
      <c r="AE134" s="10" t="str">
        <f t="shared" si="41"/>
        <v>0.999896496419799-0.0300833800487269i</v>
      </c>
      <c r="AF134" s="10" t="str">
        <f t="shared" si="46"/>
        <v>0.076429367845952-0.0567093527244453i</v>
      </c>
      <c r="AG134" s="10">
        <f t="shared" si="36"/>
        <v>9.5170368055174578E-2</v>
      </c>
      <c r="AH134" s="10">
        <f t="shared" si="37"/>
        <v>-0.63835096905155719</v>
      </c>
      <c r="AI134" s="10">
        <f t="shared" si="38"/>
        <v>-36.574816374740458</v>
      </c>
      <c r="AJ134" s="10">
        <f t="shared" si="39"/>
        <v>-20.429965022508387</v>
      </c>
      <c r="AL134" s="10" t="str">
        <f t="shared" si="42"/>
        <v>0.0172188771302094-0.000828295859638083i</v>
      </c>
      <c r="AM134" s="10" t="str">
        <f t="shared" si="43"/>
        <v>0.112639427996819-0.302207702882812i</v>
      </c>
      <c r="AN134" s="10" t="str">
        <f t="shared" si="47"/>
        <v>-0.364868729635477+1.14414683232609i</v>
      </c>
      <c r="AO134" s="10">
        <f t="shared" si="48"/>
        <v>1.2009168013595417</v>
      </c>
      <c r="AP134" s="10">
        <f t="shared" si="49"/>
        <v>1.8795013718405329</v>
      </c>
      <c r="AQ134" s="10">
        <f t="shared" si="50"/>
        <v>107.68749619551092</v>
      </c>
      <c r="AR134" s="10">
        <f t="shared" si="51"/>
        <v>1.5902584168000375</v>
      </c>
      <c r="AS134" s="10">
        <f t="shared" si="52"/>
        <v>-18.839706605708351</v>
      </c>
      <c r="AT134" s="10">
        <f t="shared" si="53"/>
        <v>71.112679820770467</v>
      </c>
    </row>
    <row r="135" spans="25:46" x14ac:dyDescent="0.25">
      <c r="Y135" s="10">
        <v>133</v>
      </c>
      <c r="Z135" s="10">
        <f t="shared" si="44"/>
        <v>9772.3722095580997</v>
      </c>
      <c r="AA135" s="10" t="str">
        <f t="shared" si="45"/>
        <v>61401.6254833856i</v>
      </c>
      <c r="AC135" s="10">
        <f>1/(2*$T$3+$T$6*$T$2/('4. Boost Inductor'!$B$11*$T$3^2)*($T$5))</f>
        <v>0.20979859335038364</v>
      </c>
      <c r="AD135" s="10" t="str">
        <f t="shared" si="40"/>
        <v>0.00162791554834215-0.00105804754315211i</v>
      </c>
      <c r="AE135" s="10" t="str">
        <f t="shared" si="41"/>
        <v>0.99988115856154-0.0322352177641638i</v>
      </c>
      <c r="AF135" s="10" t="str">
        <f t="shared" si="46"/>
        <v>0.0764201898125806-0.0532479866749968i</v>
      </c>
      <c r="AG135" s="10">
        <f t="shared" si="36"/>
        <v>9.314179242387105E-2</v>
      </c>
      <c r="AH135" s="10">
        <f t="shared" si="37"/>
        <v>-0.60856097516831831</v>
      </c>
      <c r="AI135" s="10">
        <f t="shared" si="38"/>
        <v>-34.867975453510333</v>
      </c>
      <c r="AJ135" s="10">
        <f t="shared" si="39"/>
        <v>-20.61710817489714</v>
      </c>
      <c r="AL135" s="10" t="str">
        <f t="shared" si="42"/>
        <v>0.0172187870506655-0.000773010744192028i</v>
      </c>
      <c r="AM135" s="10" t="str">
        <f t="shared" si="43"/>
        <v>0.100577195920855-0.285870470483641i</v>
      </c>
      <c r="AN135" s="10" t="str">
        <f t="shared" si="47"/>
        <v>-0.326340656693967+1.08001944181416i</v>
      </c>
      <c r="AO135" s="10">
        <f t="shared" si="48"/>
        <v>1.1282465239955404</v>
      </c>
      <c r="AP135" s="10">
        <f t="shared" si="49"/>
        <v>1.8642352744270809</v>
      </c>
      <c r="AQ135" s="10">
        <f t="shared" si="50"/>
        <v>106.81281324408454</v>
      </c>
      <c r="AR135" s="10">
        <f t="shared" si="51"/>
        <v>1.0480800836064634</v>
      </c>
      <c r="AS135" s="10">
        <f t="shared" si="52"/>
        <v>-19.569028091290676</v>
      </c>
      <c r="AT135" s="10">
        <f t="shared" si="53"/>
        <v>71.944837790574212</v>
      </c>
    </row>
    <row r="136" spans="25:46" x14ac:dyDescent="0.25">
      <c r="Y136" s="10">
        <v>134</v>
      </c>
      <c r="Z136" s="10">
        <f t="shared" si="44"/>
        <v>10471.285480509003</v>
      </c>
      <c r="AA136" s="10" t="str">
        <f t="shared" si="45"/>
        <v>65793.0270784171i</v>
      </c>
      <c r="AC136" s="10">
        <f>1/(2*$T$3+$T$6*$T$2/('4. Boost Inductor'!$B$11*$T$3^2)*($T$5))</f>
        <v>0.20979859335038364</v>
      </c>
      <c r="AD136" s="10" t="str">
        <f t="shared" si="40"/>
        <v>0.00162777086125148-0.000987427563195352i</v>
      </c>
      <c r="AE136" s="10" t="str">
        <f t="shared" si="41"/>
        <v>0.999863547252912-0.0345410214124822i</v>
      </c>
      <c r="AF136" s="10" t="str">
        <f t="shared" si="46"/>
        <v>0.0764118601746592-0.050040810142179i</v>
      </c>
      <c r="AG136" s="10">
        <f t="shared" si="36"/>
        <v>9.1339230646186598E-2</v>
      </c>
      <c r="AH136" s="10">
        <f t="shared" si="37"/>
        <v>-0.5798000883621468</v>
      </c>
      <c r="AI136" s="10">
        <f t="shared" si="38"/>
        <v>-33.220098024463212</v>
      </c>
      <c r="AJ136" s="10">
        <f t="shared" si="39"/>
        <v>-20.786853015850994</v>
      </c>
      <c r="AL136" s="10" t="str">
        <f t="shared" si="42"/>
        <v>0.0172187085946491-0.000721415659170531i</v>
      </c>
      <c r="AM136" s="10" t="str">
        <f t="shared" si="43"/>
        <v>0.0898010394854623-0.269986306160987i</v>
      </c>
      <c r="AN136" s="10" t="str">
        <f t="shared" si="47"/>
        <v>-0.291920885576051+1.01813747178809i</v>
      </c>
      <c r="AO136" s="10">
        <f t="shared" si="48"/>
        <v>1.059160854117329</v>
      </c>
      <c r="AP136" s="10">
        <f t="shared" si="49"/>
        <v>1.8500260124639032</v>
      </c>
      <c r="AQ136" s="10">
        <f t="shared" si="50"/>
        <v>105.99868250359869</v>
      </c>
      <c r="AR136" s="10">
        <f t="shared" si="51"/>
        <v>0.49923842312474326</v>
      </c>
      <c r="AS136" s="10">
        <f t="shared" si="52"/>
        <v>-20.28761459272625</v>
      </c>
      <c r="AT136" s="10">
        <f t="shared" si="53"/>
        <v>72.778584479135475</v>
      </c>
    </row>
    <row r="137" spans="25:46" x14ac:dyDescent="0.25">
      <c r="Y137" s="10">
        <v>135</v>
      </c>
      <c r="Z137" s="10">
        <f t="shared" si="44"/>
        <v>11220.184543019639</v>
      </c>
      <c r="AA137" s="10" t="str">
        <f t="shared" si="45"/>
        <v>70498.4986645445i</v>
      </c>
      <c r="AC137" s="10">
        <f>1/(2*$T$3+$T$6*$T$2/('4. Boost Inductor'!$B$11*$T$3^2)*($T$5))</f>
        <v>0.20979859335038364</v>
      </c>
      <c r="AD137" s="10" t="str">
        <f t="shared" si="40"/>
        <v>0.00162764484402939-0.00092152113639441i</v>
      </c>
      <c r="AE137" s="10" t="str">
        <f t="shared" si="41"/>
        <v>0.999843325326686-0.0370118181879991i</v>
      </c>
      <c r="AF137" s="10" t="str">
        <f t="shared" si="46"/>
        <v>0.0764042196554613-0.0470725153011475i</v>
      </c>
      <c r="AG137" s="10">
        <f t="shared" si="36"/>
        <v>8.9740885208118751E-2</v>
      </c>
      <c r="AH137" s="10">
        <f t="shared" si="37"/>
        <v>-0.5521725204943263</v>
      </c>
      <c r="AI137" s="10">
        <f t="shared" si="38"/>
        <v>-31.637154987425848</v>
      </c>
      <c r="AJ137" s="10">
        <f t="shared" si="39"/>
        <v>-20.940193017631159</v>
      </c>
      <c r="AL137" s="10" t="str">
        <f t="shared" si="42"/>
        <v>0.0172186402623054-0.000673264313394962i</v>
      </c>
      <c r="AM137" s="10" t="str">
        <f t="shared" si="43"/>
        <v>0.0802027889630477-0.254622917652785i</v>
      </c>
      <c r="AN137" s="10" t="str">
        <f t="shared" si="47"/>
        <v>-0.261263760629801+0.958663749005024i</v>
      </c>
      <c r="AO137" s="10">
        <f t="shared" si="48"/>
        <v>0.99362716160277831</v>
      </c>
      <c r="AP137" s="10">
        <f t="shared" si="49"/>
        <v>1.8368639057369598</v>
      </c>
      <c r="AQ137" s="10">
        <f t="shared" si="50"/>
        <v>105.24454933864408</v>
      </c>
      <c r="AR137" s="10">
        <f t="shared" si="51"/>
        <v>-5.5530904280328107E-2</v>
      </c>
      <c r="AS137" s="10">
        <f t="shared" si="52"/>
        <v>-20.995723921911488</v>
      </c>
      <c r="AT137" s="10">
        <f t="shared" si="53"/>
        <v>73.607394351218232</v>
      </c>
    </row>
    <row r="138" spans="25:46" x14ac:dyDescent="0.25">
      <c r="Y138" s="10">
        <v>136</v>
      </c>
      <c r="Z138" s="10">
        <f t="shared" si="44"/>
        <v>12022.644346174109</v>
      </c>
      <c r="AA138" s="10" t="str">
        <f t="shared" si="45"/>
        <v>75540.5023093269i</v>
      </c>
      <c r="AC138" s="10">
        <f>1/(2*$T$3+$T$6*$T$2/('4. Boost Inductor'!$B$11*$T$3^2)*($T$5))</f>
        <v>0.20979859335038364</v>
      </c>
      <c r="AD138" s="10" t="str">
        <f t="shared" si="40"/>
        <v>0.00162753508759132-0.000860013658361326i</v>
      </c>
      <c r="AE138" s="10" t="str">
        <f t="shared" si="41"/>
        <v>0.99982010555251-0.0396594275481163i</v>
      </c>
      <c r="AF138" s="10" t="str">
        <f t="shared" si="46"/>
        <v>0.0763971221399518-0.0443289349377126i</v>
      </c>
      <c r="AG138" s="10">
        <f t="shared" si="36"/>
        <v>8.8326523445557775E-2</v>
      </c>
      <c r="AH138" s="10">
        <f t="shared" si="37"/>
        <v>-0.52576599390567014</v>
      </c>
      <c r="AI138" s="10">
        <f t="shared" si="38"/>
        <v>-30.12417246229586</v>
      </c>
      <c r="AJ138" s="10">
        <f t="shared" si="39"/>
        <v>-21.078177263360583</v>
      </c>
      <c r="AL138" s="10" t="str">
        <f t="shared" si="42"/>
        <v>0.017218580747314-0.000628326854099014i</v>
      </c>
      <c r="AM138" s="10" t="str">
        <f t="shared" si="43"/>
        <v>0.0716765982126716-0.239830658820834i</v>
      </c>
      <c r="AN138" s="10" t="str">
        <f t="shared" si="47"/>
        <v>-0.234031086139164+0.901709257547995i</v>
      </c>
      <c r="AO138" s="10">
        <f t="shared" si="48"/>
        <v>0.93158474355650178</v>
      </c>
      <c r="AP138" s="10">
        <f t="shared" si="49"/>
        <v>1.8247349867235199</v>
      </c>
      <c r="AQ138" s="10">
        <f t="shared" si="50"/>
        <v>104.549613469118</v>
      </c>
      <c r="AR138" s="10">
        <f t="shared" si="51"/>
        <v>-0.61555264927954034</v>
      </c>
      <c r="AS138" s="10">
        <f t="shared" si="52"/>
        <v>-21.693729912640123</v>
      </c>
      <c r="AT138" s="10">
        <f t="shared" si="53"/>
        <v>74.42544100682214</v>
      </c>
    </row>
    <row r="139" spans="25:46" x14ac:dyDescent="0.25">
      <c r="Y139" s="10">
        <v>137</v>
      </c>
      <c r="Z139" s="10">
        <f t="shared" si="44"/>
        <v>12882.495516931338</v>
      </c>
      <c r="AA139" s="10" t="str">
        <f t="shared" si="45"/>
        <v>80943.1065517899i</v>
      </c>
      <c r="AC139" s="10">
        <f>1/(2*$T$3+$T$6*$T$2/('4. Boost Inductor'!$B$11*$T$3^2)*($T$5))</f>
        <v>0.20979859335038364</v>
      </c>
      <c r="AD139" s="10" t="str">
        <f t="shared" si="40"/>
        <v>0.00162743949371035-0.000802611522259682i</v>
      </c>
      <c r="AE139" s="10" t="str">
        <f t="shared" si="41"/>
        <v>0.999793443184674-0.042496518705859i</v>
      </c>
      <c r="AF139" s="10" t="str">
        <f t="shared" si="46"/>
        <v>0.0763904318776605-0.0417969749168869i</v>
      </c>
      <c r="AG139" s="10">
        <f t="shared" si="36"/>
        <v>8.7077466629768008E-2</v>
      </c>
      <c r="AH139" s="10">
        <f t="shared" si="37"/>
        <v>-0.50065197560165176</v>
      </c>
      <c r="AI139" s="10">
        <f t="shared" si="38"/>
        <v>-28.685245206861307</v>
      </c>
      <c r="AJ139" s="10">
        <f t="shared" si="39"/>
        <v>-21.201884290073352</v>
      </c>
      <c r="AL139" s="10" t="str">
        <f t="shared" si="42"/>
        <v>0.0172185289119178-0.000586388769822383i</v>
      </c>
      <c r="AM139" s="10" t="str">
        <f t="shared" si="43"/>
        <v>0.0641207578994553-0.225644741267918i</v>
      </c>
      <c r="AN139" s="10" t="str">
        <f t="shared" si="47"/>
        <v>-0.209897909603324+0.847339961836737i</v>
      </c>
      <c r="AO139" s="10">
        <f t="shared" si="48"/>
        <v>0.87295025252377823</v>
      </c>
      <c r="AP139" s="10">
        <f t="shared" si="49"/>
        <v>1.8136222373329776</v>
      </c>
      <c r="AQ139" s="10">
        <f t="shared" si="50"/>
        <v>103.91289983025334</v>
      </c>
      <c r="AR139" s="10">
        <f t="shared" si="51"/>
        <v>-1.1802101011466084</v>
      </c>
      <c r="AS139" s="10">
        <f t="shared" si="52"/>
        <v>-22.382094391219962</v>
      </c>
      <c r="AT139" s="10">
        <f t="shared" si="53"/>
        <v>75.227654623392027</v>
      </c>
    </row>
    <row r="140" spans="25:46" x14ac:dyDescent="0.25">
      <c r="Y140" s="10">
        <v>138</v>
      </c>
      <c r="Z140" s="10">
        <f t="shared" si="44"/>
        <v>13803.842646028841</v>
      </c>
      <c r="AA140" s="10" t="str">
        <f t="shared" si="45"/>
        <v>86732.1012961474i</v>
      </c>
      <c r="AC140" s="10">
        <f>1/(2*$T$3+$T$6*$T$2/('4. Boost Inductor'!$B$11*$T$3^2)*($T$5))</f>
        <v>0.20979859335038364</v>
      </c>
      <c r="AD140" s="10" t="str">
        <f t="shared" si="40"/>
        <v>0.00162735623490568-0.000749040717483958i</v>
      </c>
      <c r="AE140" s="10" t="str">
        <f t="shared" si="41"/>
        <v>0.999762827394572-0.0455366724255181i</v>
      </c>
      <c r="AF140" s="10" t="str">
        <f t="shared" si="46"/>
        <v>0.0763840208824511-0.0394645517903107i</v>
      </c>
      <c r="AG140" s="10">
        <f t="shared" si="36"/>
        <v>8.597656363324159E-2</v>
      </c>
      <c r="AH140" s="10">
        <f t="shared" si="37"/>
        <v>-0.47688643577877998</v>
      </c>
      <c r="AI140" s="10">
        <f t="shared" si="38"/>
        <v>-27.323580077160674</v>
      </c>
      <c r="AJ140" s="10">
        <f t="shared" si="39"/>
        <v>-21.312398340682886</v>
      </c>
      <c r="AL140" s="10" t="str">
        <f t="shared" si="42"/>
        <v>0.0172184837651705-0.000547249866515209i</v>
      </c>
      <c r="AM140" s="10" t="str">
        <f t="shared" si="43"/>
        <v>0.0574389658689803-0.212087407666575i</v>
      </c>
      <c r="AN140" s="10" t="str">
        <f t="shared" si="47"/>
        <v>-0.188556572685916+0.795583523255455i</v>
      </c>
      <c r="AO140" s="10">
        <f t="shared" si="48"/>
        <v>0.81762260461573721</v>
      </c>
      <c r="AP140" s="10">
        <f t="shared" si="49"/>
        <v>1.8035066722343891</v>
      </c>
      <c r="AQ140" s="10">
        <f t="shared" si="50"/>
        <v>103.3333206427144</v>
      </c>
      <c r="AR140" s="10">
        <f t="shared" si="51"/>
        <v>-1.7489422041634235</v>
      </c>
      <c r="AS140" s="10">
        <f t="shared" si="52"/>
        <v>-23.06134054484631</v>
      </c>
      <c r="AT140" s="10">
        <f t="shared" si="53"/>
        <v>76.009740565553727</v>
      </c>
    </row>
    <row r="141" spans="25:46" x14ac:dyDescent="0.25">
      <c r="Y141" s="10">
        <v>139</v>
      </c>
      <c r="Z141" s="10">
        <f t="shared" si="44"/>
        <v>14791.083881682063</v>
      </c>
      <c r="AA141" s="10" t="str">
        <f t="shared" si="45"/>
        <v>92935.1209226455i</v>
      </c>
      <c r="AC141" s="10">
        <f>1/(2*$T$3+$T$6*$T$2/('4. Boost Inductor'!$B$11*$T$3^2)*($T$5))</f>
        <v>0.20979859335038364</v>
      </c>
      <c r="AD141" s="10" t="str">
        <f t="shared" si="40"/>
        <v>0.00162728371950695-0.000699045521838155i</v>
      </c>
      <c r="AE141" s="10" t="str">
        <f t="shared" si="41"/>
        <v>0.999727671419076-0.0487944474732166i</v>
      </c>
      <c r="AF141" s="10" t="str">
        <f t="shared" si="46"/>
        <v>0.0763777664790986-0.0373205352496177i</v>
      </c>
      <c r="AG141" s="10">
        <f t="shared" si="36"/>
        <v>8.5008149983714337E-2</v>
      </c>
      <c r="AH141" s="10">
        <f t="shared" si="37"/>
        <v>-0.45451101610379191</v>
      </c>
      <c r="AI141" s="10">
        <f t="shared" si="38"/>
        <v>-26.041562964949868</v>
      </c>
      <c r="AJ141" s="10">
        <f t="shared" si="39"/>
        <v>-21.410788703766265</v>
      </c>
      <c r="AL141" s="10" t="str">
        <f t="shared" si="42"/>
        <v>0.017218444443994-0.000510723311969983i</v>
      </c>
      <c r="AM141" s="10" t="str">
        <f t="shared" si="43"/>
        <v>0.0515411442184559-0.199169988276683i</v>
      </c>
      <c r="AN141" s="10" t="str">
        <f t="shared" si="47"/>
        <v>-0.169719315605498+0.746435658657091i</v>
      </c>
      <c r="AO141" s="10">
        <f t="shared" si="48"/>
        <v>0.76548732099522332</v>
      </c>
      <c r="AP141" s="10">
        <f t="shared" si="49"/>
        <v>1.7943682743609075</v>
      </c>
      <c r="AQ141" s="10">
        <f t="shared" si="50"/>
        <v>102.80972901305256</v>
      </c>
      <c r="AR141" s="10">
        <f t="shared" si="51"/>
        <v>-2.3212399652167566</v>
      </c>
      <c r="AS141" s="10">
        <f t="shared" si="52"/>
        <v>-23.73202866898302</v>
      </c>
      <c r="AT141" s="10">
        <f t="shared" si="53"/>
        <v>76.7681660481027</v>
      </c>
    </row>
    <row r="142" spans="25:46" x14ac:dyDescent="0.25">
      <c r="Y142" s="10">
        <v>140</v>
      </c>
      <c r="Z142" s="10">
        <f t="shared" si="44"/>
        <v>15848.931924611119</v>
      </c>
      <c r="AA142" s="10" t="str">
        <f t="shared" si="45"/>
        <v>99581.7762032061i</v>
      </c>
      <c r="AC142" s="10">
        <f>1/(2*$T$3+$T$6*$T$2/('4. Boost Inductor'!$B$11*$T$3^2)*($T$5))</f>
        <v>0.20979859335038364</v>
      </c>
      <c r="AD142" s="10" t="str">
        <f t="shared" si="40"/>
        <v>0.00162722056122636-0.000652387280979151i</v>
      </c>
      <c r="AE142" s="10" t="str">
        <f t="shared" si="41"/>
        <v>0.99968730122984-0.0522854521095402i</v>
      </c>
      <c r="AF142" s="10" t="str">
        <f t="shared" si="46"/>
        <v>0.0763715489492444-0.0353546951568597i</v>
      </c>
      <c r="AG142" s="10">
        <f t="shared" si="36"/>
        <v>8.4157994026362787E-2</v>
      </c>
      <c r="AH142" s="10">
        <f t="shared" si="37"/>
        <v>-0.43355448971800442</v>
      </c>
      <c r="AI142" s="10">
        <f t="shared" si="38"/>
        <v>-24.840842449789701</v>
      </c>
      <c r="AJ142" s="10">
        <f t="shared" si="39"/>
        <v>-21.498092496521572</v>
      </c>
      <c r="AL142" s="10" t="str">
        <f t="shared" si="42"/>
        <v>0.0172184101966784-0.000476634744022719i</v>
      </c>
      <c r="AM142" s="10" t="str">
        <f t="shared" si="43"/>
        <v>0.0463438901358376-0.186894791108002i</v>
      </c>
      <c r="AN142" s="10" t="str">
        <f t="shared" si="47"/>
        <v>-0.153119712862737+0.699865981588515i</v>
      </c>
      <c r="AO142" s="10">
        <f t="shared" si="48"/>
        <v>0.71642029469580404</v>
      </c>
      <c r="AP142" s="10">
        <f t="shared" si="49"/>
        <v>1.7861867926104158</v>
      </c>
      <c r="AQ142" s="10">
        <f t="shared" si="50"/>
        <v>102.34096463858607</v>
      </c>
      <c r="AR142" s="10">
        <f t="shared" si="51"/>
        <v>-2.8966423998001813</v>
      </c>
      <c r="AS142" s="10">
        <f t="shared" si="52"/>
        <v>-24.394734896321754</v>
      </c>
      <c r="AT142" s="10">
        <f t="shared" si="53"/>
        <v>77.500122188796368</v>
      </c>
    </row>
    <row r="143" spans="25:46" x14ac:dyDescent="0.25">
      <c r="Y143" s="10">
        <v>141</v>
      </c>
      <c r="Z143" s="10">
        <f t="shared" si="44"/>
        <v>16982.436524617453</v>
      </c>
      <c r="AA143" s="10" t="str">
        <f t="shared" si="45"/>
        <v>106703.795651586i</v>
      </c>
      <c r="AC143" s="10">
        <f>1/(2*$T$3+$T$6*$T$2/('4. Boost Inductor'!$B$11*$T$3^2)*($T$5))</f>
        <v>0.20979859335038364</v>
      </c>
      <c r="AD143" s="10" t="str">
        <f t="shared" si="40"/>
        <v>0.00162716555265705-0.000608843269305231i</v>
      </c>
      <c r="AE143" s="10" t="str">
        <f t="shared" si="41"/>
        <v>0.999640942498213-0.0560264210515585i</v>
      </c>
      <c r="AF143" s="10" t="str">
        <f t="shared" si="46"/>
        <v>0.0763652492310526-0.0335576529061252i</v>
      </c>
      <c r="AG143" s="10">
        <f t="shared" si="36"/>
        <v>8.3413232515523295E-2</v>
      </c>
      <c r="AH143" s="10">
        <f t="shared" si="37"/>
        <v>-0.41403440162253541</v>
      </c>
      <c r="AI143" s="10">
        <f t="shared" si="38"/>
        <v>-23.722423786195762</v>
      </c>
      <c r="AJ143" s="10">
        <f t="shared" si="39"/>
        <v>-21.575300965034671</v>
      </c>
      <c r="AL143" s="10" t="str">
        <f t="shared" si="42"/>
        <v>0.0172183803685115-0.000444821438269143i</v>
      </c>
      <c r="AM143" s="10" t="str">
        <f t="shared" si="43"/>
        <v>0.0417706403104815-0.17525679899869i</v>
      </c>
      <c r="AN143" s="10" t="str">
        <f t="shared" si="47"/>
        <v>-0.138513195008303+0.655823239983549i</v>
      </c>
      <c r="AO143" s="10">
        <f t="shared" si="48"/>
        <v>0.67029100194909963</v>
      </c>
      <c r="AP143" s="10">
        <f t="shared" si="49"/>
        <v>1.7789424143649184</v>
      </c>
      <c r="AQ143" s="10">
        <f t="shared" si="50"/>
        <v>101.9258923399227</v>
      </c>
      <c r="AR143" s="10">
        <f t="shared" si="51"/>
        <v>-3.4747322115610464</v>
      </c>
      <c r="AS143" s="10">
        <f t="shared" si="52"/>
        <v>-25.050033176595718</v>
      </c>
      <c r="AT143" s="10">
        <f t="shared" si="53"/>
        <v>78.203468553726935</v>
      </c>
    </row>
    <row r="144" spans="25:46" x14ac:dyDescent="0.25">
      <c r="Y144" s="10">
        <v>142</v>
      </c>
      <c r="Z144" s="10">
        <f t="shared" si="44"/>
        <v>18197.008586099837</v>
      </c>
      <c r="AA144" s="10" t="str">
        <f t="shared" si="45"/>
        <v>114335.176982803i</v>
      </c>
      <c r="AC144" s="10">
        <f>1/(2*$T$3+$T$6*$T$2/('4. Boost Inductor'!$B$11*$T$3^2)*($T$5))</f>
        <v>0.20979859335038364</v>
      </c>
      <c r="AD144" s="10" t="str">
        <f t="shared" si="40"/>
        <v>0.00162711764219111-0.00056820562685777i</v>
      </c>
      <c r="AE144" s="10" t="str">
        <f t="shared" si="41"/>
        <v>0.999587705595028-0.0600352983775073i</v>
      </c>
      <c r="AF144" s="10" t="str">
        <f t="shared" si="46"/>
        <v>0.0763587466276927-0.0319208368926403i</v>
      </c>
      <c r="AG144" s="10">
        <f t="shared" si="36"/>
        <v>8.2762298267258852E-2</v>
      </c>
      <c r="AH144" s="10">
        <f t="shared" si="37"/>
        <v>-0.39595879171858978</v>
      </c>
      <c r="AI144" s="10">
        <f t="shared" si="38"/>
        <v>-22.686767626574809</v>
      </c>
      <c r="AJ144" s="10">
        <f t="shared" si="39"/>
        <v>-21.643349154004838</v>
      </c>
      <c r="AL144" s="10" t="str">
        <f t="shared" si="42"/>
        <v>0.0172183543892627-0.000415131531325137i</v>
      </c>
      <c r="AM144" s="10" t="str">
        <f t="shared" si="43"/>
        <v>0.0377516188980536-0.164245163946575i</v>
      </c>
      <c r="AN144" s="10" t="str">
        <f t="shared" si="47"/>
        <v>-0.125676879811168+0.614239918614252i</v>
      </c>
      <c r="AO144" s="10">
        <f t="shared" si="48"/>
        <v>0.62696519499754821</v>
      </c>
      <c r="AP144" s="10">
        <f t="shared" si="49"/>
        <v>1.7726163266459962</v>
      </c>
      <c r="AQ144" s="10">
        <f t="shared" si="50"/>
        <v>101.56343421279891</v>
      </c>
      <c r="AR144" s="10">
        <f t="shared" si="51"/>
        <v>-4.0551313537225067</v>
      </c>
      <c r="AS144" s="10">
        <f t="shared" si="52"/>
        <v>-25.698480507727346</v>
      </c>
      <c r="AT144" s="10">
        <f t="shared" si="53"/>
        <v>78.876666586224104</v>
      </c>
    </row>
    <row r="145" spans="25:46" x14ac:dyDescent="0.25">
      <c r="Y145" s="10">
        <v>143</v>
      </c>
      <c r="Z145" s="10">
        <f t="shared" si="44"/>
        <v>19498.445997580417</v>
      </c>
      <c r="AA145" s="10" t="str">
        <f t="shared" si="45"/>
        <v>122512.349404832i</v>
      </c>
      <c r="AC145" s="10">
        <f>1/(2*$T$3+$T$6*$T$2/('4. Boost Inductor'!$B$11*$T$3^2)*($T$5))</f>
        <v>0.20979859335038364</v>
      </c>
      <c r="AD145" s="10" t="str">
        <f t="shared" si="40"/>
        <v>0.00162707591391595-0.00053028036716581i</v>
      </c>
      <c r="AE145" s="10" t="str">
        <f t="shared" si="41"/>
        <v>0.999526568323311-0.0643313269001807i</v>
      </c>
      <c r="AF145" s="10" t="str">
        <f t="shared" si="46"/>
        <v>0.0763519164796531-0.0304364418870846i</v>
      </c>
      <c r="AG145" s="10">
        <f t="shared" si="36"/>
        <v>8.2194842568507911E-2</v>
      </c>
      <c r="AH145" s="10">
        <f t="shared" si="37"/>
        <v>-0.37932792021578038</v>
      </c>
      <c r="AI145" s="10">
        <f t="shared" si="38"/>
        <v>-21.733888879839434</v>
      </c>
      <c r="AJ145" s="10">
        <f t="shared" si="39"/>
        <v>-21.703108640514664</v>
      </c>
      <c r="AL145" s="10" t="str">
        <f t="shared" si="42"/>
        <v>0.0172183317622818-0.000387423295925429i</v>
      </c>
      <c r="AM145" s="10" t="str">
        <f t="shared" si="43"/>
        <v>0.0342236282710366-0.153844501120701i</v>
      </c>
      <c r="AN145" s="10" t="str">
        <f t="shared" si="47"/>
        <v>-0.114408901871034+0.575036213247847i</v>
      </c>
      <c r="AO145" s="10">
        <f t="shared" si="48"/>
        <v>0.58630712376173577</v>
      </c>
      <c r="AP145" s="10">
        <f t="shared" si="49"/>
        <v>1.7671911798836681</v>
      </c>
      <c r="AQ145" s="10">
        <f t="shared" si="50"/>
        <v>101.25259620007846</v>
      </c>
      <c r="AR145" s="10">
        <f t="shared" si="51"/>
        <v>-4.6374965801752142</v>
      </c>
      <c r="AS145" s="10">
        <f t="shared" si="52"/>
        <v>-26.340605220689877</v>
      </c>
      <c r="AT145" s="10">
        <f t="shared" si="53"/>
        <v>79.518707320239031</v>
      </c>
    </row>
    <row r="146" spans="25:46" x14ac:dyDescent="0.25">
      <c r="Y146" s="10">
        <v>144</v>
      </c>
      <c r="Z146" s="10">
        <f t="shared" si="44"/>
        <v>20892.961308540387</v>
      </c>
      <c r="AA146" s="10" t="str">
        <f t="shared" si="45"/>
        <v>131274.347517293i</v>
      </c>
      <c r="AC146" s="10">
        <f>1/(2*$T$3+$T$6*$T$2/('4. Boost Inductor'!$B$11*$T$3^2)*($T$5))</f>
        <v>0.20979859335038364</v>
      </c>
      <c r="AD146" s="10" t="str">
        <f t="shared" si="40"/>
        <v>0.00162703957010478-0.000494886451301069i</v>
      </c>
      <c r="AE146" s="10" t="str">
        <f t="shared" si="41"/>
        <v>0.999456356033769-0.0689351445960062i</v>
      </c>
      <c r="AF146" s="10" t="str">
        <f t="shared" si="46"/>
        <v>0.0763446277548256-0.029097392133781i</v>
      </c>
      <c r="AG146" s="10">
        <f t="shared" si="36"/>
        <v>8.1701654915980179E-2</v>
      </c>
      <c r="AH146" s="10">
        <f t="shared" si="37"/>
        <v>-0.3641359337463394</v>
      </c>
      <c r="AI146" s="10">
        <f t="shared" si="38"/>
        <v>-20.863452172720617</v>
      </c>
      <c r="AJ146" s="10">
        <f t="shared" si="39"/>
        <v>-21.755382929670152</v>
      </c>
      <c r="AL146" s="10" t="str">
        <f t="shared" si="42"/>
        <v>0.0172183120550045-0.000361564464401639i</v>
      </c>
      <c r="AM146" s="10" t="str">
        <f t="shared" si="43"/>
        <v>0.0311297311902247-0.144035993004156i</v>
      </c>
      <c r="AN146" s="10" t="str">
        <f t="shared" si="47"/>
        <v>-0.104527395897823+0.538123409125077i</v>
      </c>
      <c r="AO146" s="10">
        <f t="shared" si="48"/>
        <v>0.54818133855648099</v>
      </c>
      <c r="AP146" s="10">
        <f t="shared" si="49"/>
        <v>1.7626514677142975</v>
      </c>
      <c r="AQ146" s="10">
        <f t="shared" si="50"/>
        <v>100.99248985256934</v>
      </c>
      <c r="AR146" s="10">
        <f t="shared" si="51"/>
        <v>-5.2215150599834068</v>
      </c>
      <c r="AS146" s="10">
        <f t="shared" si="52"/>
        <v>-26.976897989653558</v>
      </c>
      <c r="AT146" s="10">
        <f t="shared" si="53"/>
        <v>80.129037679848722</v>
      </c>
    </row>
    <row r="147" spans="25:46" x14ac:dyDescent="0.25">
      <c r="Y147" s="10">
        <v>145</v>
      </c>
      <c r="Z147" s="10">
        <f t="shared" si="44"/>
        <v>22387.211385683382</v>
      </c>
      <c r="AA147" s="10" t="str">
        <f t="shared" si="45"/>
        <v>140662.997647249i</v>
      </c>
      <c r="AC147" s="10">
        <f>1/(2*$T$3+$T$6*$T$2/('4. Boost Inductor'!$B$11*$T$3^2)*($T$5))</f>
        <v>0.20979859335038364</v>
      </c>
      <c r="AD147" s="10" t="str">
        <f t="shared" si="40"/>
        <v>0.00162700791596637-0.000461854923726331i</v>
      </c>
      <c r="AE147" s="10" t="str">
        <f t="shared" si="41"/>
        <v>0.999375718716438-0.0738688887474314i</v>
      </c>
      <c r="AF147" s="10" t="str">
        <f t="shared" si="46"/>
        <v>0.0763367405082176-0.0278973080120255i</v>
      </c>
      <c r="AG147" s="10">
        <f t="shared" si="36"/>
        <v>8.1274582408873502E-2</v>
      </c>
      <c r="AH147" s="10">
        <f t="shared" si="37"/>
        <v>-0.35037242837347621</v>
      </c>
      <c r="AI147" s="10">
        <f t="shared" si="38"/>
        <v>-20.074861403549921</v>
      </c>
      <c r="AJ147" s="10">
        <f t="shared" si="39"/>
        <v>-21.800905064871184</v>
      </c>
      <c r="AL147" s="10" t="str">
        <f t="shared" si="42"/>
        <v>0.0172182948906828-0.000337431597311449i</v>
      </c>
      <c r="AM147" s="10" t="str">
        <f t="shared" si="43"/>
        <v>0.0284188632519466-0.134798318972886i</v>
      </c>
      <c r="AN147" s="10" t="str">
        <f t="shared" si="47"/>
        <v>-0.0958692576623226+0.5034067119211i</v>
      </c>
      <c r="AO147" s="10">
        <f t="shared" si="48"/>
        <v>0.51245412689521597</v>
      </c>
      <c r="AP147" s="10">
        <f t="shared" si="49"/>
        <v>1.7589838351882858</v>
      </c>
      <c r="AQ147" s="10">
        <f t="shared" si="50"/>
        <v>100.78234998802395</v>
      </c>
      <c r="AR147" s="10">
        <f t="shared" si="51"/>
        <v>-5.8069001011687407</v>
      </c>
      <c r="AS147" s="10">
        <f t="shared" si="52"/>
        <v>-27.607805166039924</v>
      </c>
      <c r="AT147" s="10">
        <f t="shared" si="53"/>
        <v>80.707488584474035</v>
      </c>
    </row>
    <row r="148" spans="25:46" x14ac:dyDescent="0.25">
      <c r="Y148" s="10">
        <v>146</v>
      </c>
      <c r="Z148" s="10">
        <f t="shared" si="44"/>
        <v>23988.32919019488</v>
      </c>
      <c r="AA148" s="10" t="str">
        <f t="shared" si="45"/>
        <v>150723.11751162i</v>
      </c>
      <c r="AC148" s="10">
        <f>1/(2*$T$3+$T$6*$T$2/('4. Boost Inductor'!$B$11*$T$3^2)*($T$5))</f>
        <v>0.20979859335038364</v>
      </c>
      <c r="AD148" s="10" t="str">
        <f t="shared" si="40"/>
        <v>0.00162698034636271-0.000431028105814503i</v>
      </c>
      <c r="AE148" s="10" t="str">
        <f t="shared" si="41"/>
        <v>0.999283104595664-0.0791563085386035i</v>
      </c>
      <c r="AF148" s="10" t="str">
        <f t="shared" si="46"/>
        <v>0.0763281031600126-0.0268304761203278i</v>
      </c>
      <c r="AG148" s="10">
        <f t="shared" si="36"/>
        <v>8.0906450798740412E-2</v>
      </c>
      <c r="AH148" s="10">
        <f t="shared" si="37"/>
        <v>-0.33802388149338825</v>
      </c>
      <c r="AI148" s="10">
        <f t="shared" si="38"/>
        <v>-19.367341784201443</v>
      </c>
      <c r="AJ148" s="10">
        <f t="shared" si="39"/>
        <v>-21.84033700048434</v>
      </c>
      <c r="AL148" s="10" t="str">
        <f t="shared" si="42"/>
        <v>0.017218279941183-0.000314909494205925i</v>
      </c>
      <c r="AM148" s="10" t="str">
        <f t="shared" si="43"/>
        <v>0.0260454058447605-0.126108428105214i</v>
      </c>
      <c r="AN148" s="10" t="str">
        <f t="shared" si="47"/>
        <v>-0.0882887791047321+0.470787587346043i</v>
      </c>
      <c r="AO148" s="10">
        <f t="shared" si="48"/>
        <v>0.47899463558051697</v>
      </c>
      <c r="AP148" s="10">
        <f t="shared" si="49"/>
        <v>1.7561773264480254</v>
      </c>
      <c r="AQ148" s="10">
        <f t="shared" si="50"/>
        <v>100.62154888204046</v>
      </c>
      <c r="AR148" s="10">
        <f t="shared" si="51"/>
        <v>-6.3933870073173278</v>
      </c>
      <c r="AS148" s="10">
        <f t="shared" si="52"/>
        <v>-28.233724007801669</v>
      </c>
      <c r="AT148" s="10">
        <f t="shared" si="53"/>
        <v>81.254207097839014</v>
      </c>
    </row>
    <row r="149" spans="25:46" x14ac:dyDescent="0.25">
      <c r="Y149" s="10">
        <v>147</v>
      </c>
      <c r="Z149" s="10">
        <f t="shared" si="44"/>
        <v>25703.957827688606</v>
      </c>
      <c r="AA149" s="10" t="str">
        <f t="shared" si="45"/>
        <v>161502.730159297i</v>
      </c>
      <c r="AC149" s="10">
        <f>1/(2*$T$3+$T$6*$T$2/('4. Boost Inductor'!$B$11*$T$3^2)*($T$5))</f>
        <v>0.20979859335038364</v>
      </c>
      <c r="AD149" s="10" t="str">
        <f t="shared" si="40"/>
        <v>0.00162695633424049-0.000402258843190595i</v>
      </c>
      <c r="AE149" s="10" t="str">
        <f t="shared" si="41"/>
        <v>0.999176729677521-0.0848228869406767i</v>
      </c>
      <c r="AF149" s="10" t="str">
        <f t="shared" si="46"/>
        <v>0.0763185495363346-0.0258918226639901i</v>
      </c>
      <c r="AG149" s="10">
        <f t="shared" si="36"/>
        <v>8.0590988852311946E-2</v>
      </c>
      <c r="AH149" s="10">
        <f t="shared" si="37"/>
        <v>-0.32707493774790791</v>
      </c>
      <c r="AI149" s="10">
        <f t="shared" si="38"/>
        <v>-18.740013517459257</v>
      </c>
      <c r="AJ149" s="10">
        <f t="shared" si="39"/>
        <v>-21.87427030794252</v>
      </c>
      <c r="AL149" s="10" t="str">
        <f t="shared" si="42"/>
        <v>0.0172182669207127-0.000293890643723121i</v>
      </c>
      <c r="AM149" s="10" t="str">
        <f t="shared" si="43"/>
        <v>0.0239687425138657-0.117942173821922i</v>
      </c>
      <c r="AN149" s="10" t="str">
        <f t="shared" si="47"/>
        <v>-0.0816562306737241+0.440165668156181i</v>
      </c>
      <c r="AO149" s="10">
        <f t="shared" si="48"/>
        <v>0.44767572575606296</v>
      </c>
      <c r="AP149" s="10">
        <f t="shared" si="49"/>
        <v>1.7542235814658371</v>
      </c>
      <c r="AQ149" s="10">
        <f t="shared" si="50"/>
        <v>100.50960754031621</v>
      </c>
      <c r="AR149" s="10">
        <f t="shared" si="51"/>
        <v>-6.9807290730638307</v>
      </c>
      <c r="AS149" s="10">
        <f t="shared" si="52"/>
        <v>-28.854999381006351</v>
      </c>
      <c r="AT149" s="10">
        <f t="shared" si="53"/>
        <v>81.76959402285695</v>
      </c>
    </row>
    <row r="150" spans="25:46" x14ac:dyDescent="0.25">
      <c r="Y150" s="10">
        <v>148</v>
      </c>
      <c r="Z150" s="10">
        <f t="shared" si="44"/>
        <v>27542.287033381672</v>
      </c>
      <c r="AA150" s="10" t="str">
        <f t="shared" si="45"/>
        <v>173053.293214267i</v>
      </c>
      <c r="AC150" s="10">
        <f>1/(2*$T$3+$T$6*$T$2/('4. Boost Inductor'!$B$11*$T$3^2)*($T$5))</f>
        <v>0.20979859335038364</v>
      </c>
      <c r="AD150" s="10" t="str">
        <f t="shared" si="40"/>
        <v>0.00162693542055538-0.00037540980330524i</v>
      </c>
      <c r="AE150" s="10" t="str">
        <f t="shared" si="41"/>
        <v>0.999054542606686-0.090895972836455i</v>
      </c>
      <c r="AF150" s="10" t="str">
        <f t="shared" si="46"/>
        <v>0.0763078956114034-0.0250768900475376i</v>
      </c>
      <c r="AG150" s="10">
        <f t="shared" si="36"/>
        <v>8.0322757342468812E-2</v>
      </c>
      <c r="AH150" s="10">
        <f t="shared" si="37"/>
        <v>-0.31750954430279987</v>
      </c>
      <c r="AI150" s="10">
        <f t="shared" si="38"/>
        <v>-18.191956843672465</v>
      </c>
      <c r="AJ150" s="10">
        <f t="shared" si="39"/>
        <v>-21.903227827172188</v>
      </c>
      <c r="AL150" s="10" t="str">
        <f t="shared" si="42"/>
        <v>0.0172182555803569-0.000274274710383465i</v>
      </c>
      <c r="AM150" s="10" t="str">
        <f t="shared" si="43"/>
        <v>0.0221528155662519-0.110274828620767i</v>
      </c>
      <c r="AN150" s="10" t="str">
        <f t="shared" si="47"/>
        <v>-0.0758564446093243+0.411440286314743i</v>
      </c>
      <c r="AO150" s="10">
        <f t="shared" si="48"/>
        <v>0.41837460414265726</v>
      </c>
      <c r="AP150" s="10">
        <f t="shared" si="49"/>
        <v>1.7531169899014514</v>
      </c>
      <c r="AQ150" s="10">
        <f t="shared" si="50"/>
        <v>100.44620451403212</v>
      </c>
      <c r="AR150" s="10">
        <f t="shared" si="51"/>
        <v>-7.5686937110874357</v>
      </c>
      <c r="AS150" s="10">
        <f t="shared" si="52"/>
        <v>-29.471921538259622</v>
      </c>
      <c r="AT150" s="10">
        <f t="shared" si="53"/>
        <v>82.254247670359661</v>
      </c>
    </row>
    <row r="151" spans="25:46" x14ac:dyDescent="0.25">
      <c r="Y151" s="10">
        <v>149</v>
      </c>
      <c r="Z151" s="10">
        <f t="shared" si="44"/>
        <v>29512.092266663854</v>
      </c>
      <c r="AA151" s="10" t="str">
        <f t="shared" si="45"/>
        <v>185429.944514031i</v>
      </c>
      <c r="AC151" s="10">
        <f>1/(2*$T$3+$T$6*$T$2/('4. Boost Inductor'!$B$11*$T$3^2)*($T$5))</f>
        <v>0.20979859335038364</v>
      </c>
      <c r="AD151" s="10" t="str">
        <f t="shared" si="40"/>
        <v>0.0016269172054964-0.000350352819888065i</v>
      </c>
      <c r="AE151" s="10" t="str">
        <f t="shared" si="41"/>
        <v>0.998914184080609-0.0974049244678382i</v>
      </c>
      <c r="AF151" s="10" t="str">
        <f t="shared" si="46"/>
        <v>0.0762959358825216-0.0243818165953787i</v>
      </c>
      <c r="AG151" s="10">
        <f t="shared" si="36"/>
        <v>8.0097083671507877E-2</v>
      </c>
      <c r="AH151" s="10">
        <f t="shared" si="37"/>
        <v>-0.3093119383410099</v>
      </c>
      <c r="AI151" s="10">
        <f t="shared" si="38"/>
        <v>-17.722268619950615</v>
      </c>
      <c r="AJ151" s="10">
        <f t="shared" si="39"/>
        <v>-21.927665925113917</v>
      </c>
      <c r="AL151" s="10" t="str">
        <f t="shared" si="42"/>
        <v>0.0172182457033196-0.000255968055637717i</v>
      </c>
      <c r="AM151" s="10" t="str">
        <f t="shared" si="43"/>
        <v>0.0205656948568287-0.10308149611038i</v>
      </c>
      <c r="AN151" s="10" t="str">
        <f t="shared" si="47"/>
        <v>-0.0707874372661187+0.384511684698644i</v>
      </c>
      <c r="AO151" s="10">
        <f t="shared" si="48"/>
        <v>0.39097326883623912</v>
      </c>
      <c r="AP151" s="10">
        <f t="shared" si="49"/>
        <v>1.7528548086057771</v>
      </c>
      <c r="AQ151" s="10">
        <f t="shared" si="50"/>
        <v>100.43118263232272</v>
      </c>
      <c r="AR151" s="10">
        <f t="shared" si="51"/>
        <v>-8.1570586931963369</v>
      </c>
      <c r="AS151" s="10">
        <f t="shared" si="52"/>
        <v>-30.084724618310254</v>
      </c>
      <c r="AT151" s="10">
        <f t="shared" si="53"/>
        <v>82.708914012372105</v>
      </c>
    </row>
    <row r="152" spans="25:46" x14ac:dyDescent="0.25">
      <c r="Y152" s="10">
        <v>150</v>
      </c>
      <c r="Z152" s="10">
        <f t="shared" si="44"/>
        <v>31622.776601683781</v>
      </c>
      <c r="AA152" s="10" t="str">
        <f t="shared" si="45"/>
        <v>198691.765315922i</v>
      </c>
      <c r="AC152" s="10">
        <f>1/(2*$T$3+$T$6*$T$2/('4. Boost Inductor'!$B$11*$T$3^2)*($T$5))</f>
        <v>0.20979859335038364</v>
      </c>
      <c r="AD152" s="10" t="str">
        <f t="shared" si="40"/>
        <v>0.0016269013408427-0.000326968281152583i</v>
      </c>
      <c r="AE152" s="10" t="str">
        <f t="shared" si="41"/>
        <v>0.998752939939004-0.104381265448209i</v>
      </c>
      <c r="AF152" s="10" t="str">
        <f t="shared" si="46"/>
        <v>0.0762824393003144-0.0238033193470825i</v>
      </c>
      <c r="AG152" s="10">
        <f t="shared" si="36"/>
        <v>7.9910002862879081E-2</v>
      </c>
      <c r="AH152" s="10">
        <f t="shared" si="37"/>
        <v>-0.30246749469328077</v>
      </c>
      <c r="AI152" s="10">
        <f t="shared" si="38"/>
        <v>-17.330110885820613</v>
      </c>
      <c r="AJ152" s="10">
        <f t="shared" si="39"/>
        <v>-21.947977075486147</v>
      </c>
      <c r="AL152" s="10" t="str">
        <f t="shared" si="42"/>
        <v>0.0172182371007796-0.00023888329088155i</v>
      </c>
      <c r="AM152" s="10" t="str">
        <f t="shared" si="43"/>
        <v>0.019179166835875-0.0963374360757551i</v>
      </c>
      <c r="AN152" s="10" t="str">
        <f t="shared" si="47"/>
        <v>-0.0663590962534976+0.359281958081113i</v>
      </c>
      <c r="AO152" s="10">
        <f t="shared" si="48"/>
        <v>0.3653588031759733</v>
      </c>
      <c r="AP152" s="10">
        <f t="shared" si="49"/>
        <v>1.7534372477922016</v>
      </c>
      <c r="AQ152" s="10">
        <f t="shared" si="50"/>
        <v>100.46455393952787</v>
      </c>
      <c r="AR152" s="10">
        <f t="shared" si="51"/>
        <v>-8.7456084807757648</v>
      </c>
      <c r="AS152" s="10">
        <f t="shared" si="52"/>
        <v>-30.693585556261912</v>
      </c>
      <c r="AT152" s="10">
        <f t="shared" si="53"/>
        <v>83.134443053707258</v>
      </c>
    </row>
    <row r="153" spans="25:46" x14ac:dyDescent="0.25">
      <c r="Y153" s="10">
        <v>151</v>
      </c>
      <c r="Z153" s="10">
        <f t="shared" si="44"/>
        <v>33884.415613920231</v>
      </c>
      <c r="AA153" s="10" t="str">
        <f t="shared" si="45"/>
        <v>212902.06232775i</v>
      </c>
      <c r="AC153" s="10">
        <f>1/(2*$T$3+$T$6*$T$2/('4. Boost Inductor'!$B$11*$T$3^2)*($T$5))</f>
        <v>0.20979859335038364</v>
      </c>
      <c r="AD153" s="10" t="str">
        <f t="shared" si="40"/>
        <v>0.00162688752330655-0.000305144558833065i</v>
      </c>
      <c r="AE153" s="10" t="str">
        <f t="shared" si="41"/>
        <v>0.998567686891775-0.111858854770641i</v>
      </c>
      <c r="AF153" s="10" t="str">
        <f t="shared" si="46"/>
        <v>0.0762671446654772-0.0233386798983021i</v>
      </c>
      <c r="AG153" s="10">
        <f t="shared" si="36"/>
        <v>7.9758205438815108E-2</v>
      </c>
      <c r="AH153" s="10">
        <f t="shared" si="37"/>
        <v>-0.2969634445885313</v>
      </c>
      <c r="AI153" s="10">
        <f t="shared" si="38"/>
        <v>-17.01475204458993</v>
      </c>
      <c r="AJ153" s="10">
        <f t="shared" si="39"/>
        <v>-21.964492524416443</v>
      </c>
      <c r="AL153" s="10" t="str">
        <f t="shared" si="42"/>
        <v>0.0172182296082804-0.00022293886030338i</v>
      </c>
      <c r="AM153" s="10" t="str">
        <f t="shared" si="43"/>
        <v>0.0179683489574777-0.0900183166414012i</v>
      </c>
      <c r="AN153" s="10" t="str">
        <f t="shared" si="47"/>
        <v>-0.0624919486564283+0.33565576783406i</v>
      </c>
      <c r="AO153" s="10">
        <f t="shared" si="48"/>
        <v>0.34142354653296841</v>
      </c>
      <c r="AP153" s="10">
        <f t="shared" si="49"/>
        <v>1.7548675294297011</v>
      </c>
      <c r="AQ153" s="10">
        <f t="shared" si="50"/>
        <v>100.54650304087166</v>
      </c>
      <c r="AR153" s="10">
        <f t="shared" si="51"/>
        <v>-9.334130614823966</v>
      </c>
      <c r="AS153" s="10">
        <f t="shared" si="52"/>
        <v>-31.298623139240409</v>
      </c>
      <c r="AT153" s="10">
        <f t="shared" si="53"/>
        <v>83.53175099628173</v>
      </c>
    </row>
    <row r="154" spans="25:46" x14ac:dyDescent="0.25">
      <c r="Y154" s="10">
        <v>152</v>
      </c>
      <c r="Z154" s="10">
        <f t="shared" si="44"/>
        <v>36307.805477010166</v>
      </c>
      <c r="AA154" s="10" t="str">
        <f t="shared" si="45"/>
        <v>228128.669909085i</v>
      </c>
      <c r="AC154" s="10">
        <f>1/(2*$T$3+$T$6*$T$2/('4. Boost Inductor'!$B$11*$T$3^2)*($T$5))</f>
        <v>0.20979859335038364</v>
      </c>
      <c r="AD154" s="10" t="str">
        <f t="shared" si="40"/>
        <v>0.00162687548873535-0.000284777475328517i</v>
      </c>
      <c r="AE154" s="10" t="str">
        <f t="shared" si="41"/>
        <v>0.998354829662637-0.119874072468256i</v>
      </c>
      <c r="AF154" s="10" t="str">
        <f t="shared" si="46"/>
        <v>0.0762497553895704-0.0229857332851749i</v>
      </c>
      <c r="AG154" s="10">
        <f t="shared" si="36"/>
        <v>7.9638992532719291E-2</v>
      </c>
      <c r="AH154" s="10">
        <f t="shared" si="37"/>
        <v>-0.29278947797272509</v>
      </c>
      <c r="AI154" s="10">
        <f t="shared" si="38"/>
        <v>-16.77560137367573</v>
      </c>
      <c r="AJ154" s="10">
        <f t="shared" si="39"/>
        <v>-21.977484852412452</v>
      </c>
      <c r="AL154" s="10" t="str">
        <f t="shared" si="42"/>
        <v>0.0172182230825863-0.000208058651574422i</v>
      </c>
      <c r="AM154" s="10" t="str">
        <f t="shared" si="43"/>
        <v>0.0169113322962614-0.084100405889039i</v>
      </c>
      <c r="AN154" s="10" t="str">
        <f t="shared" si="47"/>
        <v>-0.0591160194118023+0.313540869368322i</v>
      </c>
      <c r="AO154" s="10">
        <f t="shared" si="48"/>
        <v>0.31906516656529549</v>
      </c>
      <c r="AP154" s="10">
        <f t="shared" si="49"/>
        <v>1.757151919980688</v>
      </c>
      <c r="AQ154" s="10">
        <f t="shared" si="50"/>
        <v>100.67738897820277</v>
      </c>
      <c r="AR154" s="10">
        <f t="shared" si="51"/>
        <v>-9.9224121326283097</v>
      </c>
      <c r="AS154" s="10">
        <f t="shared" si="52"/>
        <v>-31.899896985040762</v>
      </c>
      <c r="AT154" s="10">
        <f t="shared" si="53"/>
        <v>83.901787604527044</v>
      </c>
    </row>
    <row r="155" spans="25:46" x14ac:dyDescent="0.25">
      <c r="Y155" s="10">
        <v>153</v>
      </c>
      <c r="Z155" s="10">
        <f t="shared" si="44"/>
        <v>38904.514499428085</v>
      </c>
      <c r="AA155" s="10" t="str">
        <f t="shared" si="45"/>
        <v>244444.273885762i</v>
      </c>
      <c r="AC155" s="10">
        <f>1/(2*$T$3+$T$6*$T$2/('4. Boost Inductor'!$B$11*$T$3^2)*($T$5))</f>
        <v>0.20979859335038364</v>
      </c>
      <c r="AD155" s="10" t="str">
        <f t="shared" si="40"/>
        <v>0.00162686500706177-0.000265769806410699i</v>
      </c>
      <c r="AE155" s="10" t="str">
        <f t="shared" si="41"/>
        <v>0.99811022810208-0.128466022853166i</v>
      </c>
      <c r="AF155" s="10" t="str">
        <f t="shared" si="46"/>
        <v>0.0762299335005919-0.0227428599396791i</v>
      </c>
      <c r="AG155" s="10">
        <f t="shared" si="36"/>
        <v>7.955023846438504E-2</v>
      </c>
      <c r="AH155" s="10">
        <f t="shared" si="37"/>
        <v>-0.28993824210529984</v>
      </c>
      <c r="AI155" s="10">
        <f t="shared" si="38"/>
        <v>-16.612237592075942</v>
      </c>
      <c r="AJ155" s="10">
        <f t="shared" si="39"/>
        <v>-21.987170282984994</v>
      </c>
      <c r="AL155" s="10" t="str">
        <f t="shared" si="42"/>
        <v>0.0172182173989442-0.000194171632522789i</v>
      </c>
      <c r="AM155" s="10" t="str">
        <f t="shared" si="43"/>
        <v>0.0159888535572187-0.0785607136320507i</v>
      </c>
      <c r="AN155" s="10" t="str">
        <f t="shared" si="47"/>
        <v>-0.0561697836098364+0.292848486076128i</v>
      </c>
      <c r="AO155" s="10">
        <f t="shared" si="48"/>
        <v>0.29818665360450991</v>
      </c>
      <c r="AP155" s="10">
        <f t="shared" si="49"/>
        <v>1.7602997381994827</v>
      </c>
      <c r="AQ155" s="10">
        <f t="shared" si="50"/>
        <v>100.8577456768141</v>
      </c>
      <c r="AR155" s="10">
        <f t="shared" si="51"/>
        <v>-10.510235976589314</v>
      </c>
      <c r="AS155" s="10">
        <f t="shared" si="52"/>
        <v>-32.497406259574305</v>
      </c>
      <c r="AT155" s="10">
        <f t="shared" si="53"/>
        <v>84.245508084738162</v>
      </c>
    </row>
    <row r="156" spans="25:46" x14ac:dyDescent="0.25">
      <c r="Y156" s="10">
        <v>154</v>
      </c>
      <c r="Z156" s="10">
        <f t="shared" si="44"/>
        <v>41686.93834703348</v>
      </c>
      <c r="AA156" s="10" t="str">
        <f t="shared" si="45"/>
        <v>261926.758523382i</v>
      </c>
      <c r="AC156" s="10">
        <f>1/(2*$T$3+$T$6*$T$2/('4. Boost Inductor'!$B$11*$T$3^2)*($T$5))</f>
        <v>0.20979859335038364</v>
      </c>
      <c r="AD156" s="10" t="str">
        <f t="shared" si="40"/>
        <v>0.00162685587790555-0.000248030817122771i</v>
      </c>
      <c r="AE156" s="10" t="str">
        <f t="shared" si="41"/>
        <v>0.997829112552542-0.137676757585096i</v>
      </c>
      <c r="AF156" s="10" t="str">
        <f t="shared" si="46"/>
        <v>0.0762072927534561-0.0226089807767066i</v>
      </c>
      <c r="AG156" s="10">
        <f t="shared" si="36"/>
        <v>7.9490360928683987E-2</v>
      </c>
      <c r="AH156" s="10">
        <f t="shared" si="37"/>
        <v>-0.28840574852843748</v>
      </c>
      <c r="AI156" s="10">
        <f t="shared" si="38"/>
        <v>-16.524432177990821</v>
      </c>
      <c r="AJ156" s="10">
        <f t="shared" si="39"/>
        <v>-21.99371062165898</v>
      </c>
      <c r="AL156" s="10" t="str">
        <f t="shared" si="42"/>
        <v>0.0172182124486989-0.000181211512057424i</v>
      </c>
      <c r="AM156" s="10" t="str">
        <f t="shared" si="43"/>
        <v>0.0151839964693694-0.0733770925073483i</v>
      </c>
      <c r="AN156" s="10" t="str">
        <f t="shared" si="47"/>
        <v>-0.0535992126795926+0.273493558645627i</v>
      </c>
      <c r="AO156" s="10">
        <f t="shared" si="48"/>
        <v>0.27869625440705376</v>
      </c>
      <c r="AP156" s="10">
        <f t="shared" si="49"/>
        <v>1.7643233373081109</v>
      </c>
      <c r="AQ156" s="10">
        <f t="shared" si="50"/>
        <v>101.08828092419108</v>
      </c>
      <c r="AR156" s="10">
        <f t="shared" si="51"/>
        <v>-11.097377360666032</v>
      </c>
      <c r="AS156" s="10">
        <f t="shared" si="52"/>
        <v>-33.091087982325014</v>
      </c>
      <c r="AT156" s="10">
        <f t="shared" si="53"/>
        <v>84.563848746200264</v>
      </c>
    </row>
    <row r="157" spans="25:46" x14ac:dyDescent="0.25">
      <c r="Y157" s="10">
        <v>155</v>
      </c>
      <c r="Z157" s="10">
        <f t="shared" si="44"/>
        <v>44668.359215096309</v>
      </c>
      <c r="AA157" s="10" t="str">
        <f t="shared" si="45"/>
        <v>280659.578316113i</v>
      </c>
      <c r="AC157" s="10">
        <f>1/(2*$T$3+$T$6*$T$2/('4. Boost Inductor'!$B$11*$T$3^2)*($T$5))</f>
        <v>0.20979859335038364</v>
      </c>
      <c r="AD157" s="10" t="str">
        <f t="shared" si="40"/>
        <v>0.00162684792674273-0.000231475828653518i</v>
      </c>
      <c r="AE157" s="10" t="str">
        <f t="shared" si="41"/>
        <v>0.997505985419629-0.147551521212072i</v>
      </c>
      <c r="AF157" s="10" t="str">
        <f t="shared" si="46"/>
        <v>0.0761813906802303-0.0225835555115144i</v>
      </c>
      <c r="AG157" s="10">
        <f t="shared" si="36"/>
        <v>7.9458298909022285E-2</v>
      </c>
      <c r="AH157" s="10">
        <f t="shared" si="37"/>
        <v>-0.28819169928550398</v>
      </c>
      <c r="AI157" s="10">
        <f t="shared" si="38"/>
        <v>-16.512168059762761</v>
      </c>
      <c r="AJ157" s="10">
        <f t="shared" si="39"/>
        <v>-21.997214736363894</v>
      </c>
      <c r="AL157" s="10" t="str">
        <f t="shared" si="42"/>
        <v>0.0172182081372153-0.000169116423723434i</v>
      </c>
      <c r="AM157" s="10" t="str">
        <f t="shared" si="43"/>
        <v>0.0144819217252419-0.0685283061481959i</v>
      </c>
      <c r="AN157" s="10" t="str">
        <f t="shared" si="47"/>
        <v>-0.051356911773413+0.255394894182033i</v>
      </c>
      <c r="AO157" s="10">
        <f t="shared" si="48"/>
        <v>0.26050735951437909</v>
      </c>
      <c r="AP157" s="10">
        <f t="shared" si="49"/>
        <v>1.7692380594568951</v>
      </c>
      <c r="AQ157" s="10">
        <f t="shared" si="50"/>
        <v>101.3698737607959</v>
      </c>
      <c r="AR157" s="10">
        <f t="shared" si="51"/>
        <v>-11.683600061389976</v>
      </c>
      <c r="AS157" s="10">
        <f t="shared" si="52"/>
        <v>-33.680814797753868</v>
      </c>
      <c r="AT157" s="10">
        <f t="shared" si="53"/>
        <v>84.85770570103314</v>
      </c>
    </row>
    <row r="158" spans="25:46" x14ac:dyDescent="0.25">
      <c r="Y158" s="10">
        <v>156</v>
      </c>
      <c r="Z158" s="10">
        <f t="shared" si="44"/>
        <v>47863.009232263823</v>
      </c>
      <c r="AA158" s="10" t="str">
        <f t="shared" si="45"/>
        <v>300732.156365561i</v>
      </c>
      <c r="AC158" s="10">
        <f>1/(2*$T$3+$T$6*$T$2/('4. Boost Inductor'!$B$11*$T$3^2)*($T$5))</f>
        <v>0.20979859335038364</v>
      </c>
      <c r="AD158" s="10" t="str">
        <f t="shared" si="40"/>
        <v>0.00162684100156932-0.000216025814119898i</v>
      </c>
      <c r="AE158" s="10" t="str">
        <f t="shared" si="41"/>
        <v>0.997134506500762-0.158139022298494i</v>
      </c>
      <c r="AF158" s="10" t="str">
        <f t="shared" si="46"/>
        <v>0.0761517193838973-0.022666584349927i</v>
      </c>
      <c r="AG158" s="10">
        <f t="shared" si="36"/>
        <v>7.9453498420247015E-2</v>
      </c>
      <c r="AH158" s="10">
        <f t="shared" si="37"/>
        <v>-0.2892997416485325</v>
      </c>
      <c r="AI158" s="10">
        <f t="shared" si="38"/>
        <v>-16.575654210685997</v>
      </c>
      <c r="AJ158" s="10">
        <f t="shared" si="39"/>
        <v>-21.997739511949149</v>
      </c>
      <c r="AL158" s="10" t="str">
        <f t="shared" si="42"/>
        <v>0.0172182043820701-0.000157828630378354i</v>
      </c>
      <c r="AM158" s="10" t="str">
        <f t="shared" si="43"/>
        <v>0.013869624079473-0.0639940709610108i</v>
      </c>
      <c r="AN158" s="10" t="str">
        <f t="shared" si="47"/>
        <v>-0.0494013439146388+0.238475235633057i</v>
      </c>
      <c r="AO158" s="10">
        <f t="shared" si="48"/>
        <v>0.24353835589248457</v>
      </c>
      <c r="AP158" s="10">
        <f t="shared" si="49"/>
        <v>1.77506215894196</v>
      </c>
      <c r="AQ158" s="10">
        <f t="shared" si="50"/>
        <v>101.70357008075443</v>
      </c>
      <c r="AR158" s="10">
        <f t="shared" si="51"/>
        <v>-12.268652603513797</v>
      </c>
      <c r="AS158" s="10">
        <f t="shared" si="52"/>
        <v>-34.266392115462949</v>
      </c>
      <c r="AT158" s="10">
        <f t="shared" si="53"/>
        <v>85.127915870068435</v>
      </c>
    </row>
    <row r="159" spans="25:46" x14ac:dyDescent="0.25">
      <c r="Y159" s="10">
        <v>157</v>
      </c>
      <c r="Z159" s="10">
        <f t="shared" si="44"/>
        <v>51286.138399136456</v>
      </c>
      <c r="AA159" s="10" t="str">
        <f t="shared" si="45"/>
        <v>322240.311251433i</v>
      </c>
      <c r="AC159" s="10">
        <f>1/(2*$T$3+$T$6*$T$2/('4. Boost Inductor'!$B$11*$T$3^2)*($T$5))</f>
        <v>0.20979859335038364</v>
      </c>
      <c r="AD159" s="10" t="str">
        <f t="shared" si="40"/>
        <v>0.00162683496999535-0.000201607021328555i</v>
      </c>
      <c r="AE159" s="10" t="str">
        <f t="shared" si="41"/>
        <v>0.996707359128266-0.169491733828733i</v>
      </c>
      <c r="AF159" s="10" t="str">
        <f t="shared" si="46"/>
        <v>0.0761176948410112-0.0228586132446209i</v>
      </c>
      <c r="AG159" s="10">
        <f t="shared" si="36"/>
        <v>7.9475906206701794E-2</v>
      </c>
      <c r="AH159" s="10">
        <f t="shared" si="37"/>
        <v>-0.29173765875500762</v>
      </c>
      <c r="AI159" s="10">
        <f t="shared" si="38"/>
        <v>-16.715336571689768</v>
      </c>
      <c r="AJ159" s="10">
        <f t="shared" si="39"/>
        <v>-21.995290228735307</v>
      </c>
      <c r="AL159" s="10" t="str">
        <f t="shared" si="42"/>
        <v>0.0172182011114755-0.000147294248579677i</v>
      </c>
      <c r="AM159" s="10" t="str">
        <f t="shared" si="43"/>
        <v>0.0133357148820496-0.0597550769453251i</v>
      </c>
      <c r="AN159" s="10" t="str">
        <f t="shared" si="47"/>
        <v>-0.04769613539574+0.222661268577891i</v>
      </c>
      <c r="AO159" s="10">
        <f t="shared" si="48"/>
        <v>0.22771245432870918</v>
      </c>
      <c r="AP159" s="10">
        <f t="shared" si="49"/>
        <v>1.7818166891793463</v>
      </c>
      <c r="AQ159" s="10">
        <f t="shared" si="50"/>
        <v>102.09057615595016</v>
      </c>
      <c r="AR159" s="10">
        <f t="shared" si="51"/>
        <v>-12.852264315381124</v>
      </c>
      <c r="AS159" s="10">
        <f t="shared" si="52"/>
        <v>-34.847554544116434</v>
      </c>
      <c r="AT159" s="10">
        <f t="shared" si="53"/>
        <v>85.375239584260385</v>
      </c>
    </row>
    <row r="160" spans="25:46" x14ac:dyDescent="0.25">
      <c r="Y160" s="10">
        <v>158</v>
      </c>
      <c r="Z160" s="10">
        <f t="shared" si="44"/>
        <v>54954.08738576241</v>
      </c>
      <c r="AA160" s="10" t="str">
        <f t="shared" si="45"/>
        <v>345286.714431685i</v>
      </c>
      <c r="AC160" s="10">
        <f>1/(2*$T$3+$T$6*$T$2/('4. Boost Inductor'!$B$11*$T$3^2)*($T$5))</f>
        <v>0.20979859335038364</v>
      </c>
      <c r="AD160" s="10" t="str">
        <f t="shared" si="40"/>
        <v>0.00162682971671396-0.000188150620715764i</v>
      </c>
      <c r="AE160" s="10" t="str">
        <f t="shared" si="41"/>
        <v>0.996216093572702-0.181666227269943i</v>
      </c>
      <c r="AF160" s="10" t="str">
        <f t="shared" si="46"/>
        <v>0.0760786444310503-0.02316074297085i</v>
      </c>
      <c r="AG160" s="10">
        <f t="shared" si="36"/>
        <v>7.9525971565444956E-2</v>
      </c>
      <c r="AH160" s="10">
        <f t="shared" si="37"/>
        <v>-0.29551750156318723</v>
      </c>
      <c r="AI160" s="10">
        <f t="shared" si="38"/>
        <v>-16.931905611821335</v>
      </c>
      <c r="AJ160" s="10">
        <f t="shared" si="39"/>
        <v>-21.989820328615913</v>
      </c>
      <c r="AL160" s="10" t="str">
        <f t="shared" si="42"/>
        <v>0.0172181982629065-0.000137462991368078i</v>
      </c>
      <c r="AM160" s="10" t="str">
        <f t="shared" si="43"/>
        <v>0.0128702281398267-0.0557929920611566i</v>
      </c>
      <c r="AN160" s="10" t="str">
        <f t="shared" si="47"/>
        <v>-0.0462094563342828+0.207883579474682i</v>
      </c>
      <c r="AO160" s="10">
        <f t="shared" si="48"/>
        <v>0.212957499210327</v>
      </c>
      <c r="AP160" s="10">
        <f t="shared" si="49"/>
        <v>1.7895253469244699</v>
      </c>
      <c r="AQ160" s="10">
        <f t="shared" si="50"/>
        <v>102.53224971045658</v>
      </c>
      <c r="AR160" s="10">
        <f t="shared" si="51"/>
        <v>-13.434141236404937</v>
      </c>
      <c r="AS160" s="10">
        <f t="shared" si="52"/>
        <v>-35.423961565020846</v>
      </c>
      <c r="AT160" s="10">
        <f t="shared" si="53"/>
        <v>85.600344098635247</v>
      </c>
    </row>
    <row r="161" spans="25:46" x14ac:dyDescent="0.25">
      <c r="Y161" s="10">
        <v>159</v>
      </c>
      <c r="Z161" s="10">
        <f t="shared" si="44"/>
        <v>58884.365535558936</v>
      </c>
      <c r="AA161" s="10" t="str">
        <f t="shared" si="45"/>
        <v>369981.380355616i</v>
      </c>
      <c r="AC161" s="10">
        <f>1/(2*$T$3+$T$6*$T$2/('4. Boost Inductor'!$B$11*$T$3^2)*($T$5))</f>
        <v>0.20979859335038364</v>
      </c>
      <c r="AD161" s="10" t="str">
        <f t="shared" si="40"/>
        <v>0.00162682514129711-0.000175592376785327i</v>
      </c>
      <c r="AE161" s="10" t="str">
        <f t="shared" si="41"/>
        <v>0.995650943392651-0.194723545523874i</v>
      </c>
      <c r="AF161" s="10" t="str">
        <f t="shared" si="46"/>
        <v>0.0760337923509949-0.0235746423462094i</v>
      </c>
      <c r="AG161" s="10">
        <f t="shared" si="36"/>
        <v>7.9604656528534185E-2</v>
      </c>
      <c r="AH161" s="10">
        <f t="shared" si="37"/>
        <v>-0.30065566549274797</v>
      </c>
      <c r="AI161" s="10">
        <f t="shared" si="38"/>
        <v>-17.226300719431521</v>
      </c>
      <c r="AJ161" s="10">
        <f t="shared" si="39"/>
        <v>-21.981230543362692</v>
      </c>
      <c r="AL161" s="10" t="str">
        <f t="shared" si="42"/>
        <v>0.0172181957819066-0.000128287928218537i</v>
      </c>
      <c r="AM161" s="10" t="str">
        <f t="shared" si="43"/>
        <v>0.0124644481307787-0.0520904538499689i</v>
      </c>
      <c r="AN161" s="10" t="str">
        <f t="shared" si="47"/>
        <v>-0.044913470074155+0.194076576932592i</v>
      </c>
      <c r="AO161" s="10">
        <f t="shared" si="48"/>
        <v>0.19920576675381246</v>
      </c>
      <c r="AP161" s="10">
        <f t="shared" si="49"/>
        <v>1.7982142656883289</v>
      </c>
      <c r="AQ161" s="10">
        <f t="shared" si="50"/>
        <v>103.03008808415771</v>
      </c>
      <c r="AR161" s="10">
        <f t="shared" si="51"/>
        <v>-14.013961869139141</v>
      </c>
      <c r="AS161" s="10">
        <f t="shared" si="52"/>
        <v>-35.995192412501837</v>
      </c>
      <c r="AT161" s="10">
        <f t="shared" si="53"/>
        <v>85.80378736472619</v>
      </c>
    </row>
    <row r="162" spans="25:46" x14ac:dyDescent="0.25">
      <c r="Y162" s="10">
        <v>160</v>
      </c>
      <c r="Z162" s="10">
        <f t="shared" si="44"/>
        <v>63095.734448019342</v>
      </c>
      <c r="AA162" s="10" t="str">
        <f t="shared" si="45"/>
        <v>396442.1916295i</v>
      </c>
      <c r="AC162" s="10">
        <f>1/(2*$T$3+$T$6*$T$2/('4. Boost Inductor'!$B$11*$T$3^2)*($T$5))</f>
        <v>0.20979859335038364</v>
      </c>
      <c r="AD162" s="10" t="str">
        <f t="shared" si="40"/>
        <v>0.00162682115627558-0.000163872341476171i</v>
      </c>
      <c r="AE162" s="10" t="str">
        <f t="shared" si="41"/>
        <v>0.995000609467442-0.208729621028646i</v>
      </c>
      <c r="AF162" s="10" t="str">
        <f t="shared" si="46"/>
        <v>0.0759822424994565-0.0241025660042087i</v>
      </c>
      <c r="AG162" s="10">
        <f t="shared" si="36"/>
        <v>7.9713454718971066E-2</v>
      </c>
      <c r="AH162" s="10">
        <f t="shared" si="37"/>
        <v>-0.30717291308486555</v>
      </c>
      <c r="AI162" s="10">
        <f t="shared" si="38"/>
        <v>-17.599711500501659</v>
      </c>
      <c r="AJ162" s="10">
        <f t="shared" si="39"/>
        <v>-21.969367369559556</v>
      </c>
      <c r="AL162" s="10" t="str">
        <f t="shared" si="42"/>
        <v>0.0172181936210461-0.000119725261013527i</v>
      </c>
      <c r="AM162" s="10" t="str">
        <f t="shared" si="43"/>
        <v>0.0121107566056644-0.0486310513401288i</v>
      </c>
      <c r="AN162" s="10" t="str">
        <f t="shared" si="47"/>
        <v>-0.0437838451528248+0.181178385436452i</v>
      </c>
      <c r="AO162" s="10">
        <f t="shared" si="48"/>
        <v>0.18639375645585907</v>
      </c>
      <c r="AP162" s="10">
        <f t="shared" si="49"/>
        <v>1.8079117487706542</v>
      </c>
      <c r="AQ162" s="10">
        <f t="shared" si="50"/>
        <v>103.58571293667448</v>
      </c>
      <c r="AR162" s="10">
        <f t="shared" si="51"/>
        <v>-14.591372781934842</v>
      </c>
      <c r="AS162" s="10">
        <f t="shared" si="52"/>
        <v>-36.5607401514944</v>
      </c>
      <c r="AT162" s="10">
        <f t="shared" si="53"/>
        <v>85.986001436172828</v>
      </c>
    </row>
    <row r="163" spans="25:46" x14ac:dyDescent="0.25">
      <c r="Y163" s="10">
        <v>161</v>
      </c>
      <c r="Z163" s="10">
        <f t="shared" si="44"/>
        <v>67608.297539198174</v>
      </c>
      <c r="AA163" s="10" t="str">
        <f t="shared" si="45"/>
        <v>424795.461741716i</v>
      </c>
      <c r="AC163" s="10">
        <f>1/(2*$T$3+$T$6*$T$2/('4. Boost Inductor'!$B$11*$T$3^2)*($T$5))</f>
        <v>0.20979859335038364</v>
      </c>
      <c r="AD163" s="10" t="str">
        <f t="shared" si="40"/>
        <v>0.0016268176854669-0.000152934567995981i</v>
      </c>
      <c r="AE163" s="10" t="str">
        <f t="shared" si="41"/>
        <v>0.994252005254764-0.223755746530329i</v>
      </c>
      <c r="AF163" s="10" t="str">
        <f t="shared" si="46"/>
        <v>0.0759229583213145-0.0247473772338473i</v>
      </c>
      <c r="AG163" s="10">
        <f t="shared" si="36"/>
        <v>7.9854419290446288E-2</v>
      </c>
      <c r="AH163" s="10">
        <f t="shared" si="37"/>
        <v>-0.31509434204606562</v>
      </c>
      <c r="AI163" s="10">
        <f t="shared" si="38"/>
        <v>-18.053575947691119</v>
      </c>
      <c r="AJ163" s="10">
        <f t="shared" si="39"/>
        <v>-21.954020884099016</v>
      </c>
      <c r="AL163" s="10" t="str">
        <f t="shared" si="42"/>
        <v>0.0172181917390152-0.000111734114968888i</v>
      </c>
      <c r="AM163" s="10" t="str">
        <f t="shared" si="43"/>
        <v>0.0118024976759863-0.0453992997006049i</v>
      </c>
      <c r="AN163" s="10" t="str">
        <f t="shared" si="47"/>
        <v>-0.0427993237610263+0.169130719157964i</v>
      </c>
      <c r="AO163" s="10">
        <f t="shared" si="48"/>
        <v>0.1744619794605439</v>
      </c>
      <c r="AP163" s="10">
        <f t="shared" si="49"/>
        <v>1.8186479308643801</v>
      </c>
      <c r="AQ163" s="10">
        <f t="shared" si="50"/>
        <v>104.20085085872891</v>
      </c>
      <c r="AR163" s="10">
        <f t="shared" si="51"/>
        <v>-15.165984085797813</v>
      </c>
      <c r="AS163" s="10">
        <f t="shared" si="52"/>
        <v>-37.120004969896826</v>
      </c>
      <c r="AT163" s="10">
        <f t="shared" si="53"/>
        <v>86.147274911037798</v>
      </c>
    </row>
    <row r="164" spans="25:46" x14ac:dyDescent="0.25">
      <c r="Y164" s="10">
        <v>162</v>
      </c>
      <c r="Z164" s="10">
        <f t="shared" si="44"/>
        <v>72443.596007498985</v>
      </c>
      <c r="AA164" s="10" t="str">
        <f t="shared" si="45"/>
        <v>455176.538033571i</v>
      </c>
      <c r="AC164" s="10">
        <f>1/(2*$T$3+$T$6*$T$2/('4. Boost Inductor'!$B$11*$T$3^2)*($T$5))</f>
        <v>0.20979859335038364</v>
      </c>
      <c r="AD164" s="10" t="str">
        <f t="shared" si="40"/>
        <v>0.0016268146625189-0.000142726843754939i</v>
      </c>
      <c r="AE164" s="10" t="str">
        <f t="shared" si="41"/>
        <v>0.993389955303935-0.239879107583156i</v>
      </c>
      <c r="AF164" s="10" t="str">
        <f t="shared" si="46"/>
        <v>0.0758547389855822-0.0255125765210974i</v>
      </c>
      <c r="AG164" s="10">
        <f t="shared" si="36"/>
        <v>8.0030200470295298E-2</v>
      </c>
      <c r="AH164" s="10">
        <f t="shared" si="37"/>
        <v>-0.32444929619039875</v>
      </c>
      <c r="AI164" s="10">
        <f t="shared" si="38"/>
        <v>-18.589575337699827</v>
      </c>
      <c r="AJ164" s="10">
        <f t="shared" si="39"/>
        <v>-21.934921904521435</v>
      </c>
      <c r="AL164" s="10" t="str">
        <f t="shared" si="42"/>
        <v>0.0172181900998348-0.000104276343514383i</v>
      </c>
      <c r="AM164" s="10" t="str">
        <f t="shared" si="43"/>
        <v>0.011533858586255-0.0423806096333844i</v>
      </c>
      <c r="AN164" s="10" t="str">
        <f t="shared" si="47"/>
        <v>-0.0419413409382825+0.15787874199193i</v>
      </c>
      <c r="AO164" s="10">
        <f t="shared" si="48"/>
        <v>0.16335474664868374</v>
      </c>
      <c r="AP164" s="10">
        <f t="shared" si="49"/>
        <v>1.8304543558801825</v>
      </c>
      <c r="AQ164" s="10">
        <f t="shared" si="50"/>
        <v>104.87730918327206</v>
      </c>
      <c r="AR164" s="10">
        <f t="shared" si="51"/>
        <v>-15.73736483156021</v>
      </c>
      <c r="AS164" s="10">
        <f t="shared" si="52"/>
        <v>-37.672286736081645</v>
      </c>
      <c r="AT164" s="10">
        <f t="shared" si="53"/>
        <v>86.287733845572234</v>
      </c>
    </row>
    <row r="165" spans="25:46" x14ac:dyDescent="0.25">
      <c r="Y165" s="10">
        <v>163</v>
      </c>
      <c r="Z165" s="10">
        <f t="shared" si="44"/>
        <v>77624.711662869129</v>
      </c>
      <c r="AA165" s="10" t="str">
        <f t="shared" si="45"/>
        <v>487730.447794191i</v>
      </c>
      <c r="AC165" s="10">
        <f>1/(2*$T$3+$T$6*$T$2/('4. Boost Inductor'!$B$11*$T$3^2)*($T$5))</f>
        <v>0.20979859335038364</v>
      </c>
      <c r="AD165" s="10" t="str">
        <f t="shared" si="40"/>
        <v>0.00162681202964124-0.000133200441124748i</v>
      </c>
      <c r="AE165" s="10" t="str">
        <f t="shared" si="41"/>
        <v>0.992396837131934-0.257183387721184i</v>
      </c>
      <c r="AF165" s="10" t="str">
        <f t="shared" si="46"/>
        <v>0.075776191118753-0.0264023365782683i</v>
      </c>
      <c r="AG165" s="10">
        <f t="shared" si="36"/>
        <v>8.0244093348095999E-2</v>
      </c>
      <c r="AH165" s="10">
        <f t="shared" si="37"/>
        <v>-0.33527121513805846</v>
      </c>
      <c r="AI165" s="10">
        <f t="shared" si="38"/>
        <v>-19.209625619633385</v>
      </c>
      <c r="AJ165" s="10">
        <f t="shared" si="39"/>
        <v>-21.91173851073281</v>
      </c>
      <c r="AL165" s="10" t="str">
        <f t="shared" si="42"/>
        <v>0.0172181886721684-0.0000973163461975515i</v>
      </c>
      <c r="AM165" s="10" t="str">
        <f t="shared" si="43"/>
        <v>0.0112997646885047-0.039561253102364i</v>
      </c>
      <c r="AN165" s="10" t="str">
        <f t="shared" si="47"/>
        <v>-0.0411936891310501+0.147370918716638i</v>
      </c>
      <c r="AO165" s="10">
        <f t="shared" si="48"/>
        <v>0.15301995852702197</v>
      </c>
      <c r="AP165" s="10">
        <f t="shared" si="49"/>
        <v>1.8433634576335771</v>
      </c>
      <c r="AQ165" s="10">
        <f t="shared" si="50"/>
        <v>105.6169462310465</v>
      </c>
      <c r="AR165" s="10">
        <f t="shared" si="51"/>
        <v>-16.305038401576322</v>
      </c>
      <c r="AS165" s="10">
        <f t="shared" si="52"/>
        <v>-38.216776912309129</v>
      </c>
      <c r="AT165" s="10">
        <f t="shared" si="53"/>
        <v>86.407320611413112</v>
      </c>
    </row>
    <row r="166" spans="25:46" x14ac:dyDescent="0.25">
      <c r="Y166" s="10">
        <v>164</v>
      </c>
      <c r="Z166" s="10">
        <f t="shared" si="44"/>
        <v>83176.377110267029</v>
      </c>
      <c r="AA166" s="10" t="str">
        <f t="shared" si="45"/>
        <v>522612.590563658i</v>
      </c>
      <c r="AC166" s="10">
        <f>1/(2*$T$3+$T$6*$T$2/('4. Boost Inductor'!$B$11*$T$3^2)*($T$5))</f>
        <v>0.20979859335038364</v>
      </c>
      <c r="AD166" s="10" t="str">
        <f t="shared" si="40"/>
        <v>0.00162680973650065-0.000124309884833252i</v>
      </c>
      <c r="AE166" s="10" t="str">
        <f t="shared" si="41"/>
        <v>0.991252154106106-0.275759459552999i</v>
      </c>
      <c r="AF166" s="10" t="str">
        <f t="shared" si="46"/>
        <v>0.0756856951231622-0.0274215448297931i</v>
      </c>
      <c r="AG166" s="10">
        <f t="shared" si="36"/>
        <v>8.0500096690181766E-2</v>
      </c>
      <c r="AH166" s="10">
        <f t="shared" si="37"/>
        <v>-0.34759741726694737</v>
      </c>
      <c r="AI166" s="10">
        <f t="shared" si="38"/>
        <v>-19.915864979043889</v>
      </c>
      <c r="AJ166" s="10">
        <f t="shared" si="39"/>
        <v>-21.884071959850782</v>
      </c>
      <c r="AL166" s="10" t="str">
        <f t="shared" si="42"/>
        <v>0.0172181874287229-0.0000908208987416228i</v>
      </c>
      <c r="AM166" s="10" t="str">
        <f t="shared" si="43"/>
        <v>0.0110957870675385-0.0369283266723028i</v>
      </c>
      <c r="AN166" s="10" t="str">
        <f t="shared" si="47"/>
        <v>-0.0405422231574257+0.137558861156132i</v>
      </c>
      <c r="AO166" s="10">
        <f t="shared" si="48"/>
        <v>0.14340889840284846</v>
      </c>
      <c r="AP166" s="10">
        <f t="shared" si="49"/>
        <v>1.8574079295234494</v>
      </c>
      <c r="AQ166" s="10">
        <f t="shared" si="50"/>
        <v>106.4216351958263</v>
      </c>
      <c r="AR166" s="10">
        <f t="shared" si="51"/>
        <v>-16.868478004416392</v>
      </c>
      <c r="AS166" s="10">
        <f t="shared" si="52"/>
        <v>-38.752549964267175</v>
      </c>
      <c r="AT166" s="10">
        <f t="shared" si="53"/>
        <v>86.505770216782409</v>
      </c>
    </row>
    <row r="167" spans="25:46" x14ac:dyDescent="0.25">
      <c r="Y167" s="10">
        <v>165</v>
      </c>
      <c r="Z167" s="10">
        <f t="shared" si="44"/>
        <v>89125.093813374449</v>
      </c>
      <c r="AA167" s="10" t="str">
        <f t="shared" si="45"/>
        <v>559989.479949197i</v>
      </c>
      <c r="AC167" s="10">
        <f>1/(2*$T$3+$T$6*$T$2/('4. Boost Inductor'!$B$11*$T$3^2)*($T$5))</f>
        <v>0.20979859335038364</v>
      </c>
      <c r="AD167" s="10" t="str">
        <f t="shared" si="40"/>
        <v>0.00162680773925867-0.000116012734884294i</v>
      </c>
      <c r="AE167" s="10" t="str">
        <f t="shared" si="41"/>
        <v>0.989932023804017-0.295706177862829i</v>
      </c>
      <c r="AF167" s="10" t="str">
        <f t="shared" si="46"/>
        <v>0.0755813648616524-0.0285758545456314i</v>
      </c>
      <c r="AG167" s="10">
        <f t="shared" si="36"/>
        <v>8.0802983715722448E-2</v>
      </c>
      <c r="AH167" s="10">
        <f t="shared" si="37"/>
        <v>-0.36146880948985904</v>
      </c>
      <c r="AI167" s="10">
        <f t="shared" si="38"/>
        <v>-20.710637209387325</v>
      </c>
      <c r="AJ167" s="10">
        <f t="shared" si="39"/>
        <v>-21.851452045065432</v>
      </c>
      <c r="AL167" s="10" t="str">
        <f t="shared" si="42"/>
        <v>0.0172181863457272-0.0000847589944462695i</v>
      </c>
      <c r="AM167" s="10" t="str">
        <f t="shared" si="43"/>
        <v>0.0109180613991983-0.0344697134650624i</v>
      </c>
      <c r="AN167" s="10" t="str">
        <f t="shared" si="47"/>
        <v>-0.0399746010499209+0.128397172384245i</v>
      </c>
      <c r="AO167" s="10">
        <f t="shared" si="48"/>
        <v>0.13447602985428248</v>
      </c>
      <c r="AP167" s="10">
        <f t="shared" si="49"/>
        <v>1.8726199695637933</v>
      </c>
      <c r="AQ167" s="10">
        <f t="shared" si="50"/>
        <v>107.29322088792203</v>
      </c>
      <c r="AR167" s="10">
        <f t="shared" si="51"/>
        <v>-17.427102421744888</v>
      </c>
      <c r="AS167" s="10">
        <f t="shared" si="52"/>
        <v>-39.27855446681032</v>
      </c>
      <c r="AT167" s="10">
        <f t="shared" si="53"/>
        <v>86.582583678534704</v>
      </c>
    </row>
    <row r="168" spans="25:46" x14ac:dyDescent="0.25">
      <c r="Y168" s="10">
        <v>166</v>
      </c>
      <c r="Z168" s="10">
        <f t="shared" si="44"/>
        <v>95499.258602143629</v>
      </c>
      <c r="AA168" s="10" t="str">
        <f t="shared" si="45"/>
        <v>600039.538495533i</v>
      </c>
      <c r="AC168" s="10">
        <f>1/(2*$T$3+$T$6*$T$2/('4. Boost Inductor'!$B$11*$T$3^2)*($T$5))</f>
        <v>0.20979859335038364</v>
      </c>
      <c r="AD168" s="10" t="str">
        <f t="shared" si="40"/>
        <v>0.00162680599973362-0.000108269383966633i</v>
      </c>
      <c r="AE168" s="10" t="str">
        <f t="shared" si="41"/>
        <v>0.988408562207462-0.317131294276804i</v>
      </c>
      <c r="AF168" s="10" t="str">
        <f t="shared" si="46"/>
        <v>0.0754609991681245-0.0298717460855342i</v>
      </c>
      <c r="AG168" s="10">
        <f t="shared" si="36"/>
        <v>8.1158385947789236E-2</v>
      </c>
      <c r="AH168" s="10">
        <f t="shared" si="37"/>
        <v>-0.37692951714219181</v>
      </c>
      <c r="AI168" s="10">
        <f t="shared" si="38"/>
        <v>-21.596470506151604</v>
      </c>
      <c r="AJ168" s="10">
        <f t="shared" si="39"/>
        <v>-21.813331973271353</v>
      </c>
      <c r="AL168" s="10" t="str">
        <f t="shared" si="42"/>
        <v>0.0172181854024774-0.0000791016961741293i</v>
      </c>
      <c r="AM168" s="10" t="str">
        <f t="shared" si="43"/>
        <v>0.0107632167560411-0.0321740445224923i</v>
      </c>
      <c r="AN168" s="10" t="str">
        <f t="shared" si="47"/>
        <v>-0.0394800566698201+0.119843291326506i</v>
      </c>
      <c r="AO168" s="10">
        <f t="shared" si="48"/>
        <v>0.12617879913290503</v>
      </c>
      <c r="AP168" s="10">
        <f t="shared" si="49"/>
        <v>1.8890303884285096</v>
      </c>
      <c r="AQ168" s="10">
        <f t="shared" si="50"/>
        <v>108.23346862891214</v>
      </c>
      <c r="AR168" s="10">
        <f t="shared" si="51"/>
        <v>-17.980272203434208</v>
      </c>
      <c r="AS168" s="10">
        <f t="shared" si="52"/>
        <v>-39.793604176705557</v>
      </c>
      <c r="AT168" s="10">
        <f t="shared" si="53"/>
        <v>86.636998122760531</v>
      </c>
    </row>
    <row r="169" spans="25:46" x14ac:dyDescent="0.25">
      <c r="Y169" s="10">
        <v>167</v>
      </c>
      <c r="Z169" s="10">
        <f t="shared" si="44"/>
        <v>102329.29922807543</v>
      </c>
      <c r="AA169" s="10" t="str">
        <f t="shared" si="45"/>
        <v>642953.949403827i</v>
      </c>
      <c r="AC169" s="10">
        <f>1/(2*$T$3+$T$6*$T$2/('4. Boost Inductor'!$B$11*$T$3^2)*($T$5))</f>
        <v>0.20979859335038364</v>
      </c>
      <c r="AD169" s="10" t="str">
        <f t="shared" si="40"/>
        <v>0.00162680448467065-0.000101042868384837i</v>
      </c>
      <c r="AE169" s="10" t="str">
        <f t="shared" si="41"/>
        <v>0.986649138723119-0.340152517319279i</v>
      </c>
      <c r="AF169" s="10" t="str">
        <f t="shared" si="46"/>
        <v>0.0753220232240861-0.0313166000501771i</v>
      </c>
      <c r="AG169" s="10">
        <f t="shared" si="36"/>
        <v>8.157289146078199E-2</v>
      </c>
      <c r="AH169" s="10">
        <f t="shared" si="37"/>
        <v>-0.39402642787929304</v>
      </c>
      <c r="AI169" s="10">
        <f t="shared" si="38"/>
        <v>-22.576051334099411</v>
      </c>
      <c r="AJ169" s="10">
        <f t="shared" si="39"/>
        <v>-21.769082865366812</v>
      </c>
      <c r="AL169" s="10" t="str">
        <f t="shared" si="42"/>
        <v>0.0172181845809411-0.0000738219982165532i</v>
      </c>
      <c r="AM169" s="10" t="str">
        <f t="shared" si="43"/>
        <v>0.0106283132017868-0.0300306601878718i</v>
      </c>
      <c r="AN169" s="10" t="str">
        <f t="shared" si="47"/>
        <v>-0.0390492003923108+0.111857339560433i</v>
      </c>
      <c r="AO169" s="10">
        <f t="shared" si="48"/>
        <v>0.11847744285228667</v>
      </c>
      <c r="AP169" s="10">
        <f t="shared" si="49"/>
        <v>1.9066675709102006</v>
      </c>
      <c r="AQ169" s="10">
        <f t="shared" si="50"/>
        <v>109.24400474761511</v>
      </c>
      <c r="AR169" s="10">
        <f t="shared" si="51"/>
        <v>-18.527286558866937</v>
      </c>
      <c r="AS169" s="10">
        <f t="shared" si="52"/>
        <v>-40.296369424233745</v>
      </c>
      <c r="AT169" s="10">
        <f t="shared" si="53"/>
        <v>86.667953413515704</v>
      </c>
    </row>
    <row r="170" spans="25:46" x14ac:dyDescent="0.25">
      <c r="Y170" s="10">
        <v>168</v>
      </c>
      <c r="Z170" s="10">
        <f t="shared" si="44"/>
        <v>109647.81961431848</v>
      </c>
      <c r="AA170" s="10" t="str">
        <f t="shared" si="45"/>
        <v>688937.569164963i</v>
      </c>
      <c r="AC170" s="10">
        <f>1/(2*$T$3+$T$6*$T$2/('4. Boost Inductor'!$B$11*$T$3^2)*($T$5))</f>
        <v>0.20979859335038364</v>
      </c>
      <c r="AD170" s="10" t="str">
        <f t="shared" si="40"/>
        <v>0.00162680316510594-0.0000942986916096491i</v>
      </c>
      <c r="AE170" s="10" t="str">
        <f t="shared" si="41"/>
        <v>0.984615469982426-0.364898746920064i</v>
      </c>
      <c r="AF170" s="10" t="str">
        <f t="shared" si="46"/>
        <v>0.0751614172910064-0.0329187845423936i</v>
      </c>
      <c r="AG170" s="10">
        <f t="shared" si="36"/>
        <v>8.2054159095936913E-2</v>
      </c>
      <c r="AH170" s="10">
        <f t="shared" si="37"/>
        <v>-0.41280864534418482</v>
      </c>
      <c r="AI170" s="10">
        <f t="shared" si="38"/>
        <v>-23.652193124734612</v>
      </c>
      <c r="AJ170" s="10">
        <f t="shared" si="39"/>
        <v>-21.717988017595729</v>
      </c>
      <c r="AL170" s="10" t="str">
        <f t="shared" si="42"/>
        <v>0.0172181838654129-0.0000688946973791857i</v>
      </c>
      <c r="AM170" s="10" t="str">
        <f t="shared" si="43"/>
        <v>0.0105107871356788-0.0280295719739227i</v>
      </c>
      <c r="AN170" s="10" t="str">
        <f t="shared" si="47"/>
        <v>-0.0386738445442009+0.104401971665587i</v>
      </c>
      <c r="AO170" s="10">
        <f t="shared" si="48"/>
        <v>0.11133480111578342</v>
      </c>
      <c r="AP170" s="10">
        <f t="shared" si="49"/>
        <v>1.9255562857964765</v>
      </c>
      <c r="AQ170" s="10">
        <f t="shared" si="50"/>
        <v>110.32624839102465</v>
      </c>
      <c r="AR170" s="10">
        <f t="shared" si="51"/>
        <v>-19.067381246973316</v>
      </c>
      <c r="AS170" s="10">
        <f t="shared" si="52"/>
        <v>-40.785369264569042</v>
      </c>
      <c r="AT170" s="10">
        <f t="shared" si="53"/>
        <v>86.67405526629004</v>
      </c>
    </row>
    <row r="171" spans="25:46" x14ac:dyDescent="0.25">
      <c r="Y171" s="10">
        <v>169</v>
      </c>
      <c r="Z171" s="10">
        <f t="shared" si="44"/>
        <v>117489.75549395289</v>
      </c>
      <c r="AA171" s="10" t="str">
        <f t="shared" si="45"/>
        <v>738209.905463727i</v>
      </c>
      <c r="AC171" s="10">
        <f>1/(2*$T$3+$T$6*$T$2/('4. Boost Inductor'!$B$11*$T$3^2)*($T$5))</f>
        <v>0.20979859335038364</v>
      </c>
      <c r="AD171" s="10" t="str">
        <f t="shared" si="40"/>
        <v>0.00162680201581314-0.0000880046596055426i</v>
      </c>
      <c r="AE171" s="10" t="str">
        <f t="shared" si="41"/>
        <v>0.982262511076943-0.391511518853903i</v>
      </c>
      <c r="AF171" s="10" t="str">
        <f t="shared" si="46"/>
        <v>0.0749756295618252-0.0346877592399076i</v>
      </c>
      <c r="AG171" s="10">
        <f t="shared" si="36"/>
        <v>8.2611050527625129E-2</v>
      </c>
      <c r="AH171" s="10">
        <f t="shared" si="37"/>
        <v>-0.43332685190651227</v>
      </c>
      <c r="AI171" s="10">
        <f t="shared" si="38"/>
        <v>-24.827799763933605</v>
      </c>
      <c r="AJ171" s="10">
        <f t="shared" si="39"/>
        <v>-21.659237101492529</v>
      </c>
      <c r="AL171" s="10" t="str">
        <f t="shared" si="42"/>
        <v>0.0172181832422138-0.0000642962726720035i</v>
      </c>
      <c r="AM171" s="10" t="str">
        <f t="shared" si="43"/>
        <v>0.0104084034592483-0.026161425269228i</v>
      </c>
      <c r="AN171" s="10" t="str">
        <f t="shared" si="47"/>
        <v>-0.0383468506317282+0.0974422301133484i</v>
      </c>
      <c r="AO171" s="10">
        <f t="shared" si="48"/>
        <v>0.10471613611490263</v>
      </c>
      <c r="AP171" s="10">
        <f t="shared" si="49"/>
        <v>1.945716346053014</v>
      </c>
      <c r="AQ171" s="10">
        <f t="shared" si="50"/>
        <v>111.48133475845367</v>
      </c>
      <c r="AR171" s="10">
        <f t="shared" si="51"/>
        <v>-19.59972782092127</v>
      </c>
      <c r="AS171" s="10">
        <f t="shared" si="52"/>
        <v>-41.258964922413796</v>
      </c>
      <c r="AT171" s="10">
        <f t="shared" si="53"/>
        <v>86.653534994520072</v>
      </c>
    </row>
    <row r="172" spans="25:46" x14ac:dyDescent="0.25">
      <c r="Y172" s="10">
        <v>170</v>
      </c>
      <c r="Z172" s="10">
        <f t="shared" si="44"/>
        <v>125892.54117941685</v>
      </c>
      <c r="AA172" s="10" t="str">
        <f t="shared" si="45"/>
        <v>791006.165022013i</v>
      </c>
      <c r="AC172" s="10">
        <f>1/(2*$T$3+$T$6*$T$2/('4. Boost Inductor'!$B$11*$T$3^2)*($T$5))</f>
        <v>0.20979859335038364</v>
      </c>
      <c r="AD172" s="10" t="str">
        <f t="shared" si="40"/>
        <v>0.00162680101482094-0.0000821307271493937i</v>
      </c>
      <c r="AE172" s="10" t="str">
        <f t="shared" si="41"/>
        <v>0.979537090530364-0.420146702453432i</v>
      </c>
      <c r="AF172" s="10" t="str">
        <f t="shared" si="46"/>
        <v>0.0747604689297136-0.0366341995895129i</v>
      </c>
      <c r="AG172" s="10">
        <f t="shared" si="36"/>
        <v>8.3253782461549089E-2</v>
      </c>
      <c r="AH172" s="10">
        <f t="shared" si="37"/>
        <v>-0.45563258550743591</v>
      </c>
      <c r="AI172" s="10">
        <f t="shared" si="38"/>
        <v>-26.105824158209675</v>
      </c>
      <c r="AJ172" s="10">
        <f t="shared" si="39"/>
        <v>-21.591920522231803</v>
      </c>
      <c r="AL172" s="10" t="str">
        <f t="shared" si="42"/>
        <v>0.0172181826994302-0.0000600047730295035i</v>
      </c>
      <c r="AM172" s="10" t="str">
        <f t="shared" si="43"/>
        <v>0.0103192137403378-0.0244174631415285i</v>
      </c>
      <c r="AN172" s="10" t="str">
        <f t="shared" si="47"/>
        <v>-0.0380619957229581+0.0909454053972469i</v>
      </c>
      <c r="AO172" s="10">
        <f t="shared" si="48"/>
        <v>9.8588956183155038E-2</v>
      </c>
      <c r="AP172" s="10">
        <f t="shared" si="49"/>
        <v>1.9671611307316588</v>
      </c>
      <c r="AQ172" s="10">
        <f t="shared" si="50"/>
        <v>112.71003041310684</v>
      </c>
      <c r="AR172" s="10">
        <f t="shared" si="51"/>
        <v>-20.123434629642514</v>
      </c>
      <c r="AS172" s="10">
        <f t="shared" si="52"/>
        <v>-41.71535515187432</v>
      </c>
      <c r="AT172" s="10">
        <f t="shared" si="53"/>
        <v>86.604206254897164</v>
      </c>
    </row>
    <row r="173" spans="25:46" x14ac:dyDescent="0.25">
      <c r="Y173" s="10">
        <v>171</v>
      </c>
      <c r="Z173" s="10">
        <f t="shared" si="44"/>
        <v>134896.28825916522</v>
      </c>
      <c r="AA173" s="10" t="str">
        <f t="shared" si="45"/>
        <v>847578.376383049i</v>
      </c>
      <c r="AC173" s="10">
        <f>1/(2*$T$3+$T$6*$T$2/('4. Boost Inductor'!$B$11*$T$3^2)*($T$5))</f>
        <v>0.20979859335038364</v>
      </c>
      <c r="AD173" s="10" t="str">
        <f t="shared" si="40"/>
        <v>0.00162680014299318-0.0000766488544066894i</v>
      </c>
      <c r="AE173" s="10" t="str">
        <f t="shared" si="41"/>
        <v>0.976376218780642-0.450976504530173i</v>
      </c>
      <c r="AF173" s="10" t="str">
        <f t="shared" si="46"/>
        <v>0.0745109721814699-0.0387701451740276i</v>
      </c>
      <c r="AG173" s="10">
        <f t="shared" si="36"/>
        <v>8.3994101770558618E-2</v>
      </c>
      <c r="AH173" s="10">
        <f t="shared" si="37"/>
        <v>-0.47977744415696383</v>
      </c>
      <c r="AI173" s="10">
        <f t="shared" si="38"/>
        <v>-27.48922265576757</v>
      </c>
      <c r="AJ173" s="10">
        <f t="shared" si="39"/>
        <v>-21.515024197437711</v>
      </c>
      <c r="AL173" s="10" t="str">
        <f t="shared" si="42"/>
        <v>0.0172181822266854-0.0000559997125250691i</v>
      </c>
      <c r="AM173" s="10" t="str">
        <f t="shared" si="43"/>
        <v>0.0102415196425163-0.0227894914217246i</v>
      </c>
      <c r="AN173" s="10" t="str">
        <f t="shared" si="47"/>
        <v>-0.0378138556471999+0.0848809018746444i</v>
      </c>
      <c r="AO173" s="10">
        <f t="shared" si="48"/>
        <v>9.2922845317824188E-2</v>
      </c>
      <c r="AP173" s="10">
        <f t="shared" si="49"/>
        <v>1.9898959923991715</v>
      </c>
      <c r="AQ173" s="10">
        <f t="shared" si="50"/>
        <v>114.01264203446907</v>
      </c>
      <c r="AR173" s="10">
        <f t="shared" si="51"/>
        <v>-20.637550009525725</v>
      </c>
      <c r="AS173" s="10">
        <f t="shared" si="52"/>
        <v>-42.152574206963436</v>
      </c>
      <c r="AT173" s="10">
        <f t="shared" si="53"/>
        <v>86.523419378701504</v>
      </c>
    </row>
    <row r="174" spans="25:46" x14ac:dyDescent="0.25">
      <c r="Y174" s="10">
        <v>172</v>
      </c>
      <c r="Z174" s="10">
        <f t="shared" si="44"/>
        <v>144543.97707459255</v>
      </c>
      <c r="AA174" s="10" t="str">
        <f t="shared" si="45"/>
        <v>908196.592996383i</v>
      </c>
      <c r="AC174" s="10">
        <f>1/(2*$T$3+$T$6*$T$2/('4. Boost Inductor'!$B$11*$T$3^2)*($T$5))</f>
        <v>0.20979859335038364</v>
      </c>
      <c r="AD174" s="10" t="str">
        <f t="shared" si="40"/>
        <v>0.00162679938366296-0.000071532873080611i</v>
      </c>
      <c r="AE174" s="10" t="str">
        <f t="shared" si="41"/>
        <v>0.97270497768688-0.484191844091803i</v>
      </c>
      <c r="AF174" s="10" t="str">
        <f t="shared" si="46"/>
        <v>0.0742212383850779-0.0411091772022186i</v>
      </c>
      <c r="AG174" s="10">
        <f t="shared" si="36"/>
        <v>8.4845487078912873E-2</v>
      </c>
      <c r="AH174" s="10">
        <f t="shared" si="37"/>
        <v>-0.50581224354101273</v>
      </c>
      <c r="AI174" s="10">
        <f t="shared" si="38"/>
        <v>-28.980906780943364</v>
      </c>
      <c r="AJ174" s="10">
        <f t="shared" si="39"/>
        <v>-21.427425056047824</v>
      </c>
      <c r="AL174" s="10" t="str">
        <f t="shared" si="42"/>
        <v>0.0172181818149419-0.0000522619725793112i</v>
      </c>
      <c r="AM174" s="10" t="str">
        <f t="shared" si="43"/>
        <v>0.0101738409723981-0.0212698451930633i</v>
      </c>
      <c r="AN174" s="10" t="str">
        <f t="shared" si="47"/>
        <v>-0.0375977029434069+0.0792201096088757i</v>
      </c>
      <c r="AO174" s="10">
        <f t="shared" si="48"/>
        <v>8.7689298281278014E-2</v>
      </c>
      <c r="AP174" s="10">
        <f t="shared" si="49"/>
        <v>2.0139165890318069</v>
      </c>
      <c r="AQ174" s="10">
        <f t="shared" si="50"/>
        <v>115.38892084290524</v>
      </c>
      <c r="AR174" s="10">
        <f t="shared" si="51"/>
        <v>-21.141068105537087</v>
      </c>
      <c r="AS174" s="10">
        <f t="shared" si="52"/>
        <v>-42.568493161584911</v>
      </c>
      <c r="AT174" s="10">
        <f t="shared" si="53"/>
        <v>86.408014061961865</v>
      </c>
    </row>
    <row r="175" spans="25:46" x14ac:dyDescent="0.25">
      <c r="Y175" s="10">
        <v>173</v>
      </c>
      <c r="Z175" s="10">
        <f t="shared" si="44"/>
        <v>154881.66189124787</v>
      </c>
      <c r="AA175" s="10" t="str">
        <f t="shared" si="45"/>
        <v>973150.182346645i</v>
      </c>
      <c r="AC175" s="10">
        <f>1/(2*$T$3+$T$6*$T$2/('4. Boost Inductor'!$B$11*$T$3^2)*($T$5))</f>
        <v>0.20979859335038364</v>
      </c>
      <c r="AD175" s="10" t="str">
        <f t="shared" si="40"/>
        <v>0.00162679872231397-0.000066758361495068i</v>
      </c>
      <c r="AE175" s="10" t="str">
        <f t="shared" si="41"/>
        <v>0.968433868390399-0.520005176495386i</v>
      </c>
      <c r="AF175" s="10" t="str">
        <f t="shared" si="46"/>
        <v>0.0738842208851322-0.0436666311535846i</v>
      </c>
      <c r="AG175" s="10">
        <f t="shared" si="36"/>
        <v>8.5823381267031248E-2</v>
      </c>
      <c r="AH175" s="10">
        <f t="shared" si="37"/>
        <v>-0.53378616910731902</v>
      </c>
      <c r="AI175" s="10">
        <f t="shared" si="38"/>
        <v>-30.583694652305827</v>
      </c>
      <c r="AJ175" s="10">
        <f t="shared" si="39"/>
        <v>-21.327887582903138</v>
      </c>
      <c r="AL175" s="10" t="str">
        <f t="shared" si="42"/>
        <v>0.0172181814563283-0.000048773710695574i</v>
      </c>
      <c r="AM175" s="10" t="str">
        <f t="shared" si="43"/>
        <v>0.010114887773272-0.019851356763122i</v>
      </c>
      <c r="AN175" s="10" t="str">
        <f t="shared" si="47"/>
        <v>-0.0374094177319256+0.0739362823585307i</v>
      </c>
      <c r="AO175" s="10">
        <f t="shared" si="48"/>
        <v>8.2861561559278415E-2</v>
      </c>
      <c r="AP175" s="10">
        <f t="shared" si="49"/>
        <v>2.0392071967399006</v>
      </c>
      <c r="AQ175" s="10">
        <f t="shared" si="50"/>
        <v>116.83796592590002</v>
      </c>
      <c r="AR175" s="10">
        <f t="shared" si="51"/>
        <v>-21.63293773014685</v>
      </c>
      <c r="AS175" s="10">
        <f t="shared" si="52"/>
        <v>-42.960825313049988</v>
      </c>
      <c r="AT175" s="10">
        <f t="shared" si="53"/>
        <v>86.254271273594199</v>
      </c>
    </row>
    <row r="176" spans="25:46" x14ac:dyDescent="0.25">
      <c r="Y176" s="10">
        <v>174</v>
      </c>
      <c r="Z176" s="10">
        <f t="shared" si="44"/>
        <v>165958.69074375575</v>
      </c>
      <c r="AA176" s="10" t="str">
        <f t="shared" si="45"/>
        <v>1042749.20727993i</v>
      </c>
      <c r="AC176" s="10">
        <f>1/(2*$T$3+$T$6*$T$2/('4. Boost Inductor'!$B$11*$T$3^2)*($T$5))</f>
        <v>0.20979859335038364</v>
      </c>
      <c r="AD176" s="10" t="str">
        <f t="shared" si="40"/>
        <v>0.00162679814630308-0.0000623025280153776i</v>
      </c>
      <c r="AE176" s="10" t="str">
        <f t="shared" si="41"/>
        <v>0.963455453631127-0.558653862423048i</v>
      </c>
      <c r="AF176" s="10" t="str">
        <f t="shared" si="46"/>
        <v>0.0734914641031745-0.0464598518960818i</v>
      </c>
      <c r="AG176" s="10">
        <f t="shared" si="36"/>
        <v>8.6945460687916559E-2</v>
      </c>
      <c r="AH176" s="10">
        <f t="shared" si="37"/>
        <v>-0.5637459844184699</v>
      </c>
      <c r="AI176" s="10">
        <f t="shared" si="38"/>
        <v>-32.300265624626192</v>
      </c>
      <c r="AJ176" s="10">
        <f t="shared" si="39"/>
        <v>-21.215061740655084</v>
      </c>
      <c r="AL176" s="10" t="str">
        <f t="shared" si="42"/>
        <v>0.0172181811439889-0.0000455182752869387i</v>
      </c>
      <c r="AM176" s="10" t="str">
        <f t="shared" si="43"/>
        <v>0.0100635359613765-0.018527325159455i</v>
      </c>
      <c r="AN176" s="10" t="str">
        <f t="shared" si="47"/>
        <v>-0.0372454099009391+0.0690044217500151i</v>
      </c>
      <c r="AO176" s="10">
        <f t="shared" si="48"/>
        <v>7.8414480676358048E-2</v>
      </c>
      <c r="AP176" s="10">
        <f t="shared" si="49"/>
        <v>2.0657390782992033</v>
      </c>
      <c r="AQ176" s="10">
        <f t="shared" si="50"/>
        <v>118.35813076178907</v>
      </c>
      <c r="AR176" s="10">
        <f t="shared" si="51"/>
        <v>-22.112074588882074</v>
      </c>
      <c r="AS176" s="10">
        <f t="shared" si="52"/>
        <v>-43.327136329537154</v>
      </c>
      <c r="AT176" s="10">
        <f t="shared" si="53"/>
        <v>86.057865137162878</v>
      </c>
    </row>
    <row r="177" spans="25:46" x14ac:dyDescent="0.25">
      <c r="Y177" s="10">
        <v>175</v>
      </c>
      <c r="Z177" s="10">
        <f t="shared" si="44"/>
        <v>177827.94100389219</v>
      </c>
      <c r="AA177" s="10" t="str">
        <f t="shared" si="45"/>
        <v>1117325.90612165i</v>
      </c>
      <c r="AC177" s="10">
        <f>1/(2*$T$3+$T$6*$T$2/('4. Boost Inductor'!$B$11*$T$3^2)*($T$5))</f>
        <v>0.20979859335038364</v>
      </c>
      <c r="AD177" s="10" t="str">
        <f t="shared" si="40"/>
        <v>0.00162679764461857-0.0000581441022500941i</v>
      </c>
      <c r="AE177" s="10" t="str">
        <f t="shared" si="41"/>
        <v>0.957640073891279-0.600404196663042i</v>
      </c>
      <c r="AF177" s="10" t="str">
        <f t="shared" si="46"/>
        <v>0.0730327679154344-0.0495085000955401i</v>
      </c>
      <c r="AG177" s="10">
        <f t="shared" si="36"/>
        <v>8.8231948698302004E-2</v>
      </c>
      <c r="AH177" s="10">
        <f t="shared" si="37"/>
        <v>-0.59573538280464844</v>
      </c>
      <c r="AI177" s="10">
        <f t="shared" si="38"/>
        <v>-34.13312314131683</v>
      </c>
      <c r="AJ177" s="10">
        <f t="shared" si="39"/>
        <v>-21.087482576051659</v>
      </c>
      <c r="AL177" s="10" t="str">
        <f t="shared" si="42"/>
        <v>0.0172181808719527-0.0000424801261881558i</v>
      </c>
      <c r="AM177" s="10" t="str">
        <f t="shared" si="43"/>
        <v>0.0100188060617181-0.0172914871612433i</v>
      </c>
      <c r="AN177" s="10" t="str">
        <f t="shared" si="47"/>
        <v>-0.037102551192379+0.0644011675847478i</v>
      </c>
      <c r="AO177" s="10">
        <f t="shared" si="48"/>
        <v>7.4324354630644962E-2</v>
      </c>
      <c r="AP177" s="10">
        <f t="shared" si="49"/>
        <v>2.0934690005152543</v>
      </c>
      <c r="AQ177" s="10">
        <f t="shared" si="50"/>
        <v>119.94693827099483</v>
      </c>
      <c r="AR177" s="10">
        <f t="shared" si="51"/>
        <v>-22.577377062996391</v>
      </c>
      <c r="AS177" s="10">
        <f t="shared" si="52"/>
        <v>-43.664859639048046</v>
      </c>
      <c r="AT177" s="10">
        <f t="shared" si="53"/>
        <v>85.813815129678005</v>
      </c>
    </row>
    <row r="178" spans="25:46" x14ac:dyDescent="0.25">
      <c r="Y178" s="10">
        <v>176</v>
      </c>
      <c r="Z178" s="10">
        <f t="shared" si="44"/>
        <v>190546.07179632425</v>
      </c>
      <c r="AA178" s="10" t="str">
        <f t="shared" si="45"/>
        <v>1197236.27865145i</v>
      </c>
      <c r="AC178" s="10">
        <f>1/(2*$T$3+$T$6*$T$2/('4. Boost Inductor'!$B$11*$T$3^2)*($T$5))</f>
        <v>0.20979859335038364</v>
      </c>
      <c r="AD178" s="10" t="str">
        <f t="shared" si="40"/>
        <v>0.00162679720766963-0.0000542632335146291i</v>
      </c>
      <c r="AE178" s="10" t="str">
        <f t="shared" si="41"/>
        <v>0.950830338081586-0.645556233932782i</v>
      </c>
      <c r="AF178" s="10" t="str">
        <f t="shared" si="46"/>
        <v>0.0724957562479208-0.0528349204327216i</v>
      </c>
      <c r="AG178" s="10">
        <f t="shared" si="36"/>
        <v>8.970598358576741E-2</v>
      </c>
      <c r="AH178" s="10">
        <f t="shared" si="37"/>
        <v>-0.62979459945933058</v>
      </c>
      <c r="AI178" s="10">
        <f t="shared" si="38"/>
        <v>-36.084572509151798</v>
      </c>
      <c r="AJ178" s="10">
        <f t="shared" si="39"/>
        <v>-20.943571751913829</v>
      </c>
      <c r="AL178" s="10" t="str">
        <f t="shared" si="42"/>
        <v>0.017218180635019-0.000039644760473053i</v>
      </c>
      <c r="AM178" s="10" t="str">
        <f t="shared" si="43"/>
        <v>0.00997984465413243-0.0161379898573758i</v>
      </c>
      <c r="AN178" s="10" t="str">
        <f t="shared" si="47"/>
        <v>-0.0369781159439236+0.0601046941682748i</v>
      </c>
      <c r="AO178" s="10">
        <f t="shared" si="48"/>
        <v>7.0568798486470644E-2</v>
      </c>
      <c r="AP178" s="10">
        <f t="shared" si="49"/>
        <v>2.1223380084820498</v>
      </c>
      <c r="AQ178" s="10">
        <f t="shared" si="50"/>
        <v>121.60101058622178</v>
      </c>
      <c r="AR178" s="10">
        <f t="shared" si="51"/>
        <v>-23.02774553714357</v>
      </c>
      <c r="AS178" s="10">
        <f t="shared" si="52"/>
        <v>-43.971317289057396</v>
      </c>
      <c r="AT178" s="10">
        <f t="shared" si="53"/>
        <v>85.516438077069978</v>
      </c>
    </row>
    <row r="179" spans="25:46" x14ac:dyDescent="0.25">
      <c r="Y179" s="10">
        <v>177</v>
      </c>
      <c r="Z179" s="10">
        <f t="shared" si="44"/>
        <v>204173.79446695274</v>
      </c>
      <c r="AA179" s="10" t="str">
        <f t="shared" si="45"/>
        <v>1282861.78550586i</v>
      </c>
      <c r="AC179" s="10">
        <f>1/(2*$T$3+$T$6*$T$2/('4. Boost Inductor'!$B$11*$T$3^2)*($T$5))</f>
        <v>0.20979859335038364</v>
      </c>
      <c r="AD179" s="10" t="str">
        <f t="shared" si="40"/>
        <v>0.00162679682710301-0.000050641396071983i</v>
      </c>
      <c r="AE179" s="10" t="str">
        <f t="shared" si="41"/>
        <v>0.942833979564396-0.694449572966192i</v>
      </c>
      <c r="AF179" s="10" t="str">
        <f t="shared" si="46"/>
        <v>0.0718653179618125-0.056464583961334i</v>
      </c>
      <c r="AG179" s="10">
        <f t="shared" si="36"/>
        <v>9.1394054334398289E-2</v>
      </c>
      <c r="AH179" s="10">
        <f t="shared" si="37"/>
        <v>-0.66596043581671927</v>
      </c>
      <c r="AI179" s="10">
        <f t="shared" si="38"/>
        <v>-38.156722294990963</v>
      </c>
      <c r="AJ179" s="10">
        <f t="shared" si="39"/>
        <v>-20.781641129908081</v>
      </c>
      <c r="AL179" s="10" t="str">
        <f t="shared" si="42"/>
        <v>0.0172181804286585-0.0000369986432233121i</v>
      </c>
      <c r="AM179" s="10" t="str">
        <f t="shared" si="43"/>
        <v>0.00994590818796335-0.0150613647048244i</v>
      </c>
      <c r="AN179" s="10" t="str">
        <f t="shared" si="47"/>
        <v>-0.0368697293959798+0.0560946125011839i</v>
      </c>
      <c r="AO179" s="10">
        <f t="shared" si="48"/>
        <v>6.7126615417364477E-2</v>
      </c>
      <c r="AP179" s="10">
        <f t="shared" si="49"/>
        <v>2.1522705738090728</v>
      </c>
      <c r="AQ179" s="10">
        <f t="shared" si="50"/>
        <v>123.3160202494598</v>
      </c>
      <c r="AR179" s="10">
        <f t="shared" si="51"/>
        <v>-23.462104995410332</v>
      </c>
      <c r="AS179" s="10">
        <f t="shared" si="52"/>
        <v>-44.24374612531841</v>
      </c>
      <c r="AT179" s="10">
        <f t="shared" si="53"/>
        <v>85.159297954468826</v>
      </c>
    </row>
    <row r="180" spans="25:46" x14ac:dyDescent="0.25">
      <c r="Y180" s="10">
        <v>178</v>
      </c>
      <c r="Z180" s="10">
        <f t="shared" si="44"/>
        <v>218776.16239495497</v>
      </c>
      <c r="AA180" s="10" t="str">
        <f t="shared" si="45"/>
        <v>1374611.16912112i</v>
      </c>
      <c r="AC180" s="10">
        <f>1/(2*$T$3+$T$6*$T$2/('4. Boost Inductor'!$B$11*$T$3^2)*($T$5))</f>
        <v>0.20979859335038364</v>
      </c>
      <c r="AD180" s="10" t="str">
        <f t="shared" si="40"/>
        <v>0.00162679649564333-0.0000472613006982323i</v>
      </c>
      <c r="AE180" s="10" t="str">
        <f t="shared" si="41"/>
        <v>0.933414513455327-0.747470283424951i</v>
      </c>
      <c r="AF180" s="10" t="str">
        <f t="shared" si="46"/>
        <v>0.0711228760379065-0.0604266186862089i</v>
      </c>
      <c r="AG180" s="10">
        <f t="shared" si="36"/>
        <v>9.3326522177524143E-2</v>
      </c>
      <c r="AH180" s="10">
        <f t="shared" si="37"/>
        <v>-0.70426688677960791</v>
      </c>
      <c r="AI180" s="10">
        <f t="shared" si="38"/>
        <v>-40.351520263289331</v>
      </c>
      <c r="AJ180" s="10">
        <f t="shared" si="39"/>
        <v>-20.599898357975178</v>
      </c>
      <c r="AL180" s="10" t="str">
        <f t="shared" si="42"/>
        <v>0.0172181802489259-0.000034529142918124i</v>
      </c>
      <c r="AM180" s="10" t="str">
        <f t="shared" si="43"/>
        <v>0.00991634886586753-0.0140565030488674i</v>
      </c>
      <c r="AN180" s="10" t="str">
        <f t="shared" si="47"/>
        <v>-0.0367753226071037+0.0523518781375132i</v>
      </c>
      <c r="AO180" s="10">
        <f t="shared" si="48"/>
        <v>6.3977679681132438E-2</v>
      </c>
      <c r="AP180" s="10">
        <f t="shared" si="49"/>
        <v>2.1831742336608979</v>
      </c>
      <c r="AQ180" s="10">
        <f t="shared" si="50"/>
        <v>125.08666953047728</v>
      </c>
      <c r="AR180" s="10">
        <f t="shared" si="51"/>
        <v>-23.879430295964678</v>
      </c>
      <c r="AS180" s="10">
        <f t="shared" si="52"/>
        <v>-44.479328653939859</v>
      </c>
      <c r="AT180" s="10">
        <f t="shared" si="53"/>
        <v>84.73514926718795</v>
      </c>
    </row>
    <row r="181" spans="25:46" x14ac:dyDescent="0.25">
      <c r="Y181" s="10">
        <v>179</v>
      </c>
      <c r="Z181" s="10">
        <f t="shared" si="44"/>
        <v>234422.88153199226</v>
      </c>
      <c r="AA181" s="10" t="str">
        <f t="shared" si="45"/>
        <v>1472922.40490851i</v>
      </c>
      <c r="AC181" s="10">
        <f>1/(2*$T$3+$T$6*$T$2/('4. Boost Inductor'!$B$11*$T$3^2)*($T$5))</f>
        <v>0.20979859335038364</v>
      </c>
      <c r="AD181" s="10" t="str">
        <f t="shared" si="40"/>
        <v>0.00162679620695403-0.0000441068121506394i</v>
      </c>
      <c r="AE181" s="10" t="str">
        <f t="shared" si="41"/>
        <v>0.922278911211637-0.805059177699437i</v>
      </c>
      <c r="AF181" s="10" t="str">
        <f t="shared" si="46"/>
        <v>0.0702454239414249-0.0647544437024752i</v>
      </c>
      <c r="AG181" s="10">
        <f t="shared" si="36"/>
        <v>9.5538251836254265E-2</v>
      </c>
      <c r="AH181" s="10">
        <f t="shared" si="37"/>
        <v>-0.74474660353871169</v>
      </c>
      <c r="AI181" s="10">
        <f t="shared" si="38"/>
        <v>-42.670837189470959</v>
      </c>
      <c r="AJ181" s="10">
        <f t="shared" si="39"/>
        <v>-20.396454194445447</v>
      </c>
      <c r="AL181" s="10" t="str">
        <f t="shared" si="42"/>
        <v>0.0172181800923854-0.0000322244711363062i</v>
      </c>
      <c r="AM181" s="10" t="str">
        <f t="shared" si="43"/>
        <v>0.00989060233442015-0.0131186330578341i</v>
      </c>
      <c r="AN181" s="10" t="str">
        <f t="shared" si="47"/>
        <v>-0.036693093140041+0.0488587044927933i</v>
      </c>
      <c r="AO181" s="10">
        <f t="shared" si="48"/>
        <v>6.1102832085737441E-2</v>
      </c>
      <c r="AP181" s="10">
        <f t="shared" si="49"/>
        <v>2.2149398251095271</v>
      </c>
      <c r="AQ181" s="10">
        <f t="shared" si="50"/>
        <v>126.90670385422058</v>
      </c>
      <c r="AR181" s="10">
        <f t="shared" si="51"/>
        <v>-24.278773199173923</v>
      </c>
      <c r="AS181" s="10">
        <f t="shared" si="52"/>
        <v>-44.675227393619366</v>
      </c>
      <c r="AT181" s="10">
        <f t="shared" si="53"/>
        <v>84.235866664749622</v>
      </c>
    </row>
    <row r="182" spans="25:46" x14ac:dyDescent="0.25">
      <c r="Y182" s="10">
        <v>180</v>
      </c>
      <c r="Z182" s="10">
        <f t="shared" si="44"/>
        <v>251188.64315095753</v>
      </c>
      <c r="AA182" s="10" t="str">
        <f t="shared" si="45"/>
        <v>1578264.79197647i</v>
      </c>
      <c r="AC182" s="10">
        <f>1/(2*$T$3+$T$6*$T$2/('4. Boost Inductor'!$B$11*$T$3^2)*($T$5))</f>
        <v>0.20979859335038364</v>
      </c>
      <c r="AD182" s="10" t="str">
        <f t="shared" si="40"/>
        <v>0.00162679595551615-0.000041162872144396i</v>
      </c>
      <c r="AE182" s="10" t="str">
        <f t="shared" si="41"/>
        <v>0.909061193610194-0.867721630860839i</v>
      </c>
      <c r="AF182" s="10" t="str">
        <f t="shared" si="46"/>
        <v>0.069204243535823-0.0694865221842535i</v>
      </c>
      <c r="AG182" s="10">
        <f t="shared" si="36"/>
        <v>9.8069384053476399E-2</v>
      </c>
      <c r="AH182" s="10">
        <f t="shared" si="37"/>
        <v>-0.78743347019806709</v>
      </c>
      <c r="AI182" s="10">
        <f t="shared" si="38"/>
        <v>-45.116614489689731</v>
      </c>
      <c r="AJ182" s="10">
        <f t="shared" si="39"/>
        <v>-20.169331047484921</v>
      </c>
      <c r="AL182" s="10" t="str">
        <f t="shared" si="42"/>
        <v>0.0172181799560443-0.0000300736262830384i</v>
      </c>
      <c r="AM182" s="10" t="str">
        <f t="shared" si="43"/>
        <v>0.00986817695192163-0.0122432980188588i</v>
      </c>
      <c r="AN182" s="10" t="str">
        <f t="shared" si="47"/>
        <v>-0.0366214707850718+0.0455984813685467i</v>
      </c>
      <c r="AO182" s="10">
        <f t="shared" si="48"/>
        <v>5.8483789425614073E-2</v>
      </c>
      <c r="AP182" s="10">
        <f t="shared" si="49"/>
        <v>2.2474423930460006</v>
      </c>
      <c r="AQ182" s="10">
        <f t="shared" si="50"/>
        <v>128.76896382031777</v>
      </c>
      <c r="AR182" s="10">
        <f t="shared" si="51"/>
        <v>-24.659289905232495</v>
      </c>
      <c r="AS182" s="10">
        <f t="shared" si="52"/>
        <v>-44.828620952717415</v>
      </c>
      <c r="AT182" s="10">
        <f t="shared" si="53"/>
        <v>83.652349330628027</v>
      </c>
    </row>
    <row r="183" spans="25:46" x14ac:dyDescent="0.25">
      <c r="Y183" s="10">
        <v>181</v>
      </c>
      <c r="Z183" s="10">
        <f t="shared" si="44"/>
        <v>269153.48039269098</v>
      </c>
      <c r="AA183" s="10" t="str">
        <f t="shared" si="45"/>
        <v>1691141.1933796i</v>
      </c>
      <c r="AC183" s="10">
        <f>1/(2*$T$3+$T$6*$T$2/('4. Boost Inductor'!$B$11*$T$3^2)*($T$5))</f>
        <v>0.20979859335038364</v>
      </c>
      <c r="AD183" s="10" t="str">
        <f t="shared" si="40"/>
        <v>0.00162679573652292-0.0000384154274703407i</v>
      </c>
      <c r="AE183" s="10" t="str">
        <f t="shared" si="41"/>
        <v>0.893300388786071-0.936039116487011i</v>
      </c>
      <c r="AF183" s="10" t="str">
        <f t="shared" si="46"/>
        <v>0.0679631835576713-0.0746672455345775i</v>
      </c>
      <c r="AG183" s="10">
        <f t="shared" si="36"/>
        <v>0.10096629078566077</v>
      </c>
      <c r="AH183" s="10">
        <f t="shared" si="37"/>
        <v>-0.83236662232573932</v>
      </c>
      <c r="AI183" s="10">
        <f t="shared" si="38"/>
        <v>-47.691094466824623</v>
      </c>
      <c r="AJ183" s="10">
        <f t="shared" si="39"/>
        <v>-19.916471963824062</v>
      </c>
      <c r="AL183" s="10" t="str">
        <f t="shared" si="42"/>
        <v>0.0172181798372961-0.0000280663410725982i</v>
      </c>
      <c r="AM183" s="10" t="str">
        <f t="shared" si="43"/>
        <v>0.00984864443257939-0.0114263359371013i</v>
      </c>
      <c r="AN183" s="10" t="str">
        <f t="shared" si="47"/>
        <v>-0.0365590876792571+0.0425556984513853i</v>
      </c>
      <c r="AO183" s="10">
        <f t="shared" si="48"/>
        <v>5.6103069101652941E-2</v>
      </c>
      <c r="AP183" s="10">
        <f t="shared" si="49"/>
        <v>2.2805428097688396</v>
      </c>
      <c r="AQ183" s="10">
        <f t="shared" si="50"/>
        <v>130.66547799866066</v>
      </c>
      <c r="AR183" s="10">
        <f t="shared" si="51"/>
        <v>-25.02026760287897</v>
      </c>
      <c r="AS183" s="10">
        <f t="shared" si="52"/>
        <v>-44.936739566703032</v>
      </c>
      <c r="AT183" s="10">
        <f t="shared" si="53"/>
        <v>82.97438353183604</v>
      </c>
    </row>
    <row r="184" spans="25:46" x14ac:dyDescent="0.25">
      <c r="Y184" s="10">
        <v>182</v>
      </c>
      <c r="Z184" s="10">
        <f t="shared" si="44"/>
        <v>288403.15031266044</v>
      </c>
      <c r="AA184" s="10" t="str">
        <f t="shared" si="45"/>
        <v>1812090.43658881i</v>
      </c>
      <c r="AC184" s="10">
        <f>1/(2*$T$3+$T$6*$T$2/('4. Boost Inductor'!$B$11*$T$3^2)*($T$5))</f>
        <v>0.20979859335038364</v>
      </c>
      <c r="AD184" s="10" t="str">
        <f t="shared" si="40"/>
        <v>0.00162679554578779-0.0000358513629104994i</v>
      </c>
      <c r="AE184" s="10" t="str">
        <f t="shared" si="41"/>
        <v>0.87441064147363-1.01068251476888i</v>
      </c>
      <c r="AF184" s="10" t="str">
        <f t="shared" si="46"/>
        <v>0.0664763263002463-0.0803479520366955i</v>
      </c>
      <c r="AG184" s="10">
        <f t="shared" si="36"/>
        <v>0.10428276633685901</v>
      </c>
      <c r="AH184" s="10">
        <f t="shared" si="37"/>
        <v>-0.87959629347779</v>
      </c>
      <c r="AI184" s="10">
        <f t="shared" si="38"/>
        <v>-50.397155291627911</v>
      </c>
      <c r="AJ184" s="10">
        <f t="shared" si="39"/>
        <v>-19.635749134098376</v>
      </c>
      <c r="AL184" s="10" t="str">
        <f t="shared" si="42"/>
        <v>0.0172181797338709-0.000026193033516394i</v>
      </c>
      <c r="AM184" s="10" t="str">
        <f t="shared" si="43"/>
        <v>0.00983163169150377-0.0106638603785263i</v>
      </c>
      <c r="AN184" s="10" t="str">
        <f t="shared" si="47"/>
        <v>-0.0365047522608724+0.0397158735411619i</v>
      </c>
      <c r="AO184" s="10">
        <f t="shared" si="48"/>
        <v>5.3943929674850656E-2</v>
      </c>
      <c r="AP184" s="10">
        <f t="shared" si="49"/>
        <v>2.3140900927969263</v>
      </c>
      <c r="AQ184" s="10">
        <f t="shared" si="50"/>
        <v>132.5875957303009</v>
      </c>
      <c r="AR184" s="10">
        <f t="shared" si="51"/>
        <v>-25.361148390165404</v>
      </c>
      <c r="AS184" s="10">
        <f t="shared" si="52"/>
        <v>-44.99689752426378</v>
      </c>
      <c r="AT184" s="10">
        <f t="shared" si="53"/>
        <v>82.190440438672994</v>
      </c>
    </row>
    <row r="185" spans="25:46" x14ac:dyDescent="0.25">
      <c r="Y185" s="10">
        <v>183</v>
      </c>
      <c r="Z185" s="10">
        <f t="shared" si="44"/>
        <v>309029.54325135821</v>
      </c>
      <c r="AA185" s="10" t="str">
        <f t="shared" si="45"/>
        <v>1941689.88564135i</v>
      </c>
      <c r="AC185" s="10">
        <f>1/(2*$T$3+$T$6*$T$2/('4. Boost Inductor'!$B$11*$T$3^2)*($T$5))</f>
        <v>0.20979859335038364</v>
      </c>
      <c r="AD185" s="10" t="str">
        <f t="shared" si="40"/>
        <v>0.00162679537966443-0.0000334584386312247i</v>
      </c>
      <c r="AE185" s="10" t="str">
        <f t="shared" si="41"/>
        <v>0.851640293658213-1.0924269882411i</v>
      </c>
      <c r="AF185" s="10" t="str">
        <f t="shared" si="46"/>
        <v>0.0646847950853939-0.0865880625763711i</v>
      </c>
      <c r="AG185" s="10">
        <f t="shared" ref="AG185:AG202" si="54">IMABS(AF185)</f>
        <v>0.1080815215287468</v>
      </c>
      <c r="AH185" s="10">
        <f t="shared" ref="AH185:AH202" si="55">IMARGUMENT(AF185)</f>
        <v>-0.92919194926081816</v>
      </c>
      <c r="AI185" s="10">
        <f t="shared" ref="AI185:AI202" si="56">AH185/(PI())*180</f>
        <v>-53.23877705017901</v>
      </c>
      <c r="AJ185" s="10">
        <f t="shared" ref="AJ185:AJ202" si="57">20*LOG(AG185,10)</f>
        <v>-19.324971002354197</v>
      </c>
      <c r="AL185" s="10" t="str">
        <f t="shared" si="42"/>
        <v>0.0172181796437912-0.000024444761182335i</v>
      </c>
      <c r="AM185" s="10" t="str">
        <f t="shared" si="43"/>
        <v>0.0098168137371196-0.0099522424952903i</v>
      </c>
      <c r="AN185" s="10" t="str">
        <f t="shared" si="47"/>
        <v>-0.0364574265690967+0.037065485262929i</v>
      </c>
      <c r="AO185" s="10">
        <f t="shared" si="48"/>
        <v>5.1990327464033967E-2</v>
      </c>
      <c r="AP185" s="10">
        <f t="shared" si="49"/>
        <v>2.3479243494178994</v>
      </c>
      <c r="AQ185" s="10">
        <f t="shared" si="50"/>
        <v>134.52615583764523</v>
      </c>
      <c r="AR185" s="10">
        <f t="shared" si="51"/>
        <v>-25.681548942586303</v>
      </c>
      <c r="AS185" s="10">
        <f t="shared" si="52"/>
        <v>-45.0065199449405</v>
      </c>
      <c r="AT185" s="10">
        <f t="shared" si="53"/>
        <v>81.287378787466224</v>
      </c>
    </row>
    <row r="186" spans="25:46" x14ac:dyDescent="0.25">
      <c r="Y186" s="10">
        <v>184</v>
      </c>
      <c r="Z186" s="10">
        <f t="shared" si="44"/>
        <v>331131.12148259068</v>
      </c>
      <c r="AA186" s="10" t="str">
        <f t="shared" si="45"/>
        <v>2080558.19724931i</v>
      </c>
      <c r="AC186" s="10">
        <f>1/(2*$T$3+$T$6*$T$2/('4. Boost Inductor'!$B$11*$T$3^2)*($T$5))</f>
        <v>0.20979859335038364</v>
      </c>
      <c r="AD186" s="10" t="str">
        <f t="shared" si="40"/>
        <v>0.00162679523497704-0.0000312252317550679i</v>
      </c>
      <c r="AE186" s="10" t="str">
        <f t="shared" si="41"/>
        <v>0.824015338603814-1.18216766991946i</v>
      </c>
      <c r="AF186" s="10" t="str">
        <f t="shared" si="46"/>
        <v>0.0625123449610978-0.0934562724881645i</v>
      </c>
      <c r="AG186" s="10">
        <f t="shared" si="54"/>
        <v>0.11243606245292186</v>
      </c>
      <c r="AH186" s="10">
        <f t="shared" si="55"/>
        <v>-0.98125327081872504</v>
      </c>
      <c r="AI186" s="10">
        <f t="shared" si="56"/>
        <v>-56.221671051320534</v>
      </c>
      <c r="AJ186" s="10">
        <f t="shared" si="57"/>
        <v>-18.981887438615178</v>
      </c>
      <c r="AL186" s="10" t="str">
        <f t="shared" si="42"/>
        <v>0.0172181795653351-0.0000228131785071906i</v>
      </c>
      <c r="AM186" s="10" t="str">
        <f t="shared" si="43"/>
        <v>0.00980390747701474-0.00928809417273864i</v>
      </c>
      <c r="AN186" s="10" t="str">
        <f t="shared" si="47"/>
        <v>-0.0364162064610564+0.0345919100206963i</v>
      </c>
      <c r="AO186" s="10">
        <f t="shared" si="48"/>
        <v>5.0226888534869805E-2</v>
      </c>
      <c r="AP186" s="10">
        <f t="shared" si="49"/>
        <v>2.3818802190334374</v>
      </c>
      <c r="AQ186" s="10">
        <f t="shared" si="50"/>
        <v>136.47168385631207</v>
      </c>
      <c r="AR186" s="10">
        <f t="shared" si="51"/>
        <v>-25.981274495336137</v>
      </c>
      <c r="AS186" s="10">
        <f t="shared" si="52"/>
        <v>-44.963161933951312</v>
      </c>
      <c r="AT186" s="10">
        <f t="shared" si="53"/>
        <v>80.250012804991542</v>
      </c>
    </row>
    <row r="187" spans="25:46" x14ac:dyDescent="0.25">
      <c r="Y187" s="10">
        <v>185</v>
      </c>
      <c r="Z187" s="10">
        <f t="shared" si="44"/>
        <v>354813.38923357491</v>
      </c>
      <c r="AA187" s="10" t="str">
        <f t="shared" si="45"/>
        <v>2229358.27402299i</v>
      </c>
      <c r="AC187" s="10">
        <f>1/(2*$T$3+$T$6*$T$2/('4. Boost Inductor'!$B$11*$T$3^2)*($T$5))</f>
        <v>0.20979859335038364</v>
      </c>
      <c r="AD187" s="10" t="str">
        <f t="shared" si="40"/>
        <v>0.00162679510895958-0.0000291410818324781i</v>
      </c>
      <c r="AE187" s="10" t="str">
        <f t="shared" si="41"/>
        <v>0.790260566778713-1.28093430425391i</v>
      </c>
      <c r="AF187" s="10" t="str">
        <f t="shared" si="46"/>
        <v>0.059859217397232-0.101031651641829i</v>
      </c>
      <c r="AG187" s="10">
        <f t="shared" si="54"/>
        <v>0.11743304705612034</v>
      </c>
      <c r="AH187" s="10">
        <f t="shared" si="55"/>
        <v>-1.0359247011231709</v>
      </c>
      <c r="AI187" s="10">
        <f t="shared" si="56"/>
        <v>-59.354113267708904</v>
      </c>
      <c r="AJ187" s="10">
        <f t="shared" si="57"/>
        <v>-18.604193405125272</v>
      </c>
      <c r="AL187" s="10" t="str">
        <f t="shared" si="42"/>
        <v>0.0172181794970027-0.0000212904969581654i</v>
      </c>
      <c r="AM187" s="10" t="str">
        <f t="shared" si="43"/>
        <v>0.00979266632025147-0.0086682522377437i</v>
      </c>
      <c r="AN187" s="10" t="str">
        <f t="shared" si="47"/>
        <v>-0.0363803043726236+0.0322833629564503i</v>
      </c>
      <c r="AO187" s="10">
        <f t="shared" si="48"/>
        <v>4.8638894621718561E-2</v>
      </c>
      <c r="AP187" s="10">
        <f t="shared" si="49"/>
        <v>2.4157906355310934</v>
      </c>
      <c r="AQ187" s="10">
        <f t="shared" si="50"/>
        <v>138.41460760315854</v>
      </c>
      <c r="AR187" s="10">
        <f t="shared" si="51"/>
        <v>-26.260326069913241</v>
      </c>
      <c r="AS187" s="10">
        <f t="shared" si="52"/>
        <v>-44.864519475038513</v>
      </c>
      <c r="AT187" s="10">
        <f t="shared" si="53"/>
        <v>79.060494335449647</v>
      </c>
    </row>
    <row r="188" spans="25:46" x14ac:dyDescent="0.25">
      <c r="Y188" s="10">
        <v>186</v>
      </c>
      <c r="Z188" s="10">
        <f t="shared" si="44"/>
        <v>380189.39632056118</v>
      </c>
      <c r="AA188" s="10" t="str">
        <f t="shared" si="45"/>
        <v>2388800.42890683i</v>
      </c>
      <c r="AC188" s="10">
        <f>1/(2*$T$3+$T$6*$T$2/('4. Boost Inductor'!$B$11*$T$3^2)*($T$5))</f>
        <v>0.20979859335038364</v>
      </c>
      <c r="AD188" s="10" t="str">
        <f t="shared" si="40"/>
        <v>0.00162679499920298-0.000027196039953027i</v>
      </c>
      <c r="AE188" s="10" t="str">
        <f t="shared" si="41"/>
        <v>0.748688678516236-1.38990082168743i</v>
      </c>
      <c r="AF188" s="10" t="str">
        <f t="shared" si="46"/>
        <v>0.0565935038311738-0.109404335357538i</v>
      </c>
      <c r="AG188" s="10">
        <f t="shared" si="54"/>
        <v>0.12317521370354398</v>
      </c>
      <c r="AH188" s="10">
        <f t="shared" si="55"/>
        <v>-1.0934144963134942</v>
      </c>
      <c r="AI188" s="10">
        <f t="shared" si="56"/>
        <v>-62.648035897185935</v>
      </c>
      <c r="AJ188" s="10">
        <f t="shared" si="57"/>
        <v>-18.189533511413913</v>
      </c>
      <c r="AL188" s="10" t="str">
        <f t="shared" si="42"/>
        <v>0.0172181794374877-0.0000198694478535163i</v>
      </c>
      <c r="AM188" s="10" t="str">
        <f t="shared" si="43"/>
        <v>0.00978287547404624-0.00808976366941342i</v>
      </c>
      <c r="AN188" s="10" t="str">
        <f t="shared" si="47"/>
        <v>-0.0363490342968994+0.0301288426849983i</v>
      </c>
      <c r="AO188" s="10">
        <f t="shared" si="48"/>
        <v>4.7212280773698545E-2</v>
      </c>
      <c r="AP188" s="10">
        <f t="shared" si="49"/>
        <v>2.4494906991641403</v>
      </c>
      <c r="AQ188" s="10">
        <f t="shared" si="50"/>
        <v>140.34547901865446</v>
      </c>
      <c r="AR188" s="10">
        <f t="shared" si="51"/>
        <v>-26.518900375401287</v>
      </c>
      <c r="AS188" s="10">
        <f t="shared" si="52"/>
        <v>-44.7084338868152</v>
      </c>
      <c r="AT188" s="10">
        <f t="shared" si="53"/>
        <v>77.697443121468524</v>
      </c>
    </row>
    <row r="189" spans="25:46" x14ac:dyDescent="0.25">
      <c r="Y189" s="10">
        <v>187</v>
      </c>
      <c r="Z189" s="10">
        <f t="shared" si="44"/>
        <v>407380.27780411189</v>
      </c>
      <c r="AA189" s="10" t="str">
        <f t="shared" si="45"/>
        <v>2559645.77593353i</v>
      </c>
      <c r="AC189" s="10">
        <f>1/(2*$T$3+$T$6*$T$2/('4. Boost Inductor'!$B$11*$T$3^2)*($T$5))</f>
        <v>0.20979859335038364</v>
      </c>
      <c r="AD189" s="10" t="str">
        <f t="shared" si="40"/>
        <v>0.00162679490360896-0.0000253808212532395i</v>
      </c>
      <c r="AE189" s="10" t="str">
        <f t="shared" si="41"/>
        <v>0.697043264758608-1.51038165826256i</v>
      </c>
      <c r="AF189" s="10" t="str">
        <f t="shared" si="46"/>
        <v>0.0525389244155237-0.118675162148718i</v>
      </c>
      <c r="AG189" s="10">
        <f t="shared" si="54"/>
        <v>0.12978494785515238</v>
      </c>
      <c r="AH189" s="10">
        <f t="shared" si="55"/>
        <v>-1.1540195648993621</v>
      </c>
      <c r="AI189" s="10">
        <f t="shared" si="56"/>
        <v>-66.120450544257039</v>
      </c>
      <c r="AJ189" s="10">
        <f t="shared" si="57"/>
        <v>-17.735513460806963</v>
      </c>
      <c r="AL189" s="10" t="str">
        <f t="shared" si="42"/>
        <v>0.0172181793856522-0.0000185432476647338i</v>
      </c>
      <c r="AM189" s="10" t="str">
        <f t="shared" si="43"/>
        <v>0.00977434784573142-0.00754987175492011i</v>
      </c>
      <c r="AN189" s="10" t="str">
        <f t="shared" si="47"/>
        <v>-0.0363217986958561+0.0281180795834335i</v>
      </c>
      <c r="AO189" s="10">
        <f t="shared" si="48"/>
        <v>4.5933641919214223E-2</v>
      </c>
      <c r="AP189" s="10">
        <f t="shared" si="49"/>
        <v>2.4828214360403988</v>
      </c>
      <c r="AQ189" s="10">
        <f t="shared" si="50"/>
        <v>142.25518956972513</v>
      </c>
      <c r="AR189" s="10">
        <f t="shared" si="51"/>
        <v>-26.757382390263675</v>
      </c>
      <c r="AS189" s="10">
        <f t="shared" si="52"/>
        <v>-44.492895851070642</v>
      </c>
      <c r="AT189" s="10">
        <f t="shared" si="53"/>
        <v>76.134739025468093</v>
      </c>
    </row>
    <row r="190" spans="25:46" x14ac:dyDescent="0.25">
      <c r="Y190" s="10">
        <v>188</v>
      </c>
      <c r="Z190" s="10">
        <f t="shared" si="44"/>
        <v>436515.83224016492</v>
      </c>
      <c r="AA190" s="10" t="str">
        <f t="shared" si="45"/>
        <v>2742709.86348267i</v>
      </c>
      <c r="AC190" s="10">
        <f>1/(2*$T$3+$T$6*$T$2/('4. Boost Inductor'!$B$11*$T$3^2)*($T$5))</f>
        <v>0.20979859335038364</v>
      </c>
      <c r="AD190" s="10" t="str">
        <f t="shared" si="40"/>
        <v>0.00162679482035006-0.0000236867605943208i</v>
      </c>
      <c r="AE190" s="10" t="str">
        <f t="shared" si="41"/>
        <v>0.632275507850574-1.64379863310479i</v>
      </c>
      <c r="AF190" s="10" t="str">
        <f t="shared" si="46"/>
        <v>0.0474574611501547-0.128952988840353i</v>
      </c>
      <c r="AG190" s="10">
        <f t="shared" si="54"/>
        <v>0.13740845661631837</v>
      </c>
      <c r="AH190" s="10">
        <f t="shared" si="55"/>
        <v>-1.2181578624903093</v>
      </c>
      <c r="AI190" s="10">
        <f t="shared" si="56"/>
        <v>-69.795304301372411</v>
      </c>
      <c r="AJ190" s="10">
        <f t="shared" si="57"/>
        <v>-17.239730767831279</v>
      </c>
      <c r="AL190" s="10" t="str">
        <f t="shared" si="42"/>
        <v>0.0172181793405054-0.0000173055656346516i</v>
      </c>
      <c r="AM190" s="10" t="str">
        <f t="shared" si="43"/>
        <v>0.00976692047228806-0.00704600313521809i</v>
      </c>
      <c r="AN190" s="10" t="str">
        <f t="shared" si="47"/>
        <v>-0.0362980770969437+0.0262414874230337i</v>
      </c>
      <c r="AO190" s="10">
        <f t="shared" si="48"/>
        <v>4.4790245178039652E-2</v>
      </c>
      <c r="AP190" s="10">
        <f t="shared" si="49"/>
        <v>2.5156332351928246</v>
      </c>
      <c r="AQ190" s="10">
        <f t="shared" si="50"/>
        <v>144.13516717939004</v>
      </c>
      <c r="AR190" s="10">
        <f t="shared" si="51"/>
        <v>-26.976331205145861</v>
      </c>
      <c r="AS190" s="10">
        <f t="shared" si="52"/>
        <v>-44.216061972977144</v>
      </c>
      <c r="AT190" s="10">
        <f t="shared" si="53"/>
        <v>74.339862878017627</v>
      </c>
    </row>
    <row r="191" spans="25:46" x14ac:dyDescent="0.25">
      <c r="Y191" s="10">
        <v>189</v>
      </c>
      <c r="Z191" s="10">
        <f t="shared" si="44"/>
        <v>467735.14128719777</v>
      </c>
      <c r="AA191" s="10" t="str">
        <f t="shared" si="45"/>
        <v>2938866.56738729i</v>
      </c>
      <c r="AC191" s="10">
        <f>1/(2*$T$3+$T$6*$T$2/('4. Boost Inductor'!$B$11*$T$3^2)*($T$5))</f>
        <v>0.20979859335038364</v>
      </c>
      <c r="AD191" s="10" t="str">
        <f t="shared" si="40"/>
        <v>0.00162679474783458-0.0000221057711982041i</v>
      </c>
      <c r="AE191" s="10" t="str">
        <f t="shared" si="41"/>
        <v>0.550226784308641-1.79158691305725i</v>
      </c>
      <c r="AF191" s="10" t="str">
        <f t="shared" si="46"/>
        <v>0.0410246946507097-0.140347220325372i</v>
      </c>
      <c r="AG191" s="10">
        <f t="shared" si="54"/>
        <v>0.14622027159133061</v>
      </c>
      <c r="AH191" s="10">
        <f t="shared" si="55"/>
        <v>-1.2864107457087055</v>
      </c>
      <c r="AI191" s="10">
        <f t="shared" si="56"/>
        <v>-73.705906449385807</v>
      </c>
      <c r="AJ191" s="10">
        <f t="shared" si="57"/>
        <v>-16.699848275339427</v>
      </c>
      <c r="AL191" s="10" t="str">
        <f t="shared" si="42"/>
        <v>0.0172181793011843-0.0000161504935569093i</v>
      </c>
      <c r="AM191" s="10" t="str">
        <f t="shared" si="43"/>
        <v>0.0097604514096668-0.00657575568763875i</v>
      </c>
      <c r="AN191" s="10" t="str">
        <f t="shared" si="47"/>
        <v>-0.0362774161581714+0.0244901181408806i</v>
      </c>
      <c r="AO191" s="10">
        <f t="shared" si="48"/>
        <v>4.3770044661474182E-2</v>
      </c>
      <c r="AP191" s="10">
        <f t="shared" si="49"/>
        <v>2.5477887863642512</v>
      </c>
      <c r="AQ191" s="10">
        <f t="shared" si="50"/>
        <v>145.97754454942975</v>
      </c>
      <c r="AR191" s="10">
        <f t="shared" si="51"/>
        <v>-27.176460204944984</v>
      </c>
      <c r="AS191" s="10">
        <f t="shared" si="52"/>
        <v>-43.876308480284408</v>
      </c>
      <c r="AT191" s="10">
        <f t="shared" si="53"/>
        <v>72.271638100043944</v>
      </c>
    </row>
    <row r="192" spans="25:46" x14ac:dyDescent="0.25">
      <c r="Y192" s="10">
        <v>190</v>
      </c>
      <c r="Z192" s="10">
        <f t="shared" si="44"/>
        <v>501187.23362727172</v>
      </c>
      <c r="AA192" s="10" t="str">
        <f t="shared" si="45"/>
        <v>3149052.26247286i</v>
      </c>
      <c r="AC192" s="10">
        <f>1/(2*$T$3+$T$6*$T$2/('4. Boost Inductor'!$B$11*$T$3^2)*($T$5))</f>
        <v>0.20979859335038364</v>
      </c>
      <c r="AD192" s="10" t="str">
        <f t="shared" si="40"/>
        <v>0.00162679468467624-0.0000206303060444634i</v>
      </c>
      <c r="AE192" s="10" t="str">
        <f t="shared" si="41"/>
        <v>0.445181689526328-1.95497955908604i</v>
      </c>
      <c r="AF192" s="10" t="str">
        <f t="shared" si="46"/>
        <v>0.0327951109153774-0.152950827519446i</v>
      </c>
      <c r="AG192" s="10">
        <f t="shared" si="54"/>
        <v>0.1564272193028925</v>
      </c>
      <c r="AH192" s="10">
        <f t="shared" si="55"/>
        <v>-1.3595783917774804</v>
      </c>
      <c r="AI192" s="10">
        <f t="shared" si="56"/>
        <v>-77.898103766033572</v>
      </c>
      <c r="AJ192" s="10">
        <f t="shared" si="57"/>
        <v>-16.113753495535246</v>
      </c>
      <c r="AL192" s="10" t="str">
        <f t="shared" si="42"/>
        <v>0.0172181792669369-0.0000150725175725049i</v>
      </c>
      <c r="AM192" s="10" t="str">
        <f t="shared" si="43"/>
        <v>0.00975481702279529-0.00613688719469661i</v>
      </c>
      <c r="AN192" s="10" t="str">
        <f t="shared" si="47"/>
        <v>-0.0362594210129081+0.0228556195582136i</v>
      </c>
      <c r="AO192" s="10">
        <f t="shared" si="48"/>
        <v>4.286169569185426E-2</v>
      </c>
      <c r="AP192" s="10">
        <f t="shared" si="49"/>
        <v>2.5791653907413878</v>
      </c>
      <c r="AQ192" s="10">
        <f t="shared" si="50"/>
        <v>147.77529155569138</v>
      </c>
      <c r="AR192" s="10">
        <f t="shared" si="51"/>
        <v>-27.358613028437308</v>
      </c>
      <c r="AS192" s="10">
        <f t="shared" si="52"/>
        <v>-43.472366523972553</v>
      </c>
      <c r="AT192" s="10">
        <f t="shared" si="53"/>
        <v>69.87718778965781</v>
      </c>
    </row>
    <row r="193" spans="25:46" x14ac:dyDescent="0.25">
      <c r="Y193" s="10">
        <v>191</v>
      </c>
      <c r="Z193" s="10">
        <f t="shared" si="44"/>
        <v>537031.79637025192</v>
      </c>
      <c r="AA193" s="10" t="str">
        <f t="shared" si="45"/>
        <v>3374270.29244183i</v>
      </c>
      <c r="AC193" s="10">
        <f>1/(2*$T$3+$T$6*$T$2/('4. Boost Inductor'!$B$11*$T$3^2)*($T$5))</f>
        <v>0.20979859335038364</v>
      </c>
      <c r="AD193" s="10" t="str">
        <f t="shared" si="40"/>
        <v>0.00162679462966763-0.0000192533218438144i</v>
      </c>
      <c r="AE193" s="10" t="str">
        <f t="shared" si="41"/>
        <v>0.309254860652611-2.13455571963519i</v>
      </c>
      <c r="AF193" s="10" t="str">
        <f t="shared" si="46"/>
        <v>0.022154580798174-0.166804889616021i</v>
      </c>
      <c r="AG193" s="10">
        <f t="shared" si="54"/>
        <v>0.16826971400152724</v>
      </c>
      <c r="AH193" s="10">
        <f t="shared" si="55"/>
        <v>-1.4387518146123812</v>
      </c>
      <c r="AI193" s="10">
        <f t="shared" si="56"/>
        <v>-82.434406744078089</v>
      </c>
      <c r="AJ193" s="10">
        <f t="shared" si="57"/>
        <v>-15.479880868317007</v>
      </c>
      <c r="AL193" s="10" t="str">
        <f t="shared" si="42"/>
        <v>0.0172181792371088-0.0000140664918488054i</v>
      </c>
      <c r="AM193" s="10" t="str">
        <f t="shared" si="43"/>
        <v>0.00974990962473637-0.00572730475085146i</v>
      </c>
      <c r="AN193" s="10" t="str">
        <f t="shared" si="47"/>
        <v>-0.0362437477298056+0.0213301958623131i</v>
      </c>
      <c r="AO193" s="10">
        <f t="shared" si="48"/>
        <v>4.2054565804754515E-2</v>
      </c>
      <c r="AP193" s="10">
        <f t="shared" si="49"/>
        <v>2.6096565744235343</v>
      </c>
      <c r="AQ193" s="10">
        <f t="shared" si="50"/>
        <v>149.52230769303651</v>
      </c>
      <c r="AR193" s="10">
        <f t="shared" si="51"/>
        <v>-27.523736931368511</v>
      </c>
      <c r="AS193" s="10">
        <f t="shared" si="52"/>
        <v>-43.003617799685514</v>
      </c>
      <c r="AT193" s="10">
        <f t="shared" si="53"/>
        <v>67.087900948958421</v>
      </c>
    </row>
    <row r="194" spans="25:46" x14ac:dyDescent="0.25">
      <c r="Y194" s="10">
        <v>192</v>
      </c>
      <c r="Z194" s="10">
        <f t="shared" si="44"/>
        <v>575439.93733715592</v>
      </c>
      <c r="AA194" s="10" t="str">
        <f t="shared" si="45"/>
        <v>3615595.75944116i</v>
      </c>
      <c r="AC194" s="10">
        <f>1/(2*$T$3+$T$6*$T$2/('4. Boost Inductor'!$B$11*$T$3^2)*($T$5))</f>
        <v>0.20979859335038364</v>
      </c>
      <c r="AD194" s="10" t="str">
        <f t="shared" ref="AD194:AD202" si="58">IMDIV(IMSUM(1,IMDIV(AA194,$W$3)),IMSUM(1,IMDIV(AA194,$W$5)))</f>
        <v>0.00162679458175713-0.0000179682454162308i</v>
      </c>
      <c r="AE194" s="10" t="str">
        <f t="shared" ref="AE194:AE202" si="59">IMDIV(IMSUM(1,IMDIV(IMPRODUCT(-1,AA194),$W$4)),IMSUM(1,IMDIV(AA194,$W$1*$W$2),IMDIV(IMPOWER(AA194,2),$W$1^2)))</f>
        <v>0.131600488624607-2.32933861965486i</v>
      </c>
      <c r="AF194" s="10" t="str">
        <f t="shared" si="46"/>
        <v>0.00825924714876784-0.181828008731234i</v>
      </c>
      <c r="AG194" s="10">
        <f t="shared" si="54"/>
        <v>0.18201549363345459</v>
      </c>
      <c r="AH194" s="10">
        <f t="shared" si="55"/>
        <v>-1.5254041243900531</v>
      </c>
      <c r="AI194" s="10">
        <f t="shared" si="56"/>
        <v>-87.399218379398874</v>
      </c>
      <c r="AJ194" s="10">
        <f t="shared" si="57"/>
        <v>-14.797832843252419</v>
      </c>
      <c r="AL194" s="10" t="str">
        <f t="shared" ref="AL194:AL202" si="60">IMDIV(IMSUM(1,IMDIV(AA194,wz1e)),IMSUM(1,IMDIV(AA194,wp1e)))</f>
        <v>0.0172181792111294-0.0000131276140153705i</v>
      </c>
      <c r="AM194" s="10" t="str">
        <f t="shared" ref="AM194:AM202" si="61">IMDIV(IMSUM(1,IMDIV(AA194,wz2e)),IMSUM(1,IMDIV(AA194,wp2e)))</f>
        <v>0.00974563542007539-0.00534505486140418i</v>
      </c>
      <c r="AN194" s="10" t="str">
        <f t="shared" si="47"/>
        <v>-0.0362300967443686+0.0199065706784146i</v>
      </c>
      <c r="AO194" s="10">
        <f t="shared" si="48"/>
        <v>4.1338740501870933E-2</v>
      </c>
      <c r="AP194" s="10">
        <f t="shared" si="49"/>
        <v>2.6391729923845015</v>
      </c>
      <c r="AQ194" s="10">
        <f t="shared" si="50"/>
        <v>151.21347386854407</v>
      </c>
      <c r="AR194" s="10">
        <f t="shared" si="51"/>
        <v>-27.672855189598007</v>
      </c>
      <c r="AS194" s="10">
        <f t="shared" si="52"/>
        <v>-42.470688032850425</v>
      </c>
      <c r="AT194" s="10">
        <f t="shared" si="53"/>
        <v>63.814255489145197</v>
      </c>
    </row>
    <row r="195" spans="25:46" x14ac:dyDescent="0.25">
      <c r="Y195" s="10">
        <v>193</v>
      </c>
      <c r="Z195" s="10">
        <f t="shared" ref="Z195:Z202" si="62">10^(LOG($F$3/$F$2,10)*Y195/200)</f>
        <v>616595.00186148204</v>
      </c>
      <c r="AA195" s="10" t="str">
        <f t="shared" ref="AA195:AA202" si="63">IMPRODUCT(COMPLEX(0,1),2*PI()*Z195)</f>
        <v>3874180.65617643i</v>
      </c>
      <c r="AC195" s="10">
        <f>1/(2*$T$3+$T$6*$T$2/('4. Boost Inductor'!$B$11*$T$3^2)*($T$5))</f>
        <v>0.20979859335038364</v>
      </c>
      <c r="AD195" s="10" t="str">
        <f t="shared" si="58"/>
        <v>0.00162679454002883-0.0000167689423131741i</v>
      </c>
      <c r="AE195" s="10" t="str">
        <f t="shared" si="59"/>
        <v>-0.102459177457224-2.53506219245503i</v>
      </c>
      <c r="AF195" s="10" t="str">
        <f t="shared" ref="AF195:AF202" si="64">IMPRODUCT(AB$2,AC195,AD195,AE195)</f>
        <v>-0.0100315061762553-0.197680971928539i</v>
      </c>
      <c r="AG195" s="10">
        <f t="shared" si="54"/>
        <v>0.19793533736747482</v>
      </c>
      <c r="AH195" s="10">
        <f t="shared" si="55"/>
        <v>-1.6214987716506939</v>
      </c>
      <c r="AI195" s="10">
        <f t="shared" si="56"/>
        <v>-92.905036101231971</v>
      </c>
      <c r="AJ195" s="10">
        <f t="shared" si="57"/>
        <v>-14.069533286798334</v>
      </c>
      <c r="AL195" s="10" t="str">
        <f t="shared" si="60"/>
        <v>0.0172181791885025-0.0000122514022393294i</v>
      </c>
      <c r="AM195" s="10" t="str">
        <f t="shared" si="61"/>
        <v>0.00974191271337657-0.00498831419011931i</v>
      </c>
      <c r="AN195" s="10" t="str">
        <f t="shared" ref="AN195:AN202" si="65">IMPRODUCT($AK$2,AL195,AM195)</f>
        <v>-0.0362182071371103+0.0185779525676953i</v>
      </c>
      <c r="AO195" s="10">
        <f t="shared" ref="AO195:AO202" si="66">IMABS(AN195)</f>
        <v>4.0705022415350213E-2</v>
      </c>
      <c r="AP195" s="10">
        <f t="shared" ref="AP195:AP202" si="67">IMARGUMENT(AN195)</f>
        <v>2.6676426620628879</v>
      </c>
      <c r="AQ195" s="10">
        <f t="shared" ref="AQ195:AQ202" si="68">AP195/(PI())*180</f>
        <v>152.8446657852472</v>
      </c>
      <c r="AR195" s="10">
        <f t="shared" ref="AR195:AR202" si="69">20*LOG(AO195,10)</f>
        <v>-27.807040035298023</v>
      </c>
      <c r="AS195" s="10">
        <f t="shared" ref="AS195:AS202" si="70">AR195+AJ195</f>
        <v>-41.876573322096355</v>
      </c>
      <c r="AT195" s="10">
        <f t="shared" ref="AT195:AT202" si="71">AQ195+AI195</f>
        <v>59.93962968401523</v>
      </c>
    </row>
    <row r="196" spans="25:46" x14ac:dyDescent="0.25">
      <c r="Y196" s="10">
        <v>194</v>
      </c>
      <c r="Z196" s="10">
        <f t="shared" si="62"/>
        <v>660693.44800759444</v>
      </c>
      <c r="AA196" s="10" t="str">
        <f t="shared" si="63"/>
        <v>4151259.36507114i</v>
      </c>
      <c r="AC196" s="10">
        <f>1/(2*$T$3+$T$6*$T$2/('4. Boost Inductor'!$B$11*$T$3^2)*($T$5))</f>
        <v>0.20979859335038364</v>
      </c>
      <c r="AD196" s="10" t="str">
        <f t="shared" si="58"/>
        <v>0.001626794503685-0.000015649687534156i</v>
      </c>
      <c r="AE196" s="10" t="str">
        <f t="shared" si="59"/>
        <v>-0.411964393499071-2.74098971568735i</v>
      </c>
      <c r="AF196" s="10" t="str">
        <f t="shared" si="64"/>
        <v>-0.0341948710186887-0.213518856622626i</v>
      </c>
      <c r="AG196" s="10">
        <f t="shared" si="54"/>
        <v>0.21623966180471674</v>
      </c>
      <c r="AH196" s="10">
        <f t="shared" si="55"/>
        <v>-1.7295970474662035</v>
      </c>
      <c r="AI196" s="10">
        <f t="shared" si="56"/>
        <v>-99.098611078101769</v>
      </c>
      <c r="AJ196" s="10">
        <f t="shared" si="57"/>
        <v>-13.30129293076488</v>
      </c>
      <c r="AL196" s="10" t="str">
        <f t="shared" si="60"/>
        <v>0.0172181791687952-0.0000114336738308774i</v>
      </c>
      <c r="AM196" s="10" t="str">
        <f t="shared" si="61"/>
        <v>0.0097386703485805-0.00465538091454418i</v>
      </c>
      <c r="AN196" s="10" t="str">
        <f t="shared" si="65"/>
        <v>-0.0362078516492835+0.0173380027966395i</v>
      </c>
      <c r="AO196" s="10">
        <f t="shared" si="66"/>
        <v>4.0144923241087427E-2</v>
      </c>
      <c r="AP196" s="10">
        <f t="shared" si="67"/>
        <v>2.695010605572751</v>
      </c>
      <c r="AQ196" s="10">
        <f t="shared" si="68"/>
        <v>154.41273344231482</v>
      </c>
      <c r="AR196" s="10">
        <f t="shared" si="69"/>
        <v>-27.927387362767881</v>
      </c>
      <c r="AS196" s="10">
        <f t="shared" si="70"/>
        <v>-41.228680293532761</v>
      </c>
      <c r="AT196" s="10">
        <f t="shared" si="71"/>
        <v>55.314122364213048</v>
      </c>
    </row>
    <row r="197" spans="25:46" x14ac:dyDescent="0.25">
      <c r="Y197" s="10">
        <v>195</v>
      </c>
      <c r="Z197" s="10">
        <f t="shared" si="62"/>
        <v>707945.78438413737</v>
      </c>
      <c r="AA197" s="10" t="str">
        <f t="shared" si="63"/>
        <v>4448154.55072214i</v>
      </c>
      <c r="AC197" s="10">
        <f>1/(2*$T$3+$T$6*$T$2/('4. Boost Inductor'!$B$11*$T$3^2)*($T$5))</f>
        <v>0.20979859335038364</v>
      </c>
      <c r="AD197" s="10" t="str">
        <f t="shared" si="58"/>
        <v>0.00162679447203084-0.0000146051381978432i</v>
      </c>
      <c r="AE197" s="10" t="str">
        <f t="shared" si="59"/>
        <v>-0.81925643268256-2.92451452125329i</v>
      </c>
      <c r="AF197" s="10" t="str">
        <f t="shared" si="64"/>
        <v>-0.0659594680918254-0.227571229370043i</v>
      </c>
      <c r="AG197" s="10">
        <f t="shared" si="54"/>
        <v>0.23693736697268597</v>
      </c>
      <c r="AH197" s="10">
        <f t="shared" si="55"/>
        <v>-1.8529070584552574</v>
      </c>
      <c r="AI197" s="10">
        <f t="shared" si="56"/>
        <v>-106.16375427948637</v>
      </c>
      <c r="AJ197" s="10">
        <f t="shared" si="57"/>
        <v>-12.507328841238257</v>
      </c>
      <c r="AL197" s="10" t="str">
        <f t="shared" si="60"/>
        <v>0.0172181791516309-0.0000106705252767626i</v>
      </c>
      <c r="AM197" s="10" t="str">
        <f t="shared" si="61"/>
        <v>0.00973584634959787-0.00434466665030753i</v>
      </c>
      <c r="AN197" s="10" t="str">
        <f t="shared" si="65"/>
        <v>-0.0361988323412004+0.0161808052320738i</v>
      </c>
      <c r="AO197" s="10">
        <f t="shared" si="66"/>
        <v>3.9650648428804322E-2</v>
      </c>
      <c r="AP197" s="10">
        <f t="shared" si="67"/>
        <v>2.7212380054836256</v>
      </c>
      <c r="AQ197" s="10">
        <f t="shared" si="68"/>
        <v>155.91545276480971</v>
      </c>
      <c r="AR197" s="10">
        <f t="shared" si="69"/>
        <v>-28.034994120648122</v>
      </c>
      <c r="AS197" s="10">
        <f t="shared" si="70"/>
        <v>-40.542322961886377</v>
      </c>
      <c r="AT197" s="10">
        <f t="shared" si="71"/>
        <v>49.751698485323345</v>
      </c>
    </row>
    <row r="198" spans="25:46" x14ac:dyDescent="0.25">
      <c r="Y198" s="10">
        <v>196</v>
      </c>
      <c r="Z198" s="10">
        <f t="shared" si="62"/>
        <v>758577.57502918295</v>
      </c>
      <c r="AA198" s="10" t="str">
        <f t="shared" si="63"/>
        <v>4766283.47377928i</v>
      </c>
      <c r="AC198" s="10">
        <f>1/(2*$T$3+$T$6*$T$2/('4. Boost Inductor'!$B$11*$T$3^2)*($T$5))</f>
        <v>0.20979859335038364</v>
      </c>
      <c r="AD198" s="10" t="str">
        <f t="shared" si="58"/>
        <v>0.00162679444446123-0.000013630308037248i</v>
      </c>
      <c r="AE198" s="10" t="str">
        <f t="shared" si="59"/>
        <v>-1.34435206661924-3.04339484711768i</v>
      </c>
      <c r="AF198" s="10" t="str">
        <f t="shared" si="64"/>
        <v>-0.106863821097571-0.236540308351076i</v>
      </c>
      <c r="AG198" s="10">
        <f t="shared" si="54"/>
        <v>0.25955961499123043</v>
      </c>
      <c r="AH198" s="10">
        <f t="shared" si="55"/>
        <v>-1.9951282540876163</v>
      </c>
      <c r="AI198" s="10">
        <f t="shared" si="56"/>
        <v>-114.31242854652494</v>
      </c>
      <c r="AJ198" s="10">
        <f t="shared" si="57"/>
        <v>-11.715257574169829</v>
      </c>
      <c r="AL198" s="10" t="str">
        <f t="shared" si="60"/>
        <v>0.0172181791366814-9.95831360645323E-06i</v>
      </c>
      <c r="AM198" s="10" t="str">
        <f t="shared" si="61"/>
        <v>0.00973338673618257-0.00405468890792086i</v>
      </c>
      <c r="AN198" s="10" t="str">
        <f t="shared" si="65"/>
        <v>-0.0361909768103572+0.0151008382247763i</v>
      </c>
      <c r="AO198" s="10">
        <f t="shared" si="66"/>
        <v>3.9215075131620966E-2</v>
      </c>
      <c r="AP198" s="10">
        <f t="shared" si="67"/>
        <v>2.7463009911869856</v>
      </c>
      <c r="AQ198" s="10">
        <f t="shared" si="68"/>
        <v>157.35145606760895</v>
      </c>
      <c r="AR198" s="10">
        <f t="shared" si="69"/>
        <v>-28.130938971885847</v>
      </c>
      <c r="AS198" s="10">
        <f t="shared" si="70"/>
        <v>-39.84619654605568</v>
      </c>
      <c r="AT198" s="10">
        <f t="shared" si="71"/>
        <v>43.039027521084009</v>
      </c>
    </row>
    <row r="199" spans="25:46" x14ac:dyDescent="0.25">
      <c r="Y199" s="10">
        <v>197</v>
      </c>
      <c r="Z199" s="10">
        <f t="shared" si="62"/>
        <v>812830.51616409956</v>
      </c>
      <c r="AA199" s="10" t="str">
        <f t="shared" si="63"/>
        <v>5107164.75638947i</v>
      </c>
      <c r="AC199" s="10">
        <f>1/(2*$T$3+$T$6*$T$2/('4. Boost Inductor'!$B$11*$T$3^2)*($T$5))</f>
        <v>0.20979859335038364</v>
      </c>
      <c r="AD199" s="10" t="str">
        <f t="shared" si="58"/>
        <v>0.0016267944204491-0.0000127205435972554i</v>
      </c>
      <c r="AE199" s="10" t="str">
        <f t="shared" si="59"/>
        <v>-1.98952592304472-3.0288594544252i</v>
      </c>
      <c r="AF199" s="10" t="str">
        <f t="shared" si="64"/>
        <v>-0.157052992791942-0.235071474242717i</v>
      </c>
      <c r="AG199" s="10">
        <f t="shared" si="54"/>
        <v>0.28270875569665355</v>
      </c>
      <c r="AH199" s="10">
        <f t="shared" si="55"/>
        <v>-2.1597957018635809</v>
      </c>
      <c r="AI199" s="10">
        <f t="shared" si="56"/>
        <v>-123.74717832727862</v>
      </c>
      <c r="AJ199" s="10">
        <f t="shared" si="57"/>
        <v>-10.97321481769759</v>
      </c>
      <c r="AL199" s="10" t="str">
        <f t="shared" si="60"/>
        <v>0.017218179123661-9.29363900203082E-06i</v>
      </c>
      <c r="AM199" s="10" t="str">
        <f t="shared" si="61"/>
        <v>0.00973124449249729-0.00378406404775873i</v>
      </c>
      <c r="AN199" s="10" t="str">
        <f t="shared" si="65"/>
        <v>-0.0361841348972313+0.014092948352823i</v>
      </c>
      <c r="AO199" s="10">
        <f t="shared" si="66"/>
        <v>3.8831724292598298E-2</v>
      </c>
      <c r="AP199" s="10">
        <f t="shared" si="67"/>
        <v>2.7701891728715324</v>
      </c>
      <c r="AQ199" s="10">
        <f t="shared" si="68"/>
        <v>158.72014805837523</v>
      </c>
      <c r="AR199" s="10">
        <f t="shared" si="69"/>
        <v>-28.216266490323282</v>
      </c>
      <c r="AS199" s="10">
        <f t="shared" si="70"/>
        <v>-39.189481308020873</v>
      </c>
      <c r="AT199" s="10">
        <f t="shared" si="71"/>
        <v>34.972969731096612</v>
      </c>
    </row>
    <row r="200" spans="25:46" x14ac:dyDescent="0.25">
      <c r="Y200" s="10">
        <v>198</v>
      </c>
      <c r="Z200" s="10">
        <f t="shared" si="62"/>
        <v>870963.58995607914</v>
      </c>
      <c r="AA200" s="10" t="str">
        <f t="shared" si="63"/>
        <v>5472425.63150042i</v>
      </c>
      <c r="AC200" s="10">
        <f>1/(2*$T$3+$T$6*$T$2/('4. Boost Inductor'!$B$11*$T$3^2)*($T$5))</f>
        <v>0.20979859335038364</v>
      </c>
      <c r="AD200" s="10" t="str">
        <f t="shared" si="58"/>
        <v>0.0016267943995354-0.000011871502020863i</v>
      </c>
      <c r="AE200" s="10" t="str">
        <f t="shared" si="59"/>
        <v>-2.71046108949471-2.79177610268073i</v>
      </c>
      <c r="AF200" s="10" t="str">
        <f t="shared" si="64"/>
        <v>-0.213035749497765-0.216246890231603i</v>
      </c>
      <c r="AG200" s="10">
        <f t="shared" si="54"/>
        <v>0.30355715787790849</v>
      </c>
      <c r="AH200" s="10">
        <f t="shared" si="55"/>
        <v>-2.3487143814097156</v>
      </c>
      <c r="AI200" s="10">
        <f t="shared" si="56"/>
        <v>-134.57142133645661</v>
      </c>
      <c r="AJ200" s="10">
        <f t="shared" si="57"/>
        <v>-10.355190440124593</v>
      </c>
      <c r="AL200" s="10" t="str">
        <f t="shared" si="60"/>
        <v>0.0172181791123205-8.67332856879998E-06i</v>
      </c>
      <c r="AM200" s="10" t="str">
        <f t="shared" si="61"/>
        <v>0.00972937866869476-0.00353150070095845i</v>
      </c>
      <c r="AN200" s="10" t="str">
        <f t="shared" si="65"/>
        <v>-0.0361781758159034+0.013152325903708i</v>
      </c>
      <c r="AO200" s="10">
        <f t="shared" si="66"/>
        <v>3.8494727977266788E-2</v>
      </c>
      <c r="AP200" s="10">
        <f t="shared" si="67"/>
        <v>2.7929040309579021</v>
      </c>
      <c r="AQ200" s="10">
        <f t="shared" si="68"/>
        <v>160.0216135589628</v>
      </c>
      <c r="AR200" s="10">
        <f t="shared" si="69"/>
        <v>-28.291974899263991</v>
      </c>
      <c r="AS200" s="10">
        <f t="shared" si="70"/>
        <v>-38.647165339388586</v>
      </c>
      <c r="AT200" s="10">
        <f t="shared" si="71"/>
        <v>25.450192222506189</v>
      </c>
    </row>
    <row r="201" spans="25:46" x14ac:dyDescent="0.25">
      <c r="Y201" s="10">
        <v>199</v>
      </c>
      <c r="Z201" s="10">
        <f t="shared" si="62"/>
        <v>933254.30079698924</v>
      </c>
      <c r="AA201" s="10" t="str">
        <f t="shared" si="63"/>
        <v>5863809.7106298i</v>
      </c>
      <c r="AC201" s="10">
        <f>1/(2*$T$3+$T$6*$T$2/('4. Boost Inductor'!$B$11*$T$3^2)*($T$5))</f>
        <v>0.20979859335038364</v>
      </c>
      <c r="AD201" s="10" t="str">
        <f t="shared" si="58"/>
        <v>0.00162679438132034-0.0000110791303180927i</v>
      </c>
      <c r="AE201" s="10" t="str">
        <f t="shared" si="59"/>
        <v>-3.38788986046834-2.26336415269656i</v>
      </c>
      <c r="AF201" s="10" t="str">
        <f t="shared" si="64"/>
        <v>-0.265495986058843-0.174767897053445i</v>
      </c>
      <c r="AG201" s="10">
        <f t="shared" si="54"/>
        <v>0.31785521303549658</v>
      </c>
      <c r="AH201" s="10">
        <f t="shared" si="55"/>
        <v>-2.5594260591230098</v>
      </c>
      <c r="AI201" s="10">
        <f t="shared" si="56"/>
        <v>-146.64431116354916</v>
      </c>
      <c r="AJ201" s="10">
        <f t="shared" si="57"/>
        <v>-9.955413229173578</v>
      </c>
      <c r="AL201" s="10" t="str">
        <f t="shared" si="60"/>
        <v>0.0172181791024434-8.09442118913933E-06i</v>
      </c>
      <c r="AM201" s="10" t="str">
        <f t="shared" si="61"/>
        <v>0.00972775359836883-0.00329579362594614i</v>
      </c>
      <c r="AN201" s="10" t="str">
        <f t="shared" si="65"/>
        <v>-0.0361729856547486+0.0122744819817536i</v>
      </c>
      <c r="AO201" s="10">
        <f t="shared" si="66"/>
        <v>3.8198793162861067E-2</v>
      </c>
      <c r="AP201" s="10">
        <f t="shared" si="67"/>
        <v>2.8144572537152959</v>
      </c>
      <c r="AQ201" s="10">
        <f t="shared" si="68"/>
        <v>161.25652225786678</v>
      </c>
      <c r="AR201" s="10">
        <f t="shared" si="69"/>
        <v>-28.359007155896382</v>
      </c>
      <c r="AS201" s="10">
        <f t="shared" si="70"/>
        <v>-38.314420385069958</v>
      </c>
      <c r="AT201" s="10">
        <f t="shared" si="71"/>
        <v>14.612211094317615</v>
      </c>
    </row>
    <row r="202" spans="25:46" x14ac:dyDescent="0.25">
      <c r="Y202" s="10">
        <v>200</v>
      </c>
      <c r="Z202" s="10">
        <f t="shared" si="62"/>
        <v>999999.99999999953</v>
      </c>
      <c r="AA202" s="10" t="str">
        <f t="shared" si="63"/>
        <v>6283185.30717958i</v>
      </c>
      <c r="AC202" s="10">
        <f>1/(2*$T$3+$T$6*$T$2/('4. Boost Inductor'!$B$11*$T$3^2)*($T$5))</f>
        <v>0.20979859335038364</v>
      </c>
      <c r="AD202" s="10" t="str">
        <f t="shared" si="58"/>
        <v>0.00162679436545569-0.0000103396460186146i</v>
      </c>
      <c r="AE202" s="10" t="str">
        <f t="shared" si="59"/>
        <v>-3.84784520668425-1.46976860375102i</v>
      </c>
      <c r="AF202" s="10" t="str">
        <f t="shared" si="64"/>
        <v>-0.300903922081443-0.112750603855545i</v>
      </c>
      <c r="AG202" s="10">
        <f t="shared" si="54"/>
        <v>0.32133451260918916</v>
      </c>
      <c r="AH202" s="10">
        <f t="shared" si="55"/>
        <v>-2.783079473653665</v>
      </c>
      <c r="AI202" s="10">
        <f t="shared" si="56"/>
        <v>-159.45870788984561</v>
      </c>
      <c r="AJ202" s="10">
        <f t="shared" si="57"/>
        <v>-9.8608525396525852</v>
      </c>
      <c r="AL202" s="10" t="str">
        <f t="shared" si="60"/>
        <v>0.0172181790938409-7.55415338729269E-06i</v>
      </c>
      <c r="AM202" s="10" t="str">
        <f t="shared" si="61"/>
        <v>0.00972633821693815-0.00307581797216824i</v>
      </c>
      <c r="AN202" s="10" t="str">
        <f t="shared" si="65"/>
        <v>-0.0361684651994835+0.0114552271344171i</v>
      </c>
      <c r="AO202" s="10">
        <f t="shared" si="66"/>
        <v>3.7939163190393844E-2</v>
      </c>
      <c r="AP202" s="10">
        <f t="shared" si="67"/>
        <v>2.8348690976962865</v>
      </c>
      <c r="AQ202" s="10">
        <f t="shared" si="68"/>
        <v>162.42603477005707</v>
      </c>
      <c r="AR202" s="10">
        <f t="shared" si="69"/>
        <v>-28.418245048178676</v>
      </c>
      <c r="AS202" s="10">
        <f t="shared" si="70"/>
        <v>-38.279097587831259</v>
      </c>
      <c r="AT202" s="10">
        <f t="shared" si="71"/>
        <v>2.9673268802114592</v>
      </c>
    </row>
  </sheetData>
  <sheetProtection algorithmName="SHA-512" hashValue="xH+jxhKfPSnicrozpsDpGsrDaHIFrKgZnS/ofRaLOpwubjbEn4Jm4/PJ07xuctWZBNkAcqKGEtM4nEBOzn/Qjw==" saltValue="5OH+2/266Yl1TAXSShk6yA==" spinCount="100000" sheet="1" objects="1" scenarios="1" selectLockedCells="1"/>
  <customSheetViews>
    <customSheetView guid="{25ED444C-8CCE-464F-9E26-1EDA12EA830D}" scale="85">
      <selection activeCell="E7" sqref="E7"/>
      <pageMargins left="0.7" right="0.7" top="0.75" bottom="0.75" header="0.3" footer="0.3"/>
      <pageSetup orientation="portrait" r:id="rId1"/>
    </customSheetView>
  </customSheetViews>
  <conditionalFormatting sqref="E4">
    <cfRule type="notContainsBlanks" dxfId="0" priority="1">
      <formula>LEN(TRIM(E4))&gt;0</formula>
    </cfRule>
  </conditionalFormatting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F35" sqref="F35"/>
    </sheetView>
  </sheetViews>
  <sheetFormatPr defaultRowHeight="15" x14ac:dyDescent="0.25"/>
  <sheetData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"/>
  <sheetViews>
    <sheetView topLeftCell="A4" workbookViewId="0">
      <selection activeCell="J45" sqref="J45"/>
    </sheetView>
  </sheetViews>
  <sheetFormatPr defaultRowHeight="15" x14ac:dyDescent="0.25"/>
  <sheetData>
    <row r="1" spans="1:4" hidden="1" x14ac:dyDescent="0.25">
      <c r="B1" t="s">
        <v>32</v>
      </c>
      <c r="C1" t="s">
        <v>65</v>
      </c>
      <c r="D1" t="s">
        <v>34</v>
      </c>
    </row>
    <row r="2" spans="1:4" hidden="1" x14ac:dyDescent="0.25">
      <c r="A2" t="s">
        <v>64</v>
      </c>
      <c r="B2">
        <f>1-Vin_max/Vout</f>
        <v>0.19999999999999996</v>
      </c>
      <c r="C2">
        <f>1-Vin_nominal/Vout</f>
        <v>0.4</v>
      </c>
      <c r="D2">
        <f>1-Vin_min/Vout</f>
        <v>0.6</v>
      </c>
    </row>
    <row r="3" spans="1:4" hidden="1" x14ac:dyDescent="0.25">
      <c r="A3" t="s">
        <v>9</v>
      </c>
      <c r="C3">
        <f>1/('2. Design Parameters'!C6*1000)</f>
        <v>4.9999999999999998E-7</v>
      </c>
    </row>
  </sheetData>
  <sheetProtection password="F725" sheet="1" objects="1" scenarios="1"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0"/>
  <sheetViews>
    <sheetView workbookViewId="0">
      <selection activeCell="D5" sqref="D5"/>
    </sheetView>
  </sheetViews>
  <sheetFormatPr defaultRowHeight="15" x14ac:dyDescent="0.25"/>
  <cols>
    <col min="1" max="1" width="20.5703125" customWidth="1"/>
    <col min="2" max="2" width="13" customWidth="1"/>
    <col min="6" max="6" width="39" customWidth="1"/>
  </cols>
  <sheetData>
    <row r="1" spans="1:6" x14ac:dyDescent="0.25">
      <c r="A1" t="s">
        <v>31</v>
      </c>
    </row>
    <row r="2" spans="1:6" x14ac:dyDescent="0.25">
      <c r="B2" t="s">
        <v>32</v>
      </c>
      <c r="C2" t="s">
        <v>33</v>
      </c>
      <c r="D2" t="s">
        <v>34</v>
      </c>
      <c r="E2" t="s">
        <v>36</v>
      </c>
    </row>
    <row r="3" spans="1:6" x14ac:dyDescent="0.25">
      <c r="A3" t="s">
        <v>0</v>
      </c>
      <c r="B3" s="12">
        <v>8</v>
      </c>
      <c r="C3" s="12">
        <v>12</v>
      </c>
      <c r="D3" s="12">
        <v>16</v>
      </c>
      <c r="E3" s="13" t="s">
        <v>37</v>
      </c>
    </row>
    <row r="4" spans="1:6" x14ac:dyDescent="0.25">
      <c r="A4" t="s">
        <v>1</v>
      </c>
      <c r="B4" s="13"/>
      <c r="C4" s="12">
        <v>20</v>
      </c>
      <c r="D4" s="13"/>
      <c r="E4" s="13" t="s">
        <v>37</v>
      </c>
      <c r="F4" s="8"/>
    </row>
    <row r="5" spans="1:6" x14ac:dyDescent="0.25">
      <c r="A5" t="s">
        <v>2</v>
      </c>
      <c r="B5" s="13"/>
      <c r="C5" s="13"/>
      <c r="D5" s="12">
        <v>0.5</v>
      </c>
      <c r="E5" s="13" t="s">
        <v>38</v>
      </c>
    </row>
    <row r="6" spans="1:6" x14ac:dyDescent="0.25">
      <c r="A6" t="s">
        <v>8</v>
      </c>
      <c r="B6" s="14">
        <v>1800</v>
      </c>
      <c r="C6" s="14">
        <v>2000</v>
      </c>
      <c r="D6" s="14">
        <v>2200</v>
      </c>
      <c r="E6" s="13" t="s">
        <v>46</v>
      </c>
    </row>
    <row r="7" spans="1:6" x14ac:dyDescent="0.25">
      <c r="A7" t="s">
        <v>6</v>
      </c>
      <c r="B7" s="14"/>
      <c r="C7" s="14">
        <v>68</v>
      </c>
      <c r="D7" s="14"/>
      <c r="E7" s="13" t="s">
        <v>131</v>
      </c>
    </row>
    <row r="8" spans="1:6" x14ac:dyDescent="0.25">
      <c r="A8" t="s">
        <v>35</v>
      </c>
      <c r="B8" s="14">
        <v>85</v>
      </c>
      <c r="C8" s="15">
        <v>88</v>
      </c>
      <c r="D8" s="14">
        <v>90</v>
      </c>
      <c r="E8" s="13" t="s">
        <v>39</v>
      </c>
      <c r="F8" s="8" t="str">
        <f>IF(Dconv_max*100&gt;Dmax_min,"Required Dmax is higher than device Dmax","")</f>
        <v/>
      </c>
    </row>
    <row r="9" spans="1:6" x14ac:dyDescent="0.25">
      <c r="A9" t="s">
        <v>40</v>
      </c>
      <c r="B9" s="14"/>
      <c r="C9" s="15">
        <v>6.3</v>
      </c>
      <c r="D9" s="14"/>
      <c r="E9" s="13" t="s">
        <v>37</v>
      </c>
    </row>
    <row r="10" spans="1:6" x14ac:dyDescent="0.25">
      <c r="A10" t="s">
        <v>44</v>
      </c>
      <c r="B10" s="14">
        <v>360</v>
      </c>
      <c r="C10" s="15">
        <v>400</v>
      </c>
      <c r="D10" s="14">
        <v>440</v>
      </c>
      <c r="E10" s="13" t="s">
        <v>45</v>
      </c>
    </row>
  </sheetData>
  <sheetProtection algorithmName="SHA-512" hashValue="T1c6j/KQbH4kZwr1YnRMdIzCR4qrkn23ao+pC7OXJPrCy5cCGO75PQIRAWN32eB5uQ72La12I77gx5gW5TdSsw==" saltValue="wtJxq34JNyyqyoIVm48jVQ==" spinCount="100000" sheet="1" objects="1" scenarios="1" selectLockedCells="1"/>
  <customSheetViews>
    <customSheetView guid="{25ED444C-8CCE-464F-9E26-1EDA12EA830D}">
      <selection activeCell="G32" sqref="G32"/>
      <pageMargins left="0.7" right="0.7" top="0.75" bottom="0.75" header="0.3" footer="0.3"/>
    </customSheetView>
  </customSheetViews>
  <conditionalFormatting sqref="F4 F8">
    <cfRule type="notContainsBlanks" dxfId="1" priority="3">
      <formula>LEN(TRIM(F4))&gt;0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0"/>
  <sheetViews>
    <sheetView zoomScale="190" zoomScaleNormal="190" workbookViewId="0">
      <selection activeCell="B9" sqref="B9"/>
    </sheetView>
  </sheetViews>
  <sheetFormatPr defaultRowHeight="15" x14ac:dyDescent="0.25"/>
  <cols>
    <col min="1" max="1" width="17" customWidth="1"/>
    <col min="3" max="3" width="9.7109375" customWidth="1"/>
    <col min="4" max="6" width="9.140625" hidden="1" customWidth="1"/>
  </cols>
  <sheetData>
    <row r="1" spans="1:6" x14ac:dyDescent="0.25">
      <c r="A1" t="s">
        <v>41</v>
      </c>
      <c r="F1" s="8">
        <v>1</v>
      </c>
    </row>
    <row r="7" spans="1:6" x14ac:dyDescent="0.25">
      <c r="A7" t="str">
        <f>IF(F1=1,"Rupper","Rlower")</f>
        <v>Rupper</v>
      </c>
      <c r="B7" s="2">
        <v>9400</v>
      </c>
      <c r="C7" s="1" t="s">
        <v>43</v>
      </c>
      <c r="D7" s="8">
        <f>IF(F1=1,B7,B9)</f>
        <v>9400</v>
      </c>
    </row>
    <row r="8" spans="1:6" x14ac:dyDescent="0.25">
      <c r="A8" t="str">
        <f>IF(F1=1,"Suggested Rlower","Suggested Rupper")</f>
        <v>Suggested Rlower</v>
      </c>
      <c r="B8" s="3">
        <f>IF(F1=1,B7/(Vout/1.2-1),B7*(Vout/1.2-1))</f>
        <v>600</v>
      </c>
      <c r="C8" s="1" t="s">
        <v>43</v>
      </c>
      <c r="D8" s="8">
        <f>IF(F1=1,B9,B7)</f>
        <v>600</v>
      </c>
    </row>
    <row r="9" spans="1:6" x14ac:dyDescent="0.25">
      <c r="A9" t="str">
        <f>IF(F1=1,"Rlower used","Rupper used")</f>
        <v>Rlower used</v>
      </c>
      <c r="B9" s="2">
        <v>600</v>
      </c>
      <c r="C9" s="1" t="s">
        <v>43</v>
      </c>
    </row>
    <row r="10" spans="1:6" x14ac:dyDescent="0.25">
      <c r="A10" t="s">
        <v>42</v>
      </c>
      <c r="B10" s="3">
        <f>IF(F1=1,1.2*(B7+B9)/B9,1.2*(B7+B9)/B7)</f>
        <v>20</v>
      </c>
      <c r="C10" s="4" t="s">
        <v>37</v>
      </c>
    </row>
  </sheetData>
  <sheetProtection password="F725" sheet="1" objects="1" scenarios="1" selectLockedCells="1"/>
  <customSheetViews>
    <customSheetView guid="{25ED444C-8CCE-464F-9E26-1EDA12EA830D}" scale="190">
      <selection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Option Button 7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95250</xdr:rowOff>
                  </from>
                  <to>
                    <xdr:col>7</xdr:col>
                    <xdr:colOff>47625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Option Button 8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9525</xdr:rowOff>
                  </from>
                  <to>
                    <xdr:col>7</xdr:col>
                    <xdr:colOff>47625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11"/>
  <sheetViews>
    <sheetView workbookViewId="0">
      <selection activeCell="B7" sqref="B7"/>
    </sheetView>
  </sheetViews>
  <sheetFormatPr defaultRowHeight="15" x14ac:dyDescent="0.25"/>
  <cols>
    <col min="1" max="1" width="49.28515625" customWidth="1"/>
  </cols>
  <sheetData>
    <row r="2" spans="1:5" x14ac:dyDescent="0.25">
      <c r="A2" t="s">
        <v>51</v>
      </c>
      <c r="B2" s="2">
        <v>80</v>
      </c>
      <c r="C2" t="s">
        <v>39</v>
      </c>
      <c r="D2" t="s">
        <v>56</v>
      </c>
      <c r="E2" s="3">
        <f>SQRT(B3^2+B8^2/3)</f>
        <v>1.5834297810130946</v>
      </c>
    </row>
    <row r="3" spans="1:5" x14ac:dyDescent="0.25">
      <c r="A3" t="s">
        <v>47</v>
      </c>
      <c r="B3" s="3">
        <f>Ioutmax*Vout/(Vin_min*B2/100)</f>
        <v>1.5625</v>
      </c>
      <c r="C3" t="s">
        <v>38</v>
      </c>
      <c r="D3" t="s">
        <v>57</v>
      </c>
      <c r="E3" s="3">
        <f>B8/2+B3</f>
        <v>1.7847222222222223</v>
      </c>
    </row>
    <row r="4" spans="1:5" x14ac:dyDescent="0.25">
      <c r="A4" t="s">
        <v>49</v>
      </c>
      <c r="B4" s="2">
        <v>30</v>
      </c>
      <c r="C4" t="s">
        <v>39</v>
      </c>
    </row>
    <row r="5" spans="1:5" x14ac:dyDescent="0.25">
      <c r="A5" t="s">
        <v>50</v>
      </c>
      <c r="B5" s="3">
        <f>B3*B4/100</f>
        <v>0.46875</v>
      </c>
      <c r="C5" t="s">
        <v>38</v>
      </c>
    </row>
    <row r="6" spans="1:5" x14ac:dyDescent="0.25">
      <c r="A6" t="s">
        <v>52</v>
      </c>
      <c r="B6" s="3">
        <f>B2/100*Vin_min^2*(1-Vin_min/Vout)/(B4/100*Fsw_min*1000*(Vout*Ioutmax))*1000000</f>
        <v>5.6888888888888882</v>
      </c>
      <c r="C6" s="1" t="s">
        <v>53</v>
      </c>
    </row>
    <row r="7" spans="1:5" x14ac:dyDescent="0.25">
      <c r="A7" t="s">
        <v>54</v>
      </c>
      <c r="B7" s="2">
        <v>6</v>
      </c>
      <c r="C7" s="1" t="s">
        <v>53</v>
      </c>
    </row>
    <row r="8" spans="1:5" x14ac:dyDescent="0.25">
      <c r="A8" t="s">
        <v>55</v>
      </c>
      <c r="B8" s="3">
        <f>Vin_min*(1-Vin_min/Vout)/(Fsw_min*B7/1000)</f>
        <v>0.44444444444444442</v>
      </c>
      <c r="C8" s="4" t="s">
        <v>38</v>
      </c>
      <c r="D8" t="str">
        <f>IF(B8&gt;B5,"Inductor smaller than recommended, ripple is higher than requested","")</f>
        <v/>
      </c>
    </row>
    <row r="9" spans="1:5" x14ac:dyDescent="0.25">
      <c r="C9" s="4"/>
    </row>
    <row r="11" spans="1:5" s="5" customFormat="1" hidden="1" x14ac:dyDescent="0.25">
      <c r="A11" s="5" t="s">
        <v>3</v>
      </c>
      <c r="B11" s="8">
        <f>B7/1000000</f>
        <v>6.0000000000000002E-6</v>
      </c>
    </row>
  </sheetData>
  <sheetProtection password="F725" sheet="1" objects="1" scenarios="1" selectLockedCells="1"/>
  <customSheetViews>
    <customSheetView guid="{25ED444C-8CCE-464F-9E26-1EDA12EA830D}">
      <selection activeCell="B3" sqref="B3"/>
      <pageMargins left="0.7" right="0.7" top="0.75" bottom="0.75" header="0.3" footer="0.3"/>
    </customSheetView>
  </customSheetViews>
  <conditionalFormatting sqref="D8">
    <cfRule type="notContainsBlanks" priority="1">
      <formula>LEN(TRIM(D8))&gt;0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11"/>
  <sheetViews>
    <sheetView workbookViewId="0">
      <selection activeCell="B7" sqref="B7"/>
    </sheetView>
  </sheetViews>
  <sheetFormatPr defaultRowHeight="15" x14ac:dyDescent="0.25"/>
  <cols>
    <col min="1" max="1" width="36.5703125" customWidth="1"/>
    <col min="4" max="4" width="45.7109375" customWidth="1"/>
  </cols>
  <sheetData>
    <row r="2" spans="1:6" x14ac:dyDescent="0.25">
      <c r="A2" t="s">
        <v>58</v>
      </c>
      <c r="B2" s="3">
        <f>IPeakL</f>
        <v>1.7847222222222223</v>
      </c>
      <c r="C2" t="s">
        <v>38</v>
      </c>
    </row>
    <row r="3" spans="1:6" x14ac:dyDescent="0.25">
      <c r="A3" t="s">
        <v>59</v>
      </c>
      <c r="B3" s="2">
        <v>2.1</v>
      </c>
      <c r="C3" t="s">
        <v>38</v>
      </c>
    </row>
    <row r="4" spans="1:6" x14ac:dyDescent="0.25">
      <c r="A4" t="s">
        <v>60</v>
      </c>
      <c r="B4" s="3">
        <f>vcl_min/B3</f>
        <v>171.42857142857142</v>
      </c>
      <c r="C4" t="s">
        <v>62</v>
      </c>
    </row>
    <row r="5" spans="1:6" x14ac:dyDescent="0.25">
      <c r="A5" t="s">
        <v>61</v>
      </c>
      <c r="B5" s="2">
        <v>175</v>
      </c>
      <c r="C5" t="s">
        <v>62</v>
      </c>
      <c r="D5" t="s">
        <v>63</v>
      </c>
      <c r="E5" s="3">
        <f>Dconv_max*IrmsL^2*B5/1000</f>
        <v>0.26326123649691352</v>
      </c>
      <c r="F5" t="s">
        <v>68</v>
      </c>
    </row>
    <row r="6" spans="1:6" x14ac:dyDescent="0.25">
      <c r="A6" t="s">
        <v>66</v>
      </c>
      <c r="B6" s="3">
        <f>vcl_min/B5</f>
        <v>2.0571428571428569</v>
      </c>
      <c r="C6" t="s">
        <v>38</v>
      </c>
    </row>
    <row r="7" spans="1:6" x14ac:dyDescent="0.25">
      <c r="A7" t="s">
        <v>67</v>
      </c>
      <c r="B7" s="3">
        <f>vcl_max/B5</f>
        <v>2.5142857142857142</v>
      </c>
      <c r="C7" t="s">
        <v>38</v>
      </c>
    </row>
    <row r="11" spans="1:6" hidden="1" x14ac:dyDescent="0.25">
      <c r="B11" s="6">
        <f>B5/1000</f>
        <v>0.17499999999999999</v>
      </c>
    </row>
  </sheetData>
  <sheetProtection password="F725" sheet="1" objects="1" scenarios="1"/>
  <customSheetViews>
    <customSheetView guid="{25ED444C-8CCE-464F-9E26-1EDA12EA830D}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15"/>
  <sheetViews>
    <sheetView workbookViewId="0">
      <selection activeCell="B3" sqref="B3"/>
    </sheetView>
  </sheetViews>
  <sheetFormatPr defaultRowHeight="15" x14ac:dyDescent="0.25"/>
  <cols>
    <col min="1" max="1" width="29" customWidth="1"/>
    <col min="2" max="2" width="9.5703125" customWidth="1"/>
  </cols>
  <sheetData>
    <row r="2" spans="1:3" x14ac:dyDescent="0.25">
      <c r="A2" t="s">
        <v>69</v>
      </c>
      <c r="B2" s="2">
        <v>1000</v>
      </c>
      <c r="C2" s="1" t="s">
        <v>83</v>
      </c>
    </row>
    <row r="3" spans="1:3" x14ac:dyDescent="0.25">
      <c r="A3" t="s">
        <v>70</v>
      </c>
      <c r="B3" s="2">
        <v>25</v>
      </c>
      <c r="C3" t="s">
        <v>62</v>
      </c>
    </row>
    <row r="4" spans="1:3" x14ac:dyDescent="0.25">
      <c r="A4" t="s">
        <v>86</v>
      </c>
      <c r="B4" s="3">
        <f>Vin_min</f>
        <v>8</v>
      </c>
      <c r="C4" t="s">
        <v>37</v>
      </c>
    </row>
    <row r="5" spans="1:3" x14ac:dyDescent="0.25">
      <c r="A5" t="s">
        <v>81</v>
      </c>
      <c r="B5" s="3">
        <f>Ioutmax*Dconv_max/(B2*Fsw_min)+B3*(Ioutmax/(1-Dconv_max)+Iripple/2)</f>
        <v>36.805555722222223</v>
      </c>
      <c r="C5" t="s">
        <v>45</v>
      </c>
    </row>
    <row r="6" spans="1:3" x14ac:dyDescent="0.25">
      <c r="A6" t="s">
        <v>82</v>
      </c>
      <c r="B6" s="3">
        <f>Ioutmax*SQRT(Dconv_max/(1-Dconv_max)+Dconv_max/12*((1-Dconv_max)/(Lo/(Rout*Tsw)))^2)</f>
        <v>0.6302556800396345</v>
      </c>
      <c r="C6" t="s">
        <v>38</v>
      </c>
    </row>
    <row r="14" spans="1:3" hidden="1" x14ac:dyDescent="0.25">
      <c r="A14" t="s">
        <v>4</v>
      </c>
      <c r="C14" s="9">
        <f>B2*10^-6</f>
        <v>1E-3</v>
      </c>
    </row>
    <row r="15" spans="1:3" hidden="1" x14ac:dyDescent="0.25">
      <c r="A15" t="s">
        <v>5</v>
      </c>
      <c r="C15" s="9">
        <f>B3*10^-3</f>
        <v>2.5000000000000001E-2</v>
      </c>
    </row>
  </sheetData>
  <sheetProtection password="F725" sheet="1" objects="1" scenarios="1" selectLockedCells="1"/>
  <customSheetViews>
    <customSheetView guid="{25ED444C-8CCE-464F-9E26-1EDA12EA830D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6"/>
  <sheetViews>
    <sheetView workbookViewId="0">
      <selection activeCell="B4" sqref="B4"/>
    </sheetView>
  </sheetViews>
  <sheetFormatPr defaultRowHeight="15" x14ac:dyDescent="0.25"/>
  <cols>
    <col min="1" max="1" width="26.7109375" customWidth="1"/>
  </cols>
  <sheetData>
    <row r="2" spans="1:3" x14ac:dyDescent="0.25">
      <c r="A2" t="s">
        <v>71</v>
      </c>
      <c r="B2" s="2"/>
      <c r="C2" s="1" t="s">
        <v>83</v>
      </c>
    </row>
    <row r="3" spans="1:3" x14ac:dyDescent="0.25">
      <c r="A3" t="s">
        <v>70</v>
      </c>
      <c r="B3" s="2"/>
      <c r="C3" t="s">
        <v>62</v>
      </c>
    </row>
    <row r="4" spans="1:3" x14ac:dyDescent="0.25">
      <c r="A4" t="s">
        <v>86</v>
      </c>
      <c r="B4" s="3"/>
      <c r="C4" t="s">
        <v>37</v>
      </c>
    </row>
    <row r="5" spans="1:3" x14ac:dyDescent="0.25">
      <c r="A5" t="s">
        <v>84</v>
      </c>
      <c r="B5" s="3"/>
      <c r="C5" t="s">
        <v>45</v>
      </c>
    </row>
    <row r="6" spans="1:3" x14ac:dyDescent="0.25">
      <c r="A6" t="s">
        <v>85</v>
      </c>
      <c r="B6" s="3"/>
      <c r="C6" t="s">
        <v>38</v>
      </c>
    </row>
  </sheetData>
  <customSheetViews>
    <customSheetView guid="{25ED444C-8CCE-464F-9E26-1EDA12EA830D}">
      <selection activeCell="A19" sqref="A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5"/>
  <sheetViews>
    <sheetView workbookViewId="0">
      <selection activeCell="B1" sqref="B1"/>
    </sheetView>
  </sheetViews>
  <sheetFormatPr defaultRowHeight="15" x14ac:dyDescent="0.25"/>
  <cols>
    <col min="1" max="1" width="24" customWidth="1"/>
  </cols>
  <sheetData>
    <row r="1" spans="1:3" x14ac:dyDescent="0.25">
      <c r="A1" t="s">
        <v>77</v>
      </c>
      <c r="B1" s="2">
        <v>0.6</v>
      </c>
      <c r="C1" t="s">
        <v>37</v>
      </c>
    </row>
    <row r="2" spans="1:3" x14ac:dyDescent="0.25">
      <c r="A2" t="s">
        <v>79</v>
      </c>
      <c r="B2" s="3">
        <f>Vout</f>
        <v>20</v>
      </c>
      <c r="C2" t="s">
        <v>37</v>
      </c>
    </row>
    <row r="3" spans="1:3" x14ac:dyDescent="0.25">
      <c r="A3" t="s">
        <v>80</v>
      </c>
      <c r="B3" s="3">
        <f>Ioutmax</f>
        <v>0.5</v>
      </c>
      <c r="C3" t="s">
        <v>38</v>
      </c>
    </row>
    <row r="4" spans="1:3" x14ac:dyDescent="0.25">
      <c r="A4" t="s">
        <v>58</v>
      </c>
      <c r="B4" s="3">
        <f>IPeakL</f>
        <v>1.7847222222222223</v>
      </c>
      <c r="C4" t="s">
        <v>38</v>
      </c>
    </row>
    <row r="5" spans="1:3" x14ac:dyDescent="0.25">
      <c r="A5" t="s">
        <v>78</v>
      </c>
      <c r="B5" s="3">
        <f>B3*Vf</f>
        <v>0.3</v>
      </c>
      <c r="C5" t="s">
        <v>68</v>
      </c>
    </row>
  </sheetData>
  <sheetProtection password="F725" sheet="1" objects="1" scenarios="1" selectLockedCells="1"/>
  <customSheetViews>
    <customSheetView guid="{25ED444C-8CCE-464F-9E26-1EDA12EA830D}">
      <selection activeCell="B6" sqref="B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8"/>
  <sheetViews>
    <sheetView workbookViewId="0">
      <selection activeCell="B5" sqref="B5"/>
    </sheetView>
  </sheetViews>
  <sheetFormatPr defaultRowHeight="15" x14ac:dyDescent="0.25"/>
  <cols>
    <col min="1" max="1" width="78" bestFit="1" customWidth="1"/>
  </cols>
  <sheetData>
    <row r="1" spans="1:4" ht="30" x14ac:dyDescent="0.25">
      <c r="A1" s="17" t="s">
        <v>132</v>
      </c>
      <c r="B1" s="2">
        <v>10</v>
      </c>
      <c r="C1" t="s">
        <v>87</v>
      </c>
      <c r="D1" s="18" t="str">
        <f>IF(B1*10^-9*Fsw_max*10^3&gt;35*10^-3,"WARNING:  Total Gate Charge is higher than VDRV minimum 35 mA capability at this frequency", "")</f>
        <v/>
      </c>
    </row>
    <row r="2" spans="1:4" x14ac:dyDescent="0.25">
      <c r="A2" t="s">
        <v>76</v>
      </c>
      <c r="B2" s="2">
        <v>10</v>
      </c>
      <c r="C2" t="s">
        <v>62</v>
      </c>
    </row>
    <row r="3" spans="1:4" x14ac:dyDescent="0.25">
      <c r="A3" t="s">
        <v>72</v>
      </c>
      <c r="B3" s="3">
        <f>MAX(Vout+Vf,Vin_max)</f>
        <v>20.6</v>
      </c>
      <c r="C3" t="s">
        <v>37</v>
      </c>
    </row>
    <row r="4" spans="1:4" x14ac:dyDescent="0.25">
      <c r="A4" t="s">
        <v>88</v>
      </c>
      <c r="B4" s="2">
        <v>10</v>
      </c>
      <c r="C4" t="s">
        <v>90</v>
      </c>
    </row>
    <row r="5" spans="1:4" x14ac:dyDescent="0.25">
      <c r="A5" t="s">
        <v>89</v>
      </c>
      <c r="B5" s="2">
        <v>10</v>
      </c>
      <c r="C5" t="s">
        <v>90</v>
      </c>
    </row>
    <row r="6" spans="1:4" x14ac:dyDescent="0.25">
      <c r="A6" t="s">
        <v>74</v>
      </c>
      <c r="B6" s="3">
        <f>(B4*10^-9*(IavgL-Iripple/2)+B5*10^-9*(IavgL+Iripple/2))*Fsw_min*10^3*Vin_max</f>
        <v>0.9</v>
      </c>
      <c r="C6" t="s">
        <v>68</v>
      </c>
    </row>
    <row r="7" spans="1:4" x14ac:dyDescent="0.25">
      <c r="A7" t="s">
        <v>75</v>
      </c>
      <c r="B7" s="3">
        <f>IrmsL^2*Dconv_max*B2*10^-3</f>
        <v>1.5043499228395058E-2</v>
      </c>
      <c r="C7" t="s">
        <v>68</v>
      </c>
    </row>
    <row r="8" spans="1:4" x14ac:dyDescent="0.25">
      <c r="A8" t="s">
        <v>73</v>
      </c>
      <c r="B8" s="3">
        <f>B7+B6</f>
        <v>0.91504349922839512</v>
      </c>
      <c r="C8" t="s">
        <v>68</v>
      </c>
    </row>
  </sheetData>
  <sheetProtection password="F725" sheet="1" objects="1" scenarios="1" selectLockedCells="1"/>
  <customSheetViews>
    <customSheetView guid="{25ED444C-8CCE-464F-9E26-1EDA12EA830D}">
      <selection activeCell="B9" sqref="B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1. Introduction</vt:lpstr>
      <vt:lpstr>2. Design Parameters</vt:lpstr>
      <vt:lpstr>3. Feedback Resistors</vt:lpstr>
      <vt:lpstr>4. Boost Inductor</vt:lpstr>
      <vt:lpstr>5. Current Sense Resistor</vt:lpstr>
      <vt:lpstr>6. Output Capacitors</vt:lpstr>
      <vt:lpstr>Input Capacitor</vt:lpstr>
      <vt:lpstr>7. Diode</vt:lpstr>
      <vt:lpstr>8. MOSFET</vt:lpstr>
      <vt:lpstr>9. Loop Compensation</vt:lpstr>
      <vt:lpstr>Design Information</vt:lpstr>
      <vt:lpstr>Calculations</vt:lpstr>
      <vt:lpstr>C0</vt:lpstr>
      <vt:lpstr>comp_C1</vt:lpstr>
      <vt:lpstr>comp_C2</vt:lpstr>
      <vt:lpstr>comp_R2</vt:lpstr>
      <vt:lpstr>Dconv_max</vt:lpstr>
      <vt:lpstr>Dmax_min</vt:lpstr>
      <vt:lpstr>Dmax_nom</vt:lpstr>
      <vt:lpstr>Fsw_max</vt:lpstr>
      <vt:lpstr>Fsw_min</vt:lpstr>
      <vt:lpstr>Fsw_nom</vt:lpstr>
      <vt:lpstr>gm</vt:lpstr>
      <vt:lpstr>IavgL</vt:lpstr>
      <vt:lpstr>Ioutmax</vt:lpstr>
      <vt:lpstr>IPeakL</vt:lpstr>
      <vt:lpstr>Iripple</vt:lpstr>
      <vt:lpstr>IrmsL</vt:lpstr>
      <vt:lpstr>Lo</vt:lpstr>
      <vt:lpstr>R0</vt:lpstr>
      <vt:lpstr>Rlower</vt:lpstr>
      <vt:lpstr>Rotaesd</vt:lpstr>
      <vt:lpstr>Rout</vt:lpstr>
      <vt:lpstr>Rupper</vt:lpstr>
      <vt:lpstr>SC_nom</vt:lpstr>
      <vt:lpstr>Tsw</vt:lpstr>
      <vt:lpstr>vcl_max</vt:lpstr>
      <vt:lpstr>vcl_min</vt:lpstr>
      <vt:lpstr>vcl_nom</vt:lpstr>
      <vt:lpstr>Vdrv_nom</vt:lpstr>
      <vt:lpstr>Vf</vt:lpstr>
      <vt:lpstr>Vin_max</vt:lpstr>
      <vt:lpstr>Vin_min</vt:lpstr>
      <vt:lpstr>Vin_nominal</vt:lpstr>
      <vt:lpstr>Vout</vt:lpstr>
      <vt:lpstr>wp1e</vt:lpstr>
      <vt:lpstr>wp2e</vt:lpstr>
      <vt:lpstr>wz1e</vt:lpstr>
      <vt:lpstr>wz2e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Laprade</dc:creator>
  <cp:lastModifiedBy>Alain Laprade</cp:lastModifiedBy>
  <dcterms:created xsi:type="dcterms:W3CDTF">2006-09-16T00:00:00Z</dcterms:created>
  <dcterms:modified xsi:type="dcterms:W3CDTF">2019-01-23T21:59:49Z</dcterms:modified>
</cp:coreProperties>
</file>