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75" windowWidth="20730" windowHeight="9750"/>
  </bookViews>
  <sheets>
    <sheet name="Intro" sheetId="4" r:id="rId1"/>
    <sheet name="SW1" sheetId="1" r:id="rId2"/>
    <sheet name="SW2" sheetId="2" r:id="rId3"/>
    <sheet name="SW3" sheetId="3" r:id="rId4"/>
  </sheets>
  <calcPr calcId="145621"/>
</workbook>
</file>

<file path=xl/calcChain.xml><?xml version="1.0" encoding="utf-8"?>
<calcChain xmlns="http://schemas.openxmlformats.org/spreadsheetml/2006/main">
  <c r="I47" i="3" l="1"/>
  <c r="I43" i="3"/>
  <c r="I34" i="3"/>
  <c r="I32" i="3"/>
  <c r="I23" i="3"/>
  <c r="I18" i="3"/>
  <c r="I39" i="3" s="1"/>
  <c r="I14" i="3"/>
  <c r="I10" i="3"/>
  <c r="I29" i="3" s="1"/>
  <c r="I8" i="3"/>
  <c r="I8" i="2"/>
  <c r="I10" i="2"/>
  <c r="B14" i="3"/>
  <c r="B14" i="2"/>
  <c r="B14" i="1"/>
  <c r="B18" i="3" l="1"/>
  <c r="B15" i="3"/>
  <c r="B7" i="3"/>
  <c r="B5" i="3"/>
  <c r="I29" i="2"/>
  <c r="I43" i="2"/>
  <c r="I32" i="2"/>
  <c r="I34" i="2" s="1"/>
  <c r="B18" i="2"/>
  <c r="I47" i="2" s="1"/>
  <c r="B15" i="2"/>
  <c r="B7" i="2"/>
  <c r="B5" i="2"/>
  <c r="I14" i="2" s="1"/>
  <c r="I39" i="1"/>
  <c r="I30" i="1"/>
  <c r="I28" i="1"/>
  <c r="B18" i="1"/>
  <c r="I43" i="1" s="1"/>
  <c r="B15" i="1"/>
  <c r="B7" i="1"/>
  <c r="B5" i="1"/>
  <c r="I10" i="1" s="1"/>
  <c r="I3" i="1"/>
  <c r="I25" i="1" s="1"/>
  <c r="I18" i="2" l="1"/>
  <c r="I39" i="2" s="1"/>
  <c r="I23" i="2"/>
  <c r="I19" i="1"/>
  <c r="I14" i="1"/>
  <c r="I35" i="1" s="1"/>
</calcChain>
</file>

<file path=xl/sharedStrings.xml><?xml version="1.0" encoding="utf-8"?>
<sst xmlns="http://schemas.openxmlformats.org/spreadsheetml/2006/main" count="312" uniqueCount="90">
  <si>
    <t>Inputs</t>
  </si>
  <si>
    <t>Outputs</t>
  </si>
  <si>
    <t>Parameter</t>
  </si>
  <si>
    <t>Value</t>
  </si>
  <si>
    <t>Unit</t>
  </si>
  <si>
    <t>Description</t>
  </si>
  <si>
    <t>VIN (min, ideal)</t>
  </si>
  <si>
    <t>V</t>
  </si>
  <si>
    <t>Minimum operating input voltage</t>
  </si>
  <si>
    <t>DMIN</t>
  </si>
  <si>
    <t>Calculated minimum duty cycle</t>
  </si>
  <si>
    <t>Input Voltages</t>
  </si>
  <si>
    <t>Standard Inductors</t>
  </si>
  <si>
    <t>Rds,on</t>
  </si>
  <si>
    <t>Ω</t>
  </si>
  <si>
    <t>On Resistence of the HS MOSFET</t>
  </si>
  <si>
    <t>VIN (min, real)</t>
  </si>
  <si>
    <t>Input voltage after drop across the MOSFET</t>
  </si>
  <si>
    <t>VIN (max, ideal)</t>
  </si>
  <si>
    <t>Maximum operating input voltage</t>
  </si>
  <si>
    <t>VIN (max, real)</t>
  </si>
  <si>
    <t>VOUT</t>
  </si>
  <si>
    <t>Target Output Voltage</t>
  </si>
  <si>
    <t>IOUT (max)</t>
  </si>
  <si>
    <t>A</t>
  </si>
  <si>
    <t>Maximum dc output current</t>
  </si>
  <si>
    <t>IOUT (ripple)</t>
  </si>
  <si>
    <t>%</t>
  </si>
  <si>
    <t>Target current ripple through the Inductor</t>
  </si>
  <si>
    <t>DMAX</t>
  </si>
  <si>
    <t>Calculated maximum duty cycle</t>
  </si>
  <si>
    <t>FSW</t>
  </si>
  <si>
    <t>MHz</t>
  </si>
  <si>
    <t>Switching Frequency</t>
  </si>
  <si>
    <t>Ripple Requirements</t>
  </si>
  <si>
    <t>VIN (ripple)</t>
  </si>
  <si>
    <t>f0</t>
  </si>
  <si>
    <t>kHz</t>
  </si>
  <si>
    <t>Cutoff (corner) frequency to satisfy ripple requirement</t>
  </si>
  <si>
    <t>VOUT (ripple)</t>
  </si>
  <si>
    <t>Target Output Ripple, Peak-to-peak</t>
  </si>
  <si>
    <t>Transient Response</t>
  </si>
  <si>
    <t>VIN (drop, max)</t>
  </si>
  <si>
    <t>Maximum input voltage drop with load transient</t>
  </si>
  <si>
    <t>VOUT (drop, max)</t>
  </si>
  <si>
    <t>Target Drop with Load Transient</t>
  </si>
  <si>
    <t>I (peak)</t>
  </si>
  <si>
    <t>Calculated Peak current</t>
  </si>
  <si>
    <t>IOUT (transient)</t>
  </si>
  <si>
    <t>Maximum load transient in 1 us</t>
  </si>
  <si>
    <t>Loop Parameters</t>
  </si>
  <si>
    <t>fc</t>
  </si>
  <si>
    <t>Minimum estimated crossover frequency</t>
  </si>
  <si>
    <t>Components</t>
  </si>
  <si>
    <t>Se</t>
  </si>
  <si>
    <r>
      <t>A/</t>
    </r>
    <r>
      <rPr>
        <b/>
        <sz val="11"/>
        <color rgb="FF006100"/>
        <rFont val="Calibri"/>
        <family val="2"/>
      </rPr>
      <t>µ</t>
    </r>
    <r>
      <rPr>
        <b/>
        <sz val="11"/>
        <color rgb="FF006100"/>
        <rFont val="Calibri"/>
        <family val="2"/>
        <scheme val="minor"/>
      </rPr>
      <t>s</t>
    </r>
  </si>
  <si>
    <t>Internal slope compensation (from the datasheet)</t>
  </si>
  <si>
    <t>L (ideal)</t>
  </si>
  <si>
    <t>µH</t>
  </si>
  <si>
    <t>Calculated ideal L value</t>
  </si>
  <si>
    <t>Soff</t>
  </si>
  <si>
    <r>
      <t>A/</t>
    </r>
    <r>
      <rPr>
        <sz val="11"/>
        <color theme="1"/>
        <rFont val="Calibri"/>
        <family val="2"/>
      </rPr>
      <t>µ</t>
    </r>
    <r>
      <rPr>
        <sz val="11"/>
        <color theme="1"/>
        <rFont val="Calibri"/>
        <family val="2"/>
        <scheme val="minor"/>
      </rPr>
      <t>s</t>
    </r>
  </si>
  <si>
    <t>Maximum inductor downslope allowed to have at least 50% ramp compensation injection</t>
  </si>
  <si>
    <t>L (min)</t>
  </si>
  <si>
    <t>Required minimum inductor value to avoid subharmonic oscillations</t>
  </si>
  <si>
    <t>L (standard)</t>
  </si>
  <si>
    <t>Input practical value based on Ideal value, above (recommended to be lower than 6.8 uH for a better SNR)</t>
  </si>
  <si>
    <t>COUT1</t>
  </si>
  <si>
    <t>µF</t>
  </si>
  <si>
    <t>Calculated min output Cap for Ripple requirement</t>
  </si>
  <si>
    <t>COUT2</t>
  </si>
  <si>
    <t>Calculated min output cap for transient response</t>
  </si>
  <si>
    <t>CIN1</t>
  </si>
  <si>
    <t>Calculated min input cap for ripple requirement</t>
  </si>
  <si>
    <t>CIN2</t>
  </si>
  <si>
    <t>Bulk input capacitor</t>
  </si>
  <si>
    <t>Rupper</t>
  </si>
  <si>
    <t>Rlower</t>
  </si>
  <si>
    <r>
      <t>k</t>
    </r>
    <r>
      <rPr>
        <sz val="11"/>
        <color theme="1"/>
        <rFont val="Calibri"/>
        <family val="2"/>
      </rPr>
      <t>Ω</t>
    </r>
  </si>
  <si>
    <t>Value for upper feedback reisstor</t>
  </si>
  <si>
    <t>Calculated ideal value for lower feedback resistor</t>
  </si>
  <si>
    <t xml:space="preserve">This tool is intended for informational use only and does not guarantee values or design parameters. </t>
  </si>
  <si>
    <t>Notes:</t>
  </si>
  <si>
    <t>Some of the cells have prepopulated formulas in them to offer suggested values. These may be changed by the user.</t>
  </si>
  <si>
    <t>Engineer: Matthew Majeika</t>
  </si>
  <si>
    <t>Phone: +1.401.886.3830</t>
  </si>
  <si>
    <t>Email: matthew.majeika@onsemi.com</t>
  </si>
  <si>
    <t>NCV97310 Component Selection Tool</t>
  </si>
  <si>
    <t>Date Released: October 3, 2014</t>
  </si>
  <si>
    <t>Revision: 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</si>
</sst>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rgb="FF006100"/>
      <name val="Arial"/>
      <family val="2"/>
    </font>
    <font>
      <b/>
      <sz val="11"/>
      <color rgb="FF006100"/>
      <name val="Calibri"/>
      <family val="2"/>
    </font>
    <font>
      <sz val="11"/>
      <color theme="1"/>
      <name val="Calibri"/>
      <family val="2"/>
    </font>
    <font>
      <sz val="11"/>
      <color rgb="FF9C65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6" fillId="4" borderId="0" applyNumberFormat="0" applyBorder="0" applyAlignment="0" applyProtection="0"/>
    <xf numFmtId="0" fontId="1" fillId="5" borderId="0" applyNumberFormat="0" applyBorder="0" applyAlignment="0" applyProtection="0"/>
    <xf numFmtId="0" fontId="11" fillId="6" borderId="0" applyNumberFormat="0" applyBorder="0" applyAlignment="0" applyProtection="0"/>
  </cellStyleXfs>
  <cellXfs count="56">
    <xf numFmtId="0" fontId="0" fillId="0" borderId="0" xfId="0"/>
    <xf numFmtId="0" fontId="7" fillId="2" borderId="1" xfId="1" applyFont="1" applyBorder="1"/>
    <xf numFmtId="0" fontId="3" fillId="3" borderId="1" xfId="2" applyFont="1" applyProtection="1">
      <protection locked="0"/>
    </xf>
    <xf numFmtId="0" fontId="8" fillId="2" borderId="1" xfId="1" applyFont="1" applyBorder="1"/>
    <xf numFmtId="0" fontId="0" fillId="0" borderId="0" xfId="0" applyBorder="1"/>
    <xf numFmtId="2" fontId="0" fillId="0" borderId="0" xfId="0" applyNumberFormat="1" applyBorder="1"/>
    <xf numFmtId="0" fontId="3" fillId="3" borderId="1" xfId="2" applyNumberFormat="1" applyFont="1" applyProtection="1">
      <protection locked="0"/>
    </xf>
    <xf numFmtId="2" fontId="3" fillId="3" borderId="1" xfId="2" applyNumberFormat="1" applyFont="1" applyProtection="1">
      <protection locked="0"/>
    </xf>
    <xf numFmtId="0" fontId="5" fillId="0" borderId="0" xfId="0" applyFont="1"/>
    <xf numFmtId="2" fontId="5" fillId="0" borderId="0" xfId="0" applyNumberFormat="1" applyFont="1"/>
    <xf numFmtId="0" fontId="5" fillId="5" borderId="8" xfId="4" applyFont="1" applyBorder="1" applyAlignment="1">
      <alignment horizontal="center" vertical="center"/>
    </xf>
    <xf numFmtId="0" fontId="5" fillId="5" borderId="10" xfId="4" applyFont="1" applyBorder="1" applyAlignment="1">
      <alignment horizontal="center" vertical="center"/>
    </xf>
    <xf numFmtId="0" fontId="3" fillId="3" borderId="1" xfId="2" applyAlignment="1" applyProtection="1">
      <alignment horizontal="center" vertical="center"/>
      <protection locked="0"/>
    </xf>
    <xf numFmtId="0" fontId="5" fillId="5" borderId="0" xfId="4" applyFont="1" applyBorder="1" applyAlignment="1">
      <alignment horizontal="center" vertical="center"/>
    </xf>
    <xf numFmtId="0" fontId="5" fillId="5" borderId="11" xfId="4" applyFont="1" applyBorder="1" applyAlignment="1">
      <alignment horizontal="center" vertical="center"/>
    </xf>
    <xf numFmtId="0" fontId="5" fillId="5" borderId="9" xfId="4" applyFont="1" applyBorder="1" applyAlignment="1">
      <alignment horizontal="center" vertical="center" wrapText="1"/>
    </xf>
    <xf numFmtId="0" fontId="5" fillId="5" borderId="12" xfId="4" applyFont="1" applyBorder="1" applyAlignment="1">
      <alignment horizontal="center" vertical="center" wrapText="1"/>
    </xf>
    <xf numFmtId="0" fontId="1" fillId="5" borderId="5" xfId="4" applyBorder="1" applyAlignment="1">
      <alignment horizontal="center" vertical="center"/>
    </xf>
    <xf numFmtId="0" fontId="1" fillId="5" borderId="8" xfId="4" applyBorder="1" applyAlignment="1">
      <alignment horizontal="center" vertical="center"/>
    </xf>
    <xf numFmtId="0" fontId="1" fillId="5" borderId="10" xfId="4" applyBorder="1" applyAlignment="1">
      <alignment horizontal="center" vertical="center"/>
    </xf>
    <xf numFmtId="2" fontId="1" fillId="5" borderId="6" xfId="4" applyNumberFormat="1" applyBorder="1" applyAlignment="1">
      <alignment horizontal="center" vertical="center"/>
    </xf>
    <xf numFmtId="2" fontId="1" fillId="5" borderId="0" xfId="4" applyNumberFormat="1" applyBorder="1" applyAlignment="1">
      <alignment horizontal="center" vertical="center"/>
    </xf>
    <xf numFmtId="2" fontId="1" fillId="5" borderId="11" xfId="4" applyNumberFormat="1" applyBorder="1" applyAlignment="1">
      <alignment horizontal="center" vertical="center"/>
    </xf>
    <xf numFmtId="0" fontId="0" fillId="5" borderId="6" xfId="4" applyFont="1" applyBorder="1" applyAlignment="1">
      <alignment horizontal="center" vertical="center"/>
    </xf>
    <xf numFmtId="0" fontId="1" fillId="5" borderId="0" xfId="4" applyBorder="1" applyAlignment="1">
      <alignment horizontal="center" vertical="center"/>
    </xf>
    <xf numFmtId="0" fontId="1" fillId="5" borderId="11" xfId="4" applyBorder="1" applyAlignment="1">
      <alignment horizontal="center" vertical="center"/>
    </xf>
    <xf numFmtId="0" fontId="1" fillId="5" borderId="7" xfId="4" applyBorder="1" applyAlignment="1">
      <alignment horizontal="center" vertical="top"/>
    </xf>
    <xf numFmtId="0" fontId="1" fillId="5" borderId="9" xfId="4" applyBorder="1" applyAlignment="1">
      <alignment horizontal="center" vertical="top"/>
    </xf>
    <xf numFmtId="0" fontId="1" fillId="5" borderId="12" xfId="4" applyBorder="1" applyAlignment="1">
      <alignment horizontal="center" vertical="top"/>
    </xf>
    <xf numFmtId="0" fontId="0" fillId="5" borderId="0" xfId="4" applyFont="1" applyBorder="1" applyAlignment="1">
      <alignment horizontal="center" vertical="center"/>
    </xf>
    <xf numFmtId="0" fontId="1" fillId="5" borderId="9" xfId="4" applyBorder="1" applyAlignment="1">
      <alignment horizontal="center" vertical="center" wrapText="1"/>
    </xf>
    <xf numFmtId="0" fontId="4" fillId="4" borderId="2" xfId="3" applyFont="1" applyBorder="1" applyAlignment="1">
      <alignment horizontal="center"/>
    </xf>
    <xf numFmtId="0" fontId="4" fillId="4" borderId="3" xfId="3" applyFont="1" applyBorder="1" applyAlignment="1">
      <alignment horizontal="center"/>
    </xf>
    <xf numFmtId="0" fontId="4" fillId="4" borderId="4" xfId="3" applyFont="1" applyBorder="1" applyAlignment="1">
      <alignment horizontal="center"/>
    </xf>
    <xf numFmtId="0" fontId="1" fillId="5" borderId="6" xfId="4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6" xfId="4" applyFont="1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1" fillId="7" borderId="0" xfId="4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1" fillId="7" borderId="11" xfId="4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top"/>
    </xf>
    <xf numFmtId="0" fontId="0" fillId="7" borderId="9" xfId="0" applyFill="1" applyBorder="1" applyAlignment="1">
      <alignment horizontal="center" vertical="top"/>
    </xf>
    <xf numFmtId="0" fontId="0" fillId="7" borderId="12" xfId="0" applyFill="1" applyBorder="1" applyAlignment="1">
      <alignment horizontal="center" vertical="top"/>
    </xf>
    <xf numFmtId="0" fontId="0" fillId="0" borderId="0" xfId="0" applyAlignment="1">
      <alignment vertical="center"/>
    </xf>
    <xf numFmtId="0" fontId="3" fillId="3" borderId="13" xfId="2" applyBorder="1" applyAlignment="1" applyProtection="1">
      <alignment horizontal="center" vertical="center"/>
      <protection locked="0"/>
    </xf>
    <xf numFmtId="0" fontId="3" fillId="3" borderId="14" xfId="2" applyBorder="1" applyAlignment="1" applyProtection="1">
      <alignment horizontal="center" vertical="center"/>
      <protection locked="0"/>
    </xf>
    <xf numFmtId="0" fontId="3" fillId="3" borderId="15" xfId="2" applyBorder="1" applyAlignment="1" applyProtection="1">
      <alignment horizontal="center" vertical="center"/>
      <protection locked="0"/>
    </xf>
    <xf numFmtId="0" fontId="0" fillId="7" borderId="4" xfId="0" applyFill="1" applyBorder="1"/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2" fontId="0" fillId="7" borderId="3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7" fillId="2" borderId="0" xfId="1" applyFont="1" applyAlignment="1">
      <alignment wrapText="1"/>
    </xf>
    <xf numFmtId="0" fontId="2" fillId="2" borderId="0" xfId="1" applyAlignment="1">
      <alignment wrapText="1"/>
    </xf>
    <xf numFmtId="0" fontId="11" fillId="6" borderId="0" xfId="5" applyAlignment="1">
      <alignment wrapText="1"/>
    </xf>
  </cellXfs>
  <cellStyles count="6">
    <cellStyle name="40% - Accent1" xfId="4" builtinId="31"/>
    <cellStyle name="Accent1" xfId="3" builtinId="29"/>
    <cellStyle name="Calculation" xfId="2" builtinId="22"/>
    <cellStyle name="Good" xfId="1" builtinId="26"/>
    <cellStyle name="Neutral" xfId="5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8.png"/><Relationship Id="rId7" Type="http://schemas.openxmlformats.org/officeDocument/2006/relationships/image" Target="../media/image4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1095375</xdr:colOff>
      <xdr:row>5</xdr:row>
      <xdr:rowOff>0</xdr:rowOff>
    </xdr:from>
    <xdr:to>
      <xdr:col>10</xdr:col>
      <xdr:colOff>2124075</xdr:colOff>
      <xdr:row>7</xdr:row>
      <xdr:rowOff>171450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924925" y="590550"/>
          <a:ext cx="1028700" cy="36195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</xdr:pic>
    <xdr:clientData/>
  </xdr:twoCellAnchor>
  <xdr:twoCellAnchor>
    <xdr:from>
      <xdr:col>10</xdr:col>
      <xdr:colOff>1133475</xdr:colOff>
      <xdr:row>9</xdr:row>
      <xdr:rowOff>171450</xdr:rowOff>
    </xdr:from>
    <xdr:to>
      <xdr:col>10</xdr:col>
      <xdr:colOff>2162175</xdr:colOff>
      <xdr:row>11</xdr:row>
      <xdr:rowOff>171450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963025" y="1352550"/>
          <a:ext cx="1028700" cy="38100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</xdr:pic>
    <xdr:clientData/>
  </xdr:twoCellAnchor>
  <xdr:twoCellAnchor>
    <xdr:from>
      <xdr:col>10</xdr:col>
      <xdr:colOff>1028700</xdr:colOff>
      <xdr:row>25</xdr:row>
      <xdr:rowOff>9525</xdr:rowOff>
    </xdr:from>
    <xdr:to>
      <xdr:col>10</xdr:col>
      <xdr:colOff>2305050</xdr:colOff>
      <xdr:row>27</xdr:row>
      <xdr:rowOff>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858250" y="4324350"/>
          <a:ext cx="1276350" cy="37147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</xdr:pic>
    <xdr:clientData/>
  </xdr:twoCellAnchor>
  <xdr:twoCellAnchor>
    <xdr:from>
      <xdr:col>10</xdr:col>
      <xdr:colOff>752475</xdr:colOff>
      <xdr:row>14</xdr:row>
      <xdr:rowOff>9525</xdr:rowOff>
    </xdr:from>
    <xdr:to>
      <xdr:col>10</xdr:col>
      <xdr:colOff>2362200</xdr:colOff>
      <xdr:row>16</xdr:row>
      <xdr:rowOff>152400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82025" y="2162175"/>
          <a:ext cx="1609725" cy="53340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</xdr:pic>
    <xdr:clientData/>
  </xdr:twoCellAnchor>
  <xdr:twoCellAnchor>
    <xdr:from>
      <xdr:col>10</xdr:col>
      <xdr:colOff>752475</xdr:colOff>
      <xdr:row>19</xdr:row>
      <xdr:rowOff>0</xdr:rowOff>
    </xdr:from>
    <xdr:to>
      <xdr:col>10</xdr:col>
      <xdr:colOff>2514600</xdr:colOff>
      <xdr:row>20</xdr:row>
      <xdr:rowOff>180975</xdr:rowOff>
    </xdr:to>
    <xdr:pic>
      <xdr:nvPicPr>
        <xdr:cNvPr id="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82025" y="3133725"/>
          <a:ext cx="1762125" cy="37147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</xdr:pic>
    <xdr:clientData/>
  </xdr:twoCellAnchor>
  <xdr:twoCellAnchor>
    <xdr:from>
      <xdr:col>10</xdr:col>
      <xdr:colOff>971550</xdr:colOff>
      <xdr:row>34</xdr:row>
      <xdr:rowOff>180975</xdr:rowOff>
    </xdr:from>
    <xdr:to>
      <xdr:col>10</xdr:col>
      <xdr:colOff>2085975</xdr:colOff>
      <xdr:row>36</xdr:row>
      <xdr:rowOff>190500</xdr:rowOff>
    </xdr:to>
    <xdr:pic>
      <xdr:nvPicPr>
        <xdr:cNvPr id="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801100" y="6229350"/>
          <a:ext cx="1114425" cy="39052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</xdr:pic>
    <xdr:clientData/>
  </xdr:twoCellAnchor>
  <xdr:twoCellAnchor>
    <xdr:from>
      <xdr:col>10</xdr:col>
      <xdr:colOff>942975</xdr:colOff>
      <xdr:row>38</xdr:row>
      <xdr:rowOff>180975</xdr:rowOff>
    </xdr:from>
    <xdr:to>
      <xdr:col>10</xdr:col>
      <xdr:colOff>2219325</xdr:colOff>
      <xdr:row>40</xdr:row>
      <xdr:rowOff>180975</xdr:rowOff>
    </xdr:to>
    <xdr:pic>
      <xdr:nvPicPr>
        <xdr:cNvPr id="8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772525" y="7010400"/>
          <a:ext cx="1276350" cy="38100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</xdr:pic>
    <xdr:clientData/>
  </xdr:twoCellAnchor>
  <xdr:twoCellAnchor>
    <xdr:from>
      <xdr:col>10</xdr:col>
      <xdr:colOff>952500</xdr:colOff>
      <xdr:row>42</xdr:row>
      <xdr:rowOff>180975</xdr:rowOff>
    </xdr:from>
    <xdr:to>
      <xdr:col>10</xdr:col>
      <xdr:colOff>2028825</xdr:colOff>
      <xdr:row>44</xdr:row>
      <xdr:rowOff>171450</xdr:rowOff>
    </xdr:to>
    <xdr:pic>
      <xdr:nvPicPr>
        <xdr:cNvPr id="9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782050" y="7791450"/>
          <a:ext cx="1076325" cy="37147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1095375</xdr:colOff>
      <xdr:row>10</xdr:row>
      <xdr:rowOff>0</xdr:rowOff>
    </xdr:from>
    <xdr:to>
      <xdr:col>10</xdr:col>
      <xdr:colOff>2124075</xdr:colOff>
      <xdr:row>11</xdr:row>
      <xdr:rowOff>171450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924925" y="1543050"/>
          <a:ext cx="1028700" cy="57150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</xdr:pic>
    <xdr:clientData/>
  </xdr:twoCellAnchor>
  <xdr:twoCellAnchor>
    <xdr:from>
      <xdr:col>10</xdr:col>
      <xdr:colOff>1133475</xdr:colOff>
      <xdr:row>13</xdr:row>
      <xdr:rowOff>171450</xdr:rowOff>
    </xdr:from>
    <xdr:to>
      <xdr:col>10</xdr:col>
      <xdr:colOff>2162175</xdr:colOff>
      <xdr:row>15</xdr:row>
      <xdr:rowOff>171450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963025" y="1352550"/>
          <a:ext cx="1028700" cy="38100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</xdr:pic>
    <xdr:clientData/>
  </xdr:twoCellAnchor>
  <xdr:twoCellAnchor>
    <xdr:from>
      <xdr:col>10</xdr:col>
      <xdr:colOff>1028700</xdr:colOff>
      <xdr:row>29</xdr:row>
      <xdr:rowOff>9525</xdr:rowOff>
    </xdr:from>
    <xdr:to>
      <xdr:col>10</xdr:col>
      <xdr:colOff>2305050</xdr:colOff>
      <xdr:row>31</xdr:row>
      <xdr:rowOff>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858250" y="4324350"/>
          <a:ext cx="1276350" cy="37147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</xdr:pic>
    <xdr:clientData/>
  </xdr:twoCellAnchor>
  <xdr:twoCellAnchor>
    <xdr:from>
      <xdr:col>10</xdr:col>
      <xdr:colOff>752475</xdr:colOff>
      <xdr:row>18</xdr:row>
      <xdr:rowOff>9525</xdr:rowOff>
    </xdr:from>
    <xdr:to>
      <xdr:col>10</xdr:col>
      <xdr:colOff>2362200</xdr:colOff>
      <xdr:row>20</xdr:row>
      <xdr:rowOff>152400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82025" y="2162175"/>
          <a:ext cx="1609725" cy="53340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</xdr:pic>
    <xdr:clientData/>
  </xdr:twoCellAnchor>
  <xdr:twoCellAnchor>
    <xdr:from>
      <xdr:col>10</xdr:col>
      <xdr:colOff>752475</xdr:colOff>
      <xdr:row>23</xdr:row>
      <xdr:rowOff>0</xdr:rowOff>
    </xdr:from>
    <xdr:to>
      <xdr:col>10</xdr:col>
      <xdr:colOff>2514600</xdr:colOff>
      <xdr:row>24</xdr:row>
      <xdr:rowOff>180975</xdr:rowOff>
    </xdr:to>
    <xdr:pic>
      <xdr:nvPicPr>
        <xdr:cNvPr id="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82025" y="3133725"/>
          <a:ext cx="1762125" cy="37147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</xdr:pic>
    <xdr:clientData/>
  </xdr:twoCellAnchor>
  <xdr:twoCellAnchor>
    <xdr:from>
      <xdr:col>10</xdr:col>
      <xdr:colOff>971550</xdr:colOff>
      <xdr:row>38</xdr:row>
      <xdr:rowOff>180975</xdr:rowOff>
    </xdr:from>
    <xdr:to>
      <xdr:col>10</xdr:col>
      <xdr:colOff>2085975</xdr:colOff>
      <xdr:row>40</xdr:row>
      <xdr:rowOff>190500</xdr:rowOff>
    </xdr:to>
    <xdr:pic>
      <xdr:nvPicPr>
        <xdr:cNvPr id="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801100" y="6229350"/>
          <a:ext cx="1114425" cy="39052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</xdr:pic>
    <xdr:clientData/>
  </xdr:twoCellAnchor>
  <xdr:twoCellAnchor>
    <xdr:from>
      <xdr:col>10</xdr:col>
      <xdr:colOff>942975</xdr:colOff>
      <xdr:row>42</xdr:row>
      <xdr:rowOff>180975</xdr:rowOff>
    </xdr:from>
    <xdr:to>
      <xdr:col>10</xdr:col>
      <xdr:colOff>2219325</xdr:colOff>
      <xdr:row>44</xdr:row>
      <xdr:rowOff>180975</xdr:rowOff>
    </xdr:to>
    <xdr:pic>
      <xdr:nvPicPr>
        <xdr:cNvPr id="8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772525" y="7010400"/>
          <a:ext cx="1276350" cy="38100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</xdr:pic>
    <xdr:clientData/>
  </xdr:twoCellAnchor>
  <xdr:twoCellAnchor>
    <xdr:from>
      <xdr:col>10</xdr:col>
      <xdr:colOff>952500</xdr:colOff>
      <xdr:row>46</xdr:row>
      <xdr:rowOff>180975</xdr:rowOff>
    </xdr:from>
    <xdr:to>
      <xdr:col>10</xdr:col>
      <xdr:colOff>2028825</xdr:colOff>
      <xdr:row>48</xdr:row>
      <xdr:rowOff>171450</xdr:rowOff>
    </xdr:to>
    <xdr:pic>
      <xdr:nvPicPr>
        <xdr:cNvPr id="9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782050" y="7791450"/>
          <a:ext cx="1076325" cy="37147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971550</xdr:colOff>
      <xdr:row>34</xdr:row>
      <xdr:rowOff>180975</xdr:rowOff>
    </xdr:from>
    <xdr:to>
      <xdr:col>10</xdr:col>
      <xdr:colOff>2085975</xdr:colOff>
      <xdr:row>36</xdr:row>
      <xdr:rowOff>190500</xdr:rowOff>
    </xdr:to>
    <xdr:pic>
      <xdr:nvPicPr>
        <xdr:cNvPr id="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801100" y="6800850"/>
          <a:ext cx="1114425" cy="39052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</xdr:pic>
    <xdr:clientData/>
  </xdr:twoCellAnchor>
  <xdr:twoCellAnchor>
    <xdr:from>
      <xdr:col>10</xdr:col>
      <xdr:colOff>942975</xdr:colOff>
      <xdr:row>38</xdr:row>
      <xdr:rowOff>180975</xdr:rowOff>
    </xdr:from>
    <xdr:to>
      <xdr:col>10</xdr:col>
      <xdr:colOff>2219325</xdr:colOff>
      <xdr:row>40</xdr:row>
      <xdr:rowOff>180975</xdr:rowOff>
    </xdr:to>
    <xdr:pic>
      <xdr:nvPicPr>
        <xdr:cNvPr id="8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772525" y="7581900"/>
          <a:ext cx="1276350" cy="38100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</xdr:pic>
    <xdr:clientData/>
  </xdr:twoCellAnchor>
  <xdr:twoCellAnchor>
    <xdr:from>
      <xdr:col>10</xdr:col>
      <xdr:colOff>952500</xdr:colOff>
      <xdr:row>42</xdr:row>
      <xdr:rowOff>180975</xdr:rowOff>
    </xdr:from>
    <xdr:to>
      <xdr:col>10</xdr:col>
      <xdr:colOff>2028825</xdr:colOff>
      <xdr:row>44</xdr:row>
      <xdr:rowOff>171450</xdr:rowOff>
    </xdr:to>
    <xdr:pic>
      <xdr:nvPicPr>
        <xdr:cNvPr id="9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782050" y="8362950"/>
          <a:ext cx="1076325" cy="37147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</xdr:pic>
    <xdr:clientData/>
  </xdr:twoCellAnchor>
  <xdr:twoCellAnchor>
    <xdr:from>
      <xdr:col>10</xdr:col>
      <xdr:colOff>1095375</xdr:colOff>
      <xdr:row>10</xdr:row>
      <xdr:rowOff>0</xdr:rowOff>
    </xdr:from>
    <xdr:to>
      <xdr:col>10</xdr:col>
      <xdr:colOff>2124075</xdr:colOff>
      <xdr:row>11</xdr:row>
      <xdr:rowOff>171450</xdr:rowOff>
    </xdr:to>
    <xdr:pic>
      <xdr:nvPicPr>
        <xdr:cNvPr id="1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924925" y="1390650"/>
          <a:ext cx="1028700" cy="36195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</xdr:pic>
    <xdr:clientData/>
  </xdr:twoCellAnchor>
  <xdr:twoCellAnchor>
    <xdr:from>
      <xdr:col>10</xdr:col>
      <xdr:colOff>1133475</xdr:colOff>
      <xdr:row>13</xdr:row>
      <xdr:rowOff>171450</xdr:rowOff>
    </xdr:from>
    <xdr:to>
      <xdr:col>10</xdr:col>
      <xdr:colOff>2162175</xdr:colOff>
      <xdr:row>15</xdr:row>
      <xdr:rowOff>171450</xdr:rowOff>
    </xdr:to>
    <xdr:pic>
      <xdr:nvPicPr>
        <xdr:cNvPr id="1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963025" y="2152650"/>
          <a:ext cx="1028700" cy="38100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</xdr:pic>
    <xdr:clientData/>
  </xdr:twoCellAnchor>
  <xdr:twoCellAnchor>
    <xdr:from>
      <xdr:col>10</xdr:col>
      <xdr:colOff>1028700</xdr:colOff>
      <xdr:row>29</xdr:row>
      <xdr:rowOff>9525</xdr:rowOff>
    </xdr:from>
    <xdr:to>
      <xdr:col>10</xdr:col>
      <xdr:colOff>2305050</xdr:colOff>
      <xdr:row>31</xdr:row>
      <xdr:rowOff>0</xdr:rowOff>
    </xdr:to>
    <xdr:pic>
      <xdr:nvPicPr>
        <xdr:cNvPr id="2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858250" y="5114925"/>
          <a:ext cx="1276350" cy="37147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</xdr:pic>
    <xdr:clientData/>
  </xdr:twoCellAnchor>
  <xdr:twoCellAnchor>
    <xdr:from>
      <xdr:col>10</xdr:col>
      <xdr:colOff>752475</xdr:colOff>
      <xdr:row>18</xdr:row>
      <xdr:rowOff>9525</xdr:rowOff>
    </xdr:from>
    <xdr:to>
      <xdr:col>10</xdr:col>
      <xdr:colOff>2362200</xdr:colOff>
      <xdr:row>20</xdr:row>
      <xdr:rowOff>152400</xdr:rowOff>
    </xdr:to>
    <xdr:pic>
      <xdr:nvPicPr>
        <xdr:cNvPr id="2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82025" y="2962275"/>
          <a:ext cx="1609725" cy="52387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</xdr:pic>
    <xdr:clientData/>
  </xdr:twoCellAnchor>
  <xdr:twoCellAnchor>
    <xdr:from>
      <xdr:col>10</xdr:col>
      <xdr:colOff>752475</xdr:colOff>
      <xdr:row>23</xdr:row>
      <xdr:rowOff>0</xdr:rowOff>
    </xdr:from>
    <xdr:to>
      <xdr:col>10</xdr:col>
      <xdr:colOff>2514600</xdr:colOff>
      <xdr:row>24</xdr:row>
      <xdr:rowOff>180975</xdr:rowOff>
    </xdr:to>
    <xdr:pic>
      <xdr:nvPicPr>
        <xdr:cNvPr id="2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82025" y="3924300"/>
          <a:ext cx="1762125" cy="37147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</xdr:pic>
    <xdr:clientData/>
  </xdr:twoCellAnchor>
  <xdr:twoCellAnchor>
    <xdr:from>
      <xdr:col>10</xdr:col>
      <xdr:colOff>971550</xdr:colOff>
      <xdr:row>38</xdr:row>
      <xdr:rowOff>180975</xdr:rowOff>
    </xdr:from>
    <xdr:to>
      <xdr:col>10</xdr:col>
      <xdr:colOff>2085975</xdr:colOff>
      <xdr:row>40</xdr:row>
      <xdr:rowOff>190500</xdr:rowOff>
    </xdr:to>
    <xdr:pic>
      <xdr:nvPicPr>
        <xdr:cNvPr id="2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801100" y="7019925"/>
          <a:ext cx="1114425" cy="39052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</xdr:pic>
    <xdr:clientData/>
  </xdr:twoCellAnchor>
  <xdr:twoCellAnchor>
    <xdr:from>
      <xdr:col>10</xdr:col>
      <xdr:colOff>942975</xdr:colOff>
      <xdr:row>42</xdr:row>
      <xdr:rowOff>180975</xdr:rowOff>
    </xdr:from>
    <xdr:to>
      <xdr:col>10</xdr:col>
      <xdr:colOff>2219325</xdr:colOff>
      <xdr:row>44</xdr:row>
      <xdr:rowOff>180975</xdr:rowOff>
    </xdr:to>
    <xdr:pic>
      <xdr:nvPicPr>
        <xdr:cNvPr id="2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772525" y="7800975"/>
          <a:ext cx="1276350" cy="38100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</xdr:pic>
    <xdr:clientData/>
  </xdr:twoCellAnchor>
  <xdr:twoCellAnchor>
    <xdr:from>
      <xdr:col>10</xdr:col>
      <xdr:colOff>952500</xdr:colOff>
      <xdr:row>46</xdr:row>
      <xdr:rowOff>180975</xdr:rowOff>
    </xdr:from>
    <xdr:to>
      <xdr:col>10</xdr:col>
      <xdr:colOff>2028825</xdr:colOff>
      <xdr:row>48</xdr:row>
      <xdr:rowOff>171450</xdr:rowOff>
    </xdr:to>
    <xdr:pic>
      <xdr:nvPicPr>
        <xdr:cNvPr id="25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782050" y="8582025"/>
          <a:ext cx="1076325" cy="37147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19"/>
  <sheetViews>
    <sheetView tabSelected="1" workbookViewId="0"/>
  </sheetViews>
  <sheetFormatPr defaultRowHeight="15" x14ac:dyDescent="0.25"/>
  <cols>
    <col min="2" max="2" width="54.85546875" style="52" customWidth="1"/>
  </cols>
  <sheetData>
    <row r="4" spans="2:2" x14ac:dyDescent="0.25">
      <c r="B4" s="53" t="s">
        <v>87</v>
      </c>
    </row>
    <row r="5" spans="2:2" x14ac:dyDescent="0.25">
      <c r="B5" s="54"/>
    </row>
    <row r="6" spans="2:2" ht="30" x14ac:dyDescent="0.25">
      <c r="B6" s="54" t="s">
        <v>81</v>
      </c>
    </row>
    <row r="7" spans="2:2" x14ac:dyDescent="0.25">
      <c r="B7" s="54"/>
    </row>
    <row r="9" spans="2:2" x14ac:dyDescent="0.25">
      <c r="B9" s="52" t="s">
        <v>82</v>
      </c>
    </row>
    <row r="10" spans="2:2" ht="30" x14ac:dyDescent="0.25">
      <c r="B10" s="52" t="s">
        <v>83</v>
      </c>
    </row>
    <row r="15" spans="2:2" x14ac:dyDescent="0.25">
      <c r="B15" s="55" t="s">
        <v>89</v>
      </c>
    </row>
    <row r="16" spans="2:2" x14ac:dyDescent="0.25">
      <c r="B16" s="55" t="s">
        <v>88</v>
      </c>
    </row>
    <row r="17" spans="2:2" x14ac:dyDescent="0.25">
      <c r="B17" s="55" t="s">
        <v>84</v>
      </c>
    </row>
    <row r="18" spans="2:2" x14ac:dyDescent="0.25">
      <c r="B18" s="55" t="s">
        <v>85</v>
      </c>
    </row>
    <row r="19" spans="2:2" x14ac:dyDescent="0.25">
      <c r="B19" s="55" t="s">
        <v>86</v>
      </c>
    </row>
  </sheetData>
  <sheetProtection password="F765"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B3" sqref="B3"/>
    </sheetView>
  </sheetViews>
  <sheetFormatPr defaultRowHeight="15" x14ac:dyDescent="0.25"/>
  <cols>
    <col min="1" max="1" width="16.85546875" bestFit="1" customWidth="1"/>
    <col min="2" max="2" width="7.42578125" customWidth="1"/>
    <col min="3" max="3" width="5.140625" bestFit="1" customWidth="1"/>
    <col min="4" max="4" width="57.140625" customWidth="1"/>
    <col min="5" max="7" width="2.140625" customWidth="1"/>
    <col min="8" max="8" width="11.42578125" bestFit="1" customWidth="1"/>
    <col min="9" max="9" width="7.85546875" customWidth="1"/>
    <col min="10" max="10" width="5.140625" bestFit="1" customWidth="1"/>
    <col min="11" max="11" width="57.140625" customWidth="1"/>
    <col min="12" max="14" width="2.140625" customWidth="1"/>
    <col min="15" max="16" width="0" hidden="1" customWidth="1"/>
  </cols>
  <sheetData>
    <row r="1" spans="1:16" ht="15.75" thickBot="1" x14ac:dyDescent="0.3">
      <c r="A1" s="31" t="s">
        <v>0</v>
      </c>
      <c r="B1" s="32"/>
      <c r="C1" s="32"/>
      <c r="D1" s="33"/>
      <c r="H1" s="31" t="s">
        <v>1</v>
      </c>
      <c r="I1" s="32"/>
      <c r="J1" s="32"/>
      <c r="K1" s="33"/>
    </row>
    <row r="2" spans="1:16" ht="15.75" thickBot="1" x14ac:dyDescent="0.3">
      <c r="A2" t="s">
        <v>2</v>
      </c>
      <c r="B2" t="s">
        <v>3</v>
      </c>
      <c r="C2" t="s">
        <v>4</v>
      </c>
      <c r="D2" t="s">
        <v>5</v>
      </c>
      <c r="H2" t="s">
        <v>2</v>
      </c>
      <c r="I2" t="s">
        <v>3</v>
      </c>
      <c r="J2" t="s">
        <v>4</v>
      </c>
      <c r="K2" t="s">
        <v>5</v>
      </c>
    </row>
    <row r="3" spans="1:16" x14ac:dyDescent="0.25">
      <c r="A3" s="1" t="s">
        <v>6</v>
      </c>
      <c r="B3" s="2">
        <v>6</v>
      </c>
      <c r="C3" s="1" t="s">
        <v>7</v>
      </c>
      <c r="D3" s="1" t="s">
        <v>8</v>
      </c>
      <c r="H3" s="17" t="s">
        <v>9</v>
      </c>
      <c r="I3" s="20">
        <f>MAX(0.09,(B8/B7))</f>
        <v>0.2824858757062147</v>
      </c>
      <c r="J3" s="34"/>
      <c r="K3" s="26" t="s">
        <v>10</v>
      </c>
      <c r="O3" t="s">
        <v>11</v>
      </c>
      <c r="P3" t="s">
        <v>12</v>
      </c>
    </row>
    <row r="4" spans="1:16" hidden="1" x14ac:dyDescent="0.25">
      <c r="A4" s="1" t="s">
        <v>13</v>
      </c>
      <c r="B4" s="2">
        <v>0.2</v>
      </c>
      <c r="C4" s="3" t="s">
        <v>14</v>
      </c>
      <c r="D4" s="1" t="s">
        <v>15</v>
      </c>
      <c r="H4" s="18"/>
      <c r="I4" s="21"/>
      <c r="J4" s="24"/>
      <c r="K4" s="27"/>
    </row>
    <row r="5" spans="1:16" hidden="1" x14ac:dyDescent="0.25">
      <c r="A5" s="1" t="s">
        <v>16</v>
      </c>
      <c r="B5" s="2">
        <f>B3-(B9*B4)</f>
        <v>5.7</v>
      </c>
      <c r="C5" s="1" t="s">
        <v>7</v>
      </c>
      <c r="D5" s="1" t="s">
        <v>17</v>
      </c>
      <c r="H5" s="18"/>
      <c r="I5" s="21"/>
      <c r="J5" s="24"/>
      <c r="K5" s="27"/>
    </row>
    <row r="6" spans="1:16" x14ac:dyDescent="0.25">
      <c r="A6" s="1" t="s">
        <v>18</v>
      </c>
      <c r="B6" s="2">
        <v>18</v>
      </c>
      <c r="C6" s="1" t="s">
        <v>7</v>
      </c>
      <c r="D6" s="1" t="s">
        <v>19</v>
      </c>
      <c r="H6" s="18"/>
      <c r="I6" s="21"/>
      <c r="J6" s="24"/>
      <c r="K6" s="27"/>
      <c r="O6">
        <v>3.3</v>
      </c>
      <c r="P6">
        <v>0.6</v>
      </c>
    </row>
    <row r="7" spans="1:16" hidden="1" x14ac:dyDescent="0.25">
      <c r="A7" s="1" t="s">
        <v>20</v>
      </c>
      <c r="B7" s="2">
        <f>B6-B9*B4</f>
        <v>17.7</v>
      </c>
      <c r="C7" s="1" t="s">
        <v>7</v>
      </c>
      <c r="D7" s="1" t="s">
        <v>17</v>
      </c>
      <c r="H7" s="18"/>
      <c r="I7" s="21"/>
      <c r="J7" s="24"/>
      <c r="K7" s="27"/>
    </row>
    <row r="8" spans="1:16" ht="15.75" thickBot="1" x14ac:dyDescent="0.3">
      <c r="A8" s="1" t="s">
        <v>21</v>
      </c>
      <c r="B8" s="2">
        <v>5</v>
      </c>
      <c r="C8" s="1" t="s">
        <v>7</v>
      </c>
      <c r="D8" s="1" t="s">
        <v>22</v>
      </c>
      <c r="H8" s="19"/>
      <c r="I8" s="22"/>
      <c r="J8" s="25"/>
      <c r="K8" s="28"/>
      <c r="O8">
        <v>5</v>
      </c>
      <c r="P8">
        <v>1</v>
      </c>
    </row>
    <row r="9" spans="1:16" ht="15.75" thickBot="1" x14ac:dyDescent="0.3">
      <c r="A9" s="1" t="s">
        <v>23</v>
      </c>
      <c r="B9" s="2">
        <v>1.5</v>
      </c>
      <c r="C9" s="1" t="s">
        <v>24</v>
      </c>
      <c r="D9" s="1" t="s">
        <v>25</v>
      </c>
      <c r="H9" s="4"/>
      <c r="I9" s="5"/>
      <c r="J9" s="4"/>
      <c r="K9" s="4"/>
      <c r="P9">
        <v>1.5</v>
      </c>
    </row>
    <row r="10" spans="1:16" x14ac:dyDescent="0.25">
      <c r="A10" s="1" t="s">
        <v>26</v>
      </c>
      <c r="B10" s="6">
        <v>30</v>
      </c>
      <c r="C10" s="1" t="s">
        <v>27</v>
      </c>
      <c r="D10" s="1" t="s">
        <v>28</v>
      </c>
      <c r="H10" s="17" t="s">
        <v>29</v>
      </c>
      <c r="I10" s="20">
        <f>MIN(0.94,(B8/B5))</f>
        <v>0.8771929824561403</v>
      </c>
      <c r="J10" s="34"/>
      <c r="K10" s="26" t="s">
        <v>30</v>
      </c>
      <c r="P10">
        <v>2.2000000000000002</v>
      </c>
    </row>
    <row r="11" spans="1:16" x14ac:dyDescent="0.25">
      <c r="A11" s="1" t="s">
        <v>31</v>
      </c>
      <c r="B11" s="7">
        <v>2</v>
      </c>
      <c r="C11" s="1" t="s">
        <v>32</v>
      </c>
      <c r="D11" s="1" t="s">
        <v>33</v>
      </c>
      <c r="H11" s="18"/>
      <c r="I11" s="21"/>
      <c r="J11" s="24"/>
      <c r="K11" s="27"/>
      <c r="P11">
        <v>4.7</v>
      </c>
    </row>
    <row r="12" spans="1:16" ht="15.75" thickBot="1" x14ac:dyDescent="0.3">
      <c r="A12" s="8"/>
      <c r="B12" s="8"/>
      <c r="C12" s="8"/>
      <c r="D12" s="8"/>
      <c r="H12" s="19"/>
      <c r="I12" s="22"/>
      <c r="J12" s="25"/>
      <c r="K12" s="28"/>
      <c r="P12">
        <v>6.8</v>
      </c>
    </row>
    <row r="13" spans="1:16" ht="15.75" thickBot="1" x14ac:dyDescent="0.3">
      <c r="A13" s="31" t="s">
        <v>34</v>
      </c>
      <c r="B13" s="32"/>
      <c r="C13" s="32"/>
      <c r="D13" s="33"/>
    </row>
    <row r="14" spans="1:16" x14ac:dyDescent="0.25">
      <c r="A14" s="1" t="s">
        <v>35</v>
      </c>
      <c r="B14" s="2">
        <f>B3*1%</f>
        <v>0.06</v>
      </c>
      <c r="C14" s="1" t="s">
        <v>7</v>
      </c>
      <c r="D14" s="1"/>
      <c r="H14" s="17" t="s">
        <v>36</v>
      </c>
      <c r="I14" s="20">
        <f>(B11*1000/PI())*SQRT((2*B15)/((1-I3)*B8))</f>
        <v>150.31242845369016</v>
      </c>
      <c r="J14" s="34" t="s">
        <v>37</v>
      </c>
      <c r="K14" s="26" t="s">
        <v>38</v>
      </c>
    </row>
    <row r="15" spans="1:16" x14ac:dyDescent="0.25">
      <c r="A15" s="1" t="s">
        <v>39</v>
      </c>
      <c r="B15" s="2">
        <f>B8*2%</f>
        <v>0.1</v>
      </c>
      <c r="C15" s="1" t="s">
        <v>7</v>
      </c>
      <c r="D15" s="1" t="s">
        <v>40</v>
      </c>
      <c r="H15" s="18"/>
      <c r="I15" s="21"/>
      <c r="J15" s="24"/>
      <c r="K15" s="27"/>
    </row>
    <row r="16" spans="1:16" ht="15.75" thickBot="1" x14ac:dyDescent="0.3">
      <c r="A16" s="8"/>
      <c r="B16" s="8"/>
      <c r="C16" s="8"/>
      <c r="D16" s="8"/>
      <c r="H16" s="18"/>
      <c r="I16" s="21"/>
      <c r="J16" s="24"/>
      <c r="K16" s="27"/>
    </row>
    <row r="17" spans="1:11" ht="15.75" thickBot="1" x14ac:dyDescent="0.3">
      <c r="A17" s="31" t="s">
        <v>41</v>
      </c>
      <c r="B17" s="32"/>
      <c r="C17" s="32"/>
      <c r="D17" s="33"/>
      <c r="H17" s="19"/>
      <c r="I17" s="22"/>
      <c r="J17" s="25"/>
      <c r="K17" s="28"/>
    </row>
    <row r="18" spans="1:11" ht="15.75" thickBot="1" x14ac:dyDescent="0.3">
      <c r="A18" s="1" t="s">
        <v>42</v>
      </c>
      <c r="B18" s="2">
        <f>B6*5%</f>
        <v>0.9</v>
      </c>
      <c r="C18" s="1" t="s">
        <v>7</v>
      </c>
      <c r="D18" s="1" t="s">
        <v>43</v>
      </c>
      <c r="H18" s="8"/>
      <c r="I18" s="9"/>
      <c r="J18" s="8"/>
      <c r="K18" s="8"/>
    </row>
    <row r="19" spans="1:11" x14ac:dyDescent="0.25">
      <c r="A19" s="1" t="s">
        <v>44</v>
      </c>
      <c r="B19" s="2">
        <v>0.2</v>
      </c>
      <c r="C19" s="1" t="s">
        <v>7</v>
      </c>
      <c r="D19" s="1" t="s">
        <v>45</v>
      </c>
      <c r="H19" s="17" t="s">
        <v>46</v>
      </c>
      <c r="I19" s="20">
        <f>B9+(B8*(1-I3))/(2*I32/1000000*B11*1000000)</f>
        <v>1.6908282245462194</v>
      </c>
      <c r="J19" s="34" t="s">
        <v>24</v>
      </c>
      <c r="K19" s="26" t="s">
        <v>47</v>
      </c>
    </row>
    <row r="20" spans="1:11" x14ac:dyDescent="0.25">
      <c r="A20" s="1" t="s">
        <v>48</v>
      </c>
      <c r="B20" s="2">
        <v>1</v>
      </c>
      <c r="C20" s="1" t="s">
        <v>24</v>
      </c>
      <c r="D20" s="1" t="s">
        <v>49</v>
      </c>
      <c r="H20" s="18"/>
      <c r="I20" s="21"/>
      <c r="J20" s="24"/>
      <c r="K20" s="27"/>
    </row>
    <row r="21" spans="1:11" ht="15.75" thickBot="1" x14ac:dyDescent="0.3">
      <c r="A21" s="8"/>
      <c r="B21" s="8"/>
      <c r="C21" s="8"/>
      <c r="D21" s="8"/>
      <c r="H21" s="19"/>
      <c r="I21" s="22"/>
      <c r="J21" s="25"/>
      <c r="K21" s="28"/>
    </row>
    <row r="22" spans="1:11" ht="15.75" thickBot="1" x14ac:dyDescent="0.3">
      <c r="A22" s="31" t="s">
        <v>50</v>
      </c>
      <c r="B22" s="32"/>
      <c r="C22" s="32"/>
      <c r="D22" s="33"/>
    </row>
    <row r="23" spans="1:11" ht="15.75" thickBot="1" x14ac:dyDescent="0.3">
      <c r="A23" s="1" t="s">
        <v>51</v>
      </c>
      <c r="B23" s="7">
        <v>70</v>
      </c>
      <c r="C23" s="1" t="s">
        <v>37</v>
      </c>
      <c r="D23" s="1" t="s">
        <v>52</v>
      </c>
      <c r="H23" s="31" t="s">
        <v>53</v>
      </c>
      <c r="I23" s="32"/>
      <c r="J23" s="32"/>
      <c r="K23" s="33"/>
    </row>
    <row r="24" spans="1:11" ht="15.75" thickBot="1" x14ac:dyDescent="0.3">
      <c r="A24" s="1" t="s">
        <v>54</v>
      </c>
      <c r="B24" s="2">
        <v>2.2000000000000002</v>
      </c>
      <c r="C24" s="1" t="s">
        <v>55</v>
      </c>
      <c r="D24" s="1" t="s">
        <v>56</v>
      </c>
    </row>
    <row r="25" spans="1:11" x14ac:dyDescent="0.25">
      <c r="H25" s="17" t="s">
        <v>57</v>
      </c>
      <c r="I25" s="20">
        <f>(B8*(1-I3))/(B10/100*B11*1000000*B9)*1000000</f>
        <v>3.9861895794099187</v>
      </c>
      <c r="J25" s="23" t="s">
        <v>58</v>
      </c>
      <c r="K25" s="26" t="s">
        <v>59</v>
      </c>
    </row>
    <row r="26" spans="1:11" x14ac:dyDescent="0.25">
      <c r="H26" s="18"/>
      <c r="I26" s="21"/>
      <c r="J26" s="24"/>
      <c r="K26" s="27"/>
    </row>
    <row r="27" spans="1:11" x14ac:dyDescent="0.25">
      <c r="H27" s="18"/>
      <c r="I27" s="21"/>
      <c r="J27" s="24"/>
      <c r="K27" s="27"/>
    </row>
    <row r="28" spans="1:11" x14ac:dyDescent="0.25">
      <c r="H28" s="18" t="s">
        <v>60</v>
      </c>
      <c r="I28" s="24">
        <f>B24*2</f>
        <v>4.4000000000000004</v>
      </c>
      <c r="J28" s="29" t="s">
        <v>61</v>
      </c>
      <c r="K28" s="30" t="s">
        <v>62</v>
      </c>
    </row>
    <row r="29" spans="1:11" x14ac:dyDescent="0.25">
      <c r="H29" s="18"/>
      <c r="I29" s="24"/>
      <c r="J29" s="24"/>
      <c r="K29" s="30"/>
    </row>
    <row r="30" spans="1:11" x14ac:dyDescent="0.25">
      <c r="H30" s="18" t="s">
        <v>63</v>
      </c>
      <c r="I30" s="21">
        <f>B8/(I28*1000000)*1000000</f>
        <v>1.1363636363636365</v>
      </c>
      <c r="J30" s="29" t="s">
        <v>58</v>
      </c>
      <c r="K30" s="30" t="s">
        <v>64</v>
      </c>
    </row>
    <row r="31" spans="1:11" x14ac:dyDescent="0.25">
      <c r="H31" s="18"/>
      <c r="I31" s="21"/>
      <c r="J31" s="24"/>
      <c r="K31" s="30"/>
    </row>
    <row r="32" spans="1:11" x14ac:dyDescent="0.25">
      <c r="H32" s="10" t="s">
        <v>65</v>
      </c>
      <c r="I32" s="12">
        <v>4.7</v>
      </c>
      <c r="J32" s="13" t="s">
        <v>58</v>
      </c>
      <c r="K32" s="15" t="s">
        <v>66</v>
      </c>
    </row>
    <row r="33" spans="8:11" ht="15.75" thickBot="1" x14ac:dyDescent="0.3">
      <c r="H33" s="11"/>
      <c r="I33" s="12"/>
      <c r="J33" s="14"/>
      <c r="K33" s="16"/>
    </row>
    <row r="34" spans="8:11" ht="15.75" thickBot="1" x14ac:dyDescent="0.3"/>
    <row r="35" spans="8:11" x14ac:dyDescent="0.25">
      <c r="H35" s="17" t="s">
        <v>67</v>
      </c>
      <c r="I35" s="20">
        <f>1/(4*PI()^2*(I14*1000)^2*I32/1000000)*1000000</f>
        <v>0.23853528068277424</v>
      </c>
      <c r="J35" s="23" t="s">
        <v>68</v>
      </c>
      <c r="K35" s="26" t="s">
        <v>69</v>
      </c>
    </row>
    <row r="36" spans="8:11" x14ac:dyDescent="0.25">
      <c r="H36" s="18"/>
      <c r="I36" s="21"/>
      <c r="J36" s="24"/>
      <c r="K36" s="27"/>
    </row>
    <row r="37" spans="8:11" ht="15.75" thickBot="1" x14ac:dyDescent="0.3">
      <c r="H37" s="19"/>
      <c r="I37" s="22"/>
      <c r="J37" s="25"/>
      <c r="K37" s="28"/>
    </row>
    <row r="38" spans="8:11" ht="15.75" thickBot="1" x14ac:dyDescent="0.3"/>
    <row r="39" spans="8:11" x14ac:dyDescent="0.25">
      <c r="H39" s="17" t="s">
        <v>70</v>
      </c>
      <c r="I39" s="20">
        <f>(B20/(2*PI()*B23*1000*B19))*1000000</f>
        <v>11.368210220849669</v>
      </c>
      <c r="J39" s="23" t="s">
        <v>68</v>
      </c>
      <c r="K39" s="26" t="s">
        <v>71</v>
      </c>
    </row>
    <row r="40" spans="8:11" x14ac:dyDescent="0.25">
      <c r="H40" s="18"/>
      <c r="I40" s="21"/>
      <c r="J40" s="24"/>
      <c r="K40" s="27"/>
    </row>
    <row r="41" spans="8:11" ht="15.75" thickBot="1" x14ac:dyDescent="0.3">
      <c r="H41" s="19"/>
      <c r="I41" s="22"/>
      <c r="J41" s="25"/>
      <c r="K41" s="28"/>
    </row>
    <row r="42" spans="8:11" ht="15.75" thickBot="1" x14ac:dyDescent="0.3"/>
    <row r="43" spans="8:11" x14ac:dyDescent="0.25">
      <c r="H43" s="17" t="s">
        <v>72</v>
      </c>
      <c r="I43" s="20">
        <f>B9/(B11*1000000*B18)*1000000</f>
        <v>0.83333333333333337</v>
      </c>
      <c r="J43" s="23" t="s">
        <v>68</v>
      </c>
      <c r="K43" s="26" t="s">
        <v>73</v>
      </c>
    </row>
    <row r="44" spans="8:11" x14ac:dyDescent="0.25">
      <c r="H44" s="18"/>
      <c r="I44" s="21"/>
      <c r="J44" s="24"/>
      <c r="K44" s="27"/>
    </row>
    <row r="45" spans="8:11" ht="15.75" thickBot="1" x14ac:dyDescent="0.3">
      <c r="H45" s="19"/>
      <c r="I45" s="22"/>
      <c r="J45" s="25"/>
      <c r="K45" s="28"/>
    </row>
    <row r="46" spans="8:11" ht="15.75" thickBot="1" x14ac:dyDescent="0.3"/>
    <row r="47" spans="8:11" x14ac:dyDescent="0.25">
      <c r="H47" s="35" t="s">
        <v>74</v>
      </c>
      <c r="I47" s="12">
        <v>100</v>
      </c>
      <c r="J47" s="36" t="s">
        <v>68</v>
      </c>
      <c r="K47" s="41" t="s">
        <v>75</v>
      </c>
    </row>
    <row r="48" spans="8:11" x14ac:dyDescent="0.25">
      <c r="H48" s="37"/>
      <c r="I48" s="12"/>
      <c r="J48" s="38"/>
      <c r="K48" s="42"/>
    </row>
    <row r="49" spans="8:11" ht="15.75" thickBot="1" x14ac:dyDescent="0.3">
      <c r="H49" s="39"/>
      <c r="I49" s="12"/>
      <c r="J49" s="40"/>
      <c r="K49" s="43"/>
    </row>
    <row r="50" spans="8:11" x14ac:dyDescent="0.25">
      <c r="I50" s="44"/>
    </row>
  </sheetData>
  <sheetProtection password="F765" sheet="1" objects="1" scenarios="1" selectLockedCells="1"/>
  <mergeCells count="54">
    <mergeCell ref="J47:J49"/>
    <mergeCell ref="H47:H49"/>
    <mergeCell ref="I47:I49"/>
    <mergeCell ref="K47:K49"/>
    <mergeCell ref="A1:D1"/>
    <mergeCell ref="H1:K1"/>
    <mergeCell ref="H3:H8"/>
    <mergeCell ref="I3:I8"/>
    <mergeCell ref="J3:J8"/>
    <mergeCell ref="K3:K8"/>
    <mergeCell ref="A13:D13"/>
    <mergeCell ref="H14:H17"/>
    <mergeCell ref="I14:I17"/>
    <mergeCell ref="J14:J17"/>
    <mergeCell ref="K14:K17"/>
    <mergeCell ref="A17:D17"/>
    <mergeCell ref="H10:H12"/>
    <mergeCell ref="I10:I12"/>
    <mergeCell ref="J10:J12"/>
    <mergeCell ref="K10:K12"/>
    <mergeCell ref="H19:H21"/>
    <mergeCell ref="I19:I21"/>
    <mergeCell ref="J19:J21"/>
    <mergeCell ref="K19:K21"/>
    <mergeCell ref="A22:D22"/>
    <mergeCell ref="H25:H27"/>
    <mergeCell ref="I25:I27"/>
    <mergeCell ref="J25:J27"/>
    <mergeCell ref="K25:K27"/>
    <mergeCell ref="H23:K23"/>
    <mergeCell ref="H28:H29"/>
    <mergeCell ref="I28:I29"/>
    <mergeCell ref="J28:J29"/>
    <mergeCell ref="K28:K29"/>
    <mergeCell ref="H30:H31"/>
    <mergeCell ref="I30:I31"/>
    <mergeCell ref="J30:J31"/>
    <mergeCell ref="K30:K31"/>
    <mergeCell ref="H32:H33"/>
    <mergeCell ref="I32:I33"/>
    <mergeCell ref="J32:J33"/>
    <mergeCell ref="K32:K33"/>
    <mergeCell ref="H43:H45"/>
    <mergeCell ref="I43:I45"/>
    <mergeCell ref="J43:J45"/>
    <mergeCell ref="K43:K45"/>
    <mergeCell ref="H35:H37"/>
    <mergeCell ref="I35:I37"/>
    <mergeCell ref="J35:J37"/>
    <mergeCell ref="K35:K37"/>
    <mergeCell ref="H39:H41"/>
    <mergeCell ref="I39:I41"/>
    <mergeCell ref="J39:J41"/>
    <mergeCell ref="K39:K41"/>
  </mergeCells>
  <pageMargins left="0.7" right="0.7" top="0.75" bottom="0.75" header="0.3" footer="0.3"/>
  <pageSetup orientation="portrait" r:id="rId1"/>
  <ignoredErrors>
    <ignoredError sqref="B14:B15 B18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B3" sqref="B3"/>
    </sheetView>
  </sheetViews>
  <sheetFormatPr defaultRowHeight="15" x14ac:dyDescent="0.25"/>
  <cols>
    <col min="1" max="1" width="16.85546875" bestFit="1" customWidth="1"/>
    <col min="2" max="2" width="7.42578125" customWidth="1"/>
    <col min="3" max="3" width="5.140625" bestFit="1" customWidth="1"/>
    <col min="4" max="4" width="57.140625" customWidth="1"/>
    <col min="5" max="7" width="2.140625" customWidth="1"/>
    <col min="8" max="8" width="11.42578125" bestFit="1" customWidth="1"/>
    <col min="9" max="9" width="7.85546875" customWidth="1"/>
    <col min="10" max="10" width="5.140625" bestFit="1" customWidth="1"/>
    <col min="11" max="11" width="57.140625" customWidth="1"/>
    <col min="12" max="14" width="2.140625" customWidth="1"/>
    <col min="15" max="16" width="0" hidden="1" customWidth="1"/>
  </cols>
  <sheetData>
    <row r="1" spans="1:16" ht="15.75" thickBot="1" x14ac:dyDescent="0.3">
      <c r="A1" s="31" t="s">
        <v>0</v>
      </c>
      <c r="B1" s="32"/>
      <c r="C1" s="32"/>
      <c r="D1" s="33"/>
      <c r="H1" s="31" t="s">
        <v>1</v>
      </c>
      <c r="I1" s="32"/>
      <c r="J1" s="32"/>
      <c r="K1" s="33"/>
    </row>
    <row r="2" spans="1:16" ht="15.75" thickBot="1" x14ac:dyDescent="0.3">
      <c r="A2" t="s">
        <v>2</v>
      </c>
      <c r="B2" t="s">
        <v>3</v>
      </c>
      <c r="C2" t="s">
        <v>4</v>
      </c>
      <c r="D2" t="s">
        <v>5</v>
      </c>
      <c r="H2" t="s">
        <v>2</v>
      </c>
      <c r="I2" t="s">
        <v>3</v>
      </c>
      <c r="J2" t="s">
        <v>4</v>
      </c>
      <c r="K2" t="s">
        <v>5</v>
      </c>
    </row>
    <row r="3" spans="1:16" ht="15.75" thickBot="1" x14ac:dyDescent="0.3">
      <c r="A3" s="1" t="s">
        <v>6</v>
      </c>
      <c r="B3" s="2">
        <v>5</v>
      </c>
      <c r="C3" s="1" t="s">
        <v>7</v>
      </c>
      <c r="D3" s="1" t="s">
        <v>8</v>
      </c>
      <c r="H3" s="49" t="s">
        <v>76</v>
      </c>
      <c r="I3" s="50">
        <v>10</v>
      </c>
      <c r="J3" s="50" t="s">
        <v>78</v>
      </c>
      <c r="K3" s="48" t="s">
        <v>79</v>
      </c>
      <c r="O3" t="s">
        <v>11</v>
      </c>
      <c r="P3" t="s">
        <v>12</v>
      </c>
    </row>
    <row r="4" spans="1:16" hidden="1" x14ac:dyDescent="0.25">
      <c r="A4" s="1" t="s">
        <v>13</v>
      </c>
      <c r="B4" s="2">
        <v>0.2</v>
      </c>
      <c r="C4" s="3" t="s">
        <v>14</v>
      </c>
      <c r="D4" s="1" t="s">
        <v>15</v>
      </c>
    </row>
    <row r="5" spans="1:16" hidden="1" x14ac:dyDescent="0.25">
      <c r="A5" s="1" t="s">
        <v>16</v>
      </c>
      <c r="B5" s="2">
        <f>B3-(B9*B4)</f>
        <v>4.8</v>
      </c>
      <c r="C5" s="1" t="s">
        <v>7</v>
      </c>
      <c r="D5" s="1" t="s">
        <v>17</v>
      </c>
    </row>
    <row r="6" spans="1:16" ht="15.75" thickBot="1" x14ac:dyDescent="0.3">
      <c r="A6" s="1" t="s">
        <v>18</v>
      </c>
      <c r="B6" s="2">
        <v>5</v>
      </c>
      <c r="C6" s="1" t="s">
        <v>7</v>
      </c>
      <c r="D6" s="1" t="s">
        <v>19</v>
      </c>
      <c r="O6">
        <v>3.3</v>
      </c>
      <c r="P6">
        <v>0.6</v>
      </c>
    </row>
    <row r="7" spans="1:16" hidden="1" x14ac:dyDescent="0.25">
      <c r="A7" s="1" t="s">
        <v>20</v>
      </c>
      <c r="B7" s="2">
        <f>B6-B9*B4</f>
        <v>4.8</v>
      </c>
      <c r="C7" s="1" t="s">
        <v>7</v>
      </c>
      <c r="D7" s="1" t="s">
        <v>17</v>
      </c>
    </row>
    <row r="8" spans="1:16" ht="15.75" thickBot="1" x14ac:dyDescent="0.3">
      <c r="A8" s="1" t="s">
        <v>21</v>
      </c>
      <c r="B8" s="2">
        <v>3.3</v>
      </c>
      <c r="C8" s="1" t="s">
        <v>7</v>
      </c>
      <c r="D8" s="1" t="s">
        <v>22</v>
      </c>
      <c r="H8" s="49" t="s">
        <v>77</v>
      </c>
      <c r="I8" s="51">
        <f>IF(B8&gt;1.2,I3*(1.2)/(B8-1.2),IF(B8=1.2,"Open","Error"))</f>
        <v>5.7142857142857153</v>
      </c>
      <c r="J8" s="50" t="s">
        <v>78</v>
      </c>
      <c r="K8" s="48" t="s">
        <v>80</v>
      </c>
      <c r="O8">
        <v>5</v>
      </c>
      <c r="P8">
        <v>1</v>
      </c>
    </row>
    <row r="9" spans="1:16" ht="15.75" thickBot="1" x14ac:dyDescent="0.3">
      <c r="A9" s="1" t="s">
        <v>23</v>
      </c>
      <c r="B9" s="2">
        <v>1</v>
      </c>
      <c r="C9" s="1" t="s">
        <v>24</v>
      </c>
      <c r="D9" s="1" t="s">
        <v>25</v>
      </c>
      <c r="P9">
        <v>1.5</v>
      </c>
    </row>
    <row r="10" spans="1:16" x14ac:dyDescent="0.25">
      <c r="A10" s="1" t="s">
        <v>26</v>
      </c>
      <c r="B10" s="6">
        <v>30</v>
      </c>
      <c r="C10" s="1" t="s">
        <v>27</v>
      </c>
      <c r="D10" s="1" t="s">
        <v>28</v>
      </c>
      <c r="H10" s="17" t="s">
        <v>9</v>
      </c>
      <c r="I10" s="20">
        <f>MAX(0.09,(B8/B6))</f>
        <v>0.65999999999999992</v>
      </c>
      <c r="J10" s="34"/>
      <c r="K10" s="26" t="s">
        <v>10</v>
      </c>
      <c r="P10">
        <v>2.2000000000000002</v>
      </c>
    </row>
    <row r="11" spans="1:16" x14ac:dyDescent="0.25">
      <c r="A11" s="1" t="s">
        <v>31</v>
      </c>
      <c r="B11" s="7">
        <v>2</v>
      </c>
      <c r="C11" s="1" t="s">
        <v>32</v>
      </c>
      <c r="D11" s="1" t="s">
        <v>33</v>
      </c>
      <c r="H11" s="18"/>
      <c r="I11" s="21"/>
      <c r="J11" s="24"/>
      <c r="K11" s="27"/>
      <c r="P11">
        <v>4.7</v>
      </c>
    </row>
    <row r="12" spans="1:16" ht="15.75" thickBot="1" x14ac:dyDescent="0.3">
      <c r="A12" s="8"/>
      <c r="B12" s="8"/>
      <c r="C12" s="8"/>
      <c r="D12" s="8"/>
      <c r="H12" s="19"/>
      <c r="I12" s="22"/>
      <c r="J12" s="25"/>
      <c r="K12" s="28"/>
      <c r="P12">
        <v>6.8</v>
      </c>
    </row>
    <row r="13" spans="1:16" ht="15.75" thickBot="1" x14ac:dyDescent="0.3">
      <c r="A13" s="31" t="s">
        <v>34</v>
      </c>
      <c r="B13" s="32"/>
      <c r="C13" s="32"/>
      <c r="D13" s="33"/>
      <c r="H13" s="4"/>
      <c r="I13" s="5"/>
      <c r="J13" s="4"/>
      <c r="K13" s="4"/>
    </row>
    <row r="14" spans="1:16" x14ac:dyDescent="0.25">
      <c r="A14" s="1" t="s">
        <v>35</v>
      </c>
      <c r="B14" s="2">
        <f>B3*0.5%</f>
        <v>2.5000000000000001E-2</v>
      </c>
      <c r="C14" s="1" t="s">
        <v>7</v>
      </c>
      <c r="D14" s="1"/>
      <c r="H14" s="17" t="s">
        <v>29</v>
      </c>
      <c r="I14" s="20">
        <f>MIN(0.94,(B8/B5))</f>
        <v>0.6875</v>
      </c>
      <c r="J14" s="34"/>
      <c r="K14" s="26" t="s">
        <v>30</v>
      </c>
    </row>
    <row r="15" spans="1:16" x14ac:dyDescent="0.25">
      <c r="A15" s="1" t="s">
        <v>39</v>
      </c>
      <c r="B15" s="2">
        <f>B8*2%</f>
        <v>6.6000000000000003E-2</v>
      </c>
      <c r="C15" s="1" t="s">
        <v>7</v>
      </c>
      <c r="D15" s="1" t="s">
        <v>40</v>
      </c>
      <c r="H15" s="18"/>
      <c r="I15" s="21"/>
      <c r="J15" s="24"/>
      <c r="K15" s="27"/>
    </row>
    <row r="16" spans="1:16" ht="15.75" thickBot="1" x14ac:dyDescent="0.3">
      <c r="A16" s="8"/>
      <c r="B16" s="8"/>
      <c r="C16" s="8"/>
      <c r="D16" s="8"/>
      <c r="H16" s="19"/>
      <c r="I16" s="22"/>
      <c r="J16" s="25"/>
      <c r="K16" s="28"/>
    </row>
    <row r="17" spans="1:11" ht="15.75" thickBot="1" x14ac:dyDescent="0.3">
      <c r="A17" s="31" t="s">
        <v>41</v>
      </c>
      <c r="B17" s="32"/>
      <c r="C17" s="32"/>
      <c r="D17" s="33"/>
    </row>
    <row r="18" spans="1:11" x14ac:dyDescent="0.25">
      <c r="A18" s="1" t="s">
        <v>42</v>
      </c>
      <c r="B18" s="2">
        <f>B6*5%</f>
        <v>0.25</v>
      </c>
      <c r="C18" s="1" t="s">
        <v>7</v>
      </c>
      <c r="D18" s="1" t="s">
        <v>43</v>
      </c>
      <c r="H18" s="17" t="s">
        <v>36</v>
      </c>
      <c r="I18" s="20">
        <f>(B11*1000/PI())*SQRT((2*B15)/((1-I10)*B8))</f>
        <v>218.35878046957251</v>
      </c>
      <c r="J18" s="34" t="s">
        <v>37</v>
      </c>
      <c r="K18" s="26" t="s">
        <v>38</v>
      </c>
    </row>
    <row r="19" spans="1:11" x14ac:dyDescent="0.25">
      <c r="A19" s="1" t="s">
        <v>44</v>
      </c>
      <c r="B19" s="2">
        <v>0.2</v>
      </c>
      <c r="C19" s="1" t="s">
        <v>7</v>
      </c>
      <c r="D19" s="1" t="s">
        <v>45</v>
      </c>
      <c r="H19" s="18"/>
      <c r="I19" s="21"/>
      <c r="J19" s="24"/>
      <c r="K19" s="27"/>
    </row>
    <row r="20" spans="1:11" x14ac:dyDescent="0.25">
      <c r="A20" s="1" t="s">
        <v>48</v>
      </c>
      <c r="B20" s="2">
        <v>1</v>
      </c>
      <c r="C20" s="1" t="s">
        <v>24</v>
      </c>
      <c r="D20" s="1" t="s">
        <v>49</v>
      </c>
      <c r="H20" s="18"/>
      <c r="I20" s="21"/>
      <c r="J20" s="24"/>
      <c r="K20" s="27"/>
    </row>
    <row r="21" spans="1:11" ht="15.75" thickBot="1" x14ac:dyDescent="0.3">
      <c r="A21" s="8"/>
      <c r="B21" s="8"/>
      <c r="C21" s="8"/>
      <c r="D21" s="8"/>
      <c r="H21" s="19"/>
      <c r="I21" s="22"/>
      <c r="J21" s="25"/>
      <c r="K21" s="28"/>
    </row>
    <row r="22" spans="1:11" ht="15.75" thickBot="1" x14ac:dyDescent="0.3">
      <c r="A22" s="31" t="s">
        <v>50</v>
      </c>
      <c r="B22" s="32"/>
      <c r="C22" s="32"/>
      <c r="D22" s="33"/>
      <c r="H22" s="8"/>
      <c r="I22" s="9"/>
      <c r="J22" s="8"/>
      <c r="K22" s="8"/>
    </row>
    <row r="23" spans="1:11" x14ac:dyDescent="0.25">
      <c r="A23" s="1" t="s">
        <v>51</v>
      </c>
      <c r="B23" s="7">
        <v>70</v>
      </c>
      <c r="C23" s="1" t="s">
        <v>37</v>
      </c>
      <c r="D23" s="1" t="s">
        <v>52</v>
      </c>
      <c r="H23" s="17" t="s">
        <v>46</v>
      </c>
      <c r="I23" s="20">
        <f>B9+(B8*(1-I10))/(2*I36/1000000*B11*1000000)</f>
        <v>1.1274999999999999</v>
      </c>
      <c r="J23" s="34" t="s">
        <v>24</v>
      </c>
      <c r="K23" s="26" t="s">
        <v>47</v>
      </c>
    </row>
    <row r="24" spans="1:11" x14ac:dyDescent="0.25">
      <c r="A24" s="1" t="s">
        <v>54</v>
      </c>
      <c r="B24" s="2">
        <v>2.2000000000000002</v>
      </c>
      <c r="C24" s="1" t="s">
        <v>55</v>
      </c>
      <c r="D24" s="1" t="s">
        <v>56</v>
      </c>
      <c r="H24" s="18"/>
      <c r="I24" s="21"/>
      <c r="J24" s="24"/>
      <c r="K24" s="27"/>
    </row>
    <row r="25" spans="1:11" ht="15.75" thickBot="1" x14ac:dyDescent="0.3">
      <c r="H25" s="19"/>
      <c r="I25" s="22"/>
      <c r="J25" s="25"/>
      <c r="K25" s="28"/>
    </row>
    <row r="26" spans="1:11" ht="15.75" thickBot="1" x14ac:dyDescent="0.3"/>
    <row r="27" spans="1:11" ht="15.75" thickBot="1" x14ac:dyDescent="0.3">
      <c r="H27" s="31" t="s">
        <v>53</v>
      </c>
      <c r="I27" s="32"/>
      <c r="J27" s="32"/>
      <c r="K27" s="33"/>
    </row>
    <row r="28" spans="1:11" ht="15.75" thickBot="1" x14ac:dyDescent="0.3"/>
    <row r="29" spans="1:11" x14ac:dyDescent="0.25">
      <c r="H29" s="17" t="s">
        <v>57</v>
      </c>
      <c r="I29" s="20">
        <f>(B8*(1-I10))/(B10/100*B11*1000000*B9)*1000000</f>
        <v>1.87</v>
      </c>
      <c r="J29" s="23" t="s">
        <v>58</v>
      </c>
      <c r="K29" s="26" t="s">
        <v>59</v>
      </c>
    </row>
    <row r="30" spans="1:11" x14ac:dyDescent="0.25">
      <c r="H30" s="18"/>
      <c r="I30" s="21"/>
      <c r="J30" s="24"/>
      <c r="K30" s="27"/>
    </row>
    <row r="31" spans="1:11" x14ac:dyDescent="0.25">
      <c r="H31" s="18"/>
      <c r="I31" s="21"/>
      <c r="J31" s="24"/>
      <c r="K31" s="27"/>
    </row>
    <row r="32" spans="1:11" x14ac:dyDescent="0.25">
      <c r="H32" s="18" t="s">
        <v>60</v>
      </c>
      <c r="I32" s="24">
        <f>B24*2</f>
        <v>4.4000000000000004</v>
      </c>
      <c r="J32" s="29" t="s">
        <v>61</v>
      </c>
      <c r="K32" s="30" t="s">
        <v>62</v>
      </c>
    </row>
    <row r="33" spans="8:11" x14ac:dyDescent="0.25">
      <c r="H33" s="18"/>
      <c r="I33" s="24"/>
      <c r="J33" s="24"/>
      <c r="K33" s="30"/>
    </row>
    <row r="34" spans="8:11" x14ac:dyDescent="0.25">
      <c r="H34" s="18" t="s">
        <v>63</v>
      </c>
      <c r="I34" s="21">
        <f>B8/(I32*1000000)*1000000</f>
        <v>0.74999999999999989</v>
      </c>
      <c r="J34" s="29" t="s">
        <v>58</v>
      </c>
      <c r="K34" s="30" t="s">
        <v>64</v>
      </c>
    </row>
    <row r="35" spans="8:11" x14ac:dyDescent="0.25">
      <c r="H35" s="18"/>
      <c r="I35" s="21"/>
      <c r="J35" s="24"/>
      <c r="K35" s="30"/>
    </row>
    <row r="36" spans="8:11" x14ac:dyDescent="0.25">
      <c r="H36" s="10" t="s">
        <v>65</v>
      </c>
      <c r="I36" s="12">
        <v>2.2000000000000002</v>
      </c>
      <c r="J36" s="13" t="s">
        <v>58</v>
      </c>
      <c r="K36" s="15" t="s">
        <v>66</v>
      </c>
    </row>
    <row r="37" spans="8:11" ht="15.75" thickBot="1" x14ac:dyDescent="0.3">
      <c r="H37" s="11"/>
      <c r="I37" s="12"/>
      <c r="J37" s="14"/>
      <c r="K37" s="16"/>
    </row>
    <row r="38" spans="8:11" ht="15.75" thickBot="1" x14ac:dyDescent="0.3"/>
    <row r="39" spans="8:11" x14ac:dyDescent="0.25">
      <c r="H39" s="17" t="s">
        <v>67</v>
      </c>
      <c r="I39" s="20">
        <f>1/(4*PI()^2*(I18*1000)^2*I36/1000000)*1000000</f>
        <v>0.24147727272727268</v>
      </c>
      <c r="J39" s="23" t="s">
        <v>68</v>
      </c>
      <c r="K39" s="26" t="s">
        <v>69</v>
      </c>
    </row>
    <row r="40" spans="8:11" x14ac:dyDescent="0.25">
      <c r="H40" s="18"/>
      <c r="I40" s="21"/>
      <c r="J40" s="24"/>
      <c r="K40" s="27"/>
    </row>
    <row r="41" spans="8:11" ht="15.75" thickBot="1" x14ac:dyDescent="0.3">
      <c r="H41" s="19"/>
      <c r="I41" s="22"/>
      <c r="J41" s="25"/>
      <c r="K41" s="28"/>
    </row>
    <row r="42" spans="8:11" ht="15.75" thickBot="1" x14ac:dyDescent="0.3"/>
    <row r="43" spans="8:11" x14ac:dyDescent="0.25">
      <c r="H43" s="17" t="s">
        <v>70</v>
      </c>
      <c r="I43" s="20">
        <f>(B20/(2*PI()*B23*1000*B19))*1000000</f>
        <v>11.368210220849669</v>
      </c>
      <c r="J43" s="23" t="s">
        <v>68</v>
      </c>
      <c r="K43" s="26" t="s">
        <v>71</v>
      </c>
    </row>
    <row r="44" spans="8:11" x14ac:dyDescent="0.25">
      <c r="H44" s="18"/>
      <c r="I44" s="21"/>
      <c r="J44" s="24"/>
      <c r="K44" s="27"/>
    </row>
    <row r="45" spans="8:11" ht="15.75" thickBot="1" x14ac:dyDescent="0.3">
      <c r="H45" s="19"/>
      <c r="I45" s="22"/>
      <c r="J45" s="25"/>
      <c r="K45" s="28"/>
    </row>
    <row r="46" spans="8:11" ht="15.75" thickBot="1" x14ac:dyDescent="0.3"/>
    <row r="47" spans="8:11" x14ac:dyDescent="0.25">
      <c r="H47" s="17" t="s">
        <v>72</v>
      </c>
      <c r="I47" s="20">
        <f>B9/(B11*1000000*B18)*1000000</f>
        <v>2</v>
      </c>
      <c r="J47" s="23" t="s">
        <v>68</v>
      </c>
      <c r="K47" s="26" t="s">
        <v>73</v>
      </c>
    </row>
    <row r="48" spans="8:11" x14ac:dyDescent="0.25">
      <c r="H48" s="18"/>
      <c r="I48" s="21"/>
      <c r="J48" s="24"/>
      <c r="K48" s="27"/>
    </row>
    <row r="49" spans="8:11" ht="15.75" thickBot="1" x14ac:dyDescent="0.3">
      <c r="H49" s="19"/>
      <c r="I49" s="22"/>
      <c r="J49" s="25"/>
      <c r="K49" s="28"/>
    </row>
    <row r="50" spans="8:11" ht="15.75" thickBot="1" x14ac:dyDescent="0.3"/>
    <row r="51" spans="8:11" x14ac:dyDescent="0.25">
      <c r="H51" s="35" t="s">
        <v>74</v>
      </c>
      <c r="I51" s="45">
        <v>20</v>
      </c>
      <c r="J51" s="36" t="s">
        <v>68</v>
      </c>
      <c r="K51" s="41" t="s">
        <v>75</v>
      </c>
    </row>
    <row r="52" spans="8:11" x14ac:dyDescent="0.25">
      <c r="H52" s="37"/>
      <c r="I52" s="46"/>
      <c r="J52" s="38"/>
      <c r="K52" s="42"/>
    </row>
    <row r="53" spans="8:11" ht="15.75" thickBot="1" x14ac:dyDescent="0.3">
      <c r="H53" s="39"/>
      <c r="I53" s="47"/>
      <c r="J53" s="40"/>
      <c r="K53" s="43"/>
    </row>
  </sheetData>
  <sheetProtection password="F765" sheet="1" objects="1" scenarios="1" selectLockedCells="1"/>
  <mergeCells count="54">
    <mergeCell ref="H51:H53"/>
    <mergeCell ref="I51:I53"/>
    <mergeCell ref="J51:J53"/>
    <mergeCell ref="K51:K53"/>
    <mergeCell ref="H10:H12"/>
    <mergeCell ref="I10:I12"/>
    <mergeCell ref="J10:J12"/>
    <mergeCell ref="K10:K12"/>
    <mergeCell ref="H36:H37"/>
    <mergeCell ref="I36:I37"/>
    <mergeCell ref="J36:J37"/>
    <mergeCell ref="K36:K37"/>
    <mergeCell ref="H47:H49"/>
    <mergeCell ref="I47:I49"/>
    <mergeCell ref="J47:J49"/>
    <mergeCell ref="K47:K49"/>
    <mergeCell ref="H39:H41"/>
    <mergeCell ref="I39:I41"/>
    <mergeCell ref="J39:J41"/>
    <mergeCell ref="K39:K41"/>
    <mergeCell ref="H43:H45"/>
    <mergeCell ref="I43:I45"/>
    <mergeCell ref="J43:J45"/>
    <mergeCell ref="K43:K45"/>
    <mergeCell ref="H32:H33"/>
    <mergeCell ref="I32:I33"/>
    <mergeCell ref="J32:J33"/>
    <mergeCell ref="K32:K33"/>
    <mergeCell ref="H34:H35"/>
    <mergeCell ref="I34:I35"/>
    <mergeCell ref="J34:J35"/>
    <mergeCell ref="K34:K35"/>
    <mergeCell ref="A22:D22"/>
    <mergeCell ref="H29:H31"/>
    <mergeCell ref="I29:I31"/>
    <mergeCell ref="J29:J31"/>
    <mergeCell ref="K29:K31"/>
    <mergeCell ref="H27:K27"/>
    <mergeCell ref="H14:H16"/>
    <mergeCell ref="I14:I16"/>
    <mergeCell ref="J14:J16"/>
    <mergeCell ref="K14:K16"/>
    <mergeCell ref="H23:H25"/>
    <mergeCell ref="I23:I25"/>
    <mergeCell ref="J23:J25"/>
    <mergeCell ref="K23:K25"/>
    <mergeCell ref="A13:D13"/>
    <mergeCell ref="H18:H21"/>
    <mergeCell ref="I18:I21"/>
    <mergeCell ref="J18:J21"/>
    <mergeCell ref="K18:K21"/>
    <mergeCell ref="A17:D17"/>
    <mergeCell ref="A1:D1"/>
    <mergeCell ref="H1:K1"/>
  </mergeCells>
  <pageMargins left="0.7" right="0.7" top="0.75" bottom="0.75" header="0.3" footer="0.3"/>
  <pageSetup orientation="portrait" r:id="rId1"/>
  <ignoredErrors>
    <ignoredError sqref="B14:B15 B18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B3" sqref="B3"/>
    </sheetView>
  </sheetViews>
  <sheetFormatPr defaultRowHeight="15" x14ac:dyDescent="0.25"/>
  <cols>
    <col min="1" max="1" width="16.85546875" bestFit="1" customWidth="1"/>
    <col min="2" max="2" width="7.42578125" customWidth="1"/>
    <col min="3" max="3" width="5.140625" bestFit="1" customWidth="1"/>
    <col min="4" max="4" width="57.140625" customWidth="1"/>
    <col min="5" max="7" width="2.140625" customWidth="1"/>
    <col min="8" max="8" width="11.42578125" bestFit="1" customWidth="1"/>
    <col min="9" max="9" width="7.85546875" customWidth="1"/>
    <col min="10" max="10" width="5.140625" bestFit="1" customWidth="1"/>
    <col min="11" max="11" width="57.140625" customWidth="1"/>
    <col min="12" max="14" width="2.140625" customWidth="1"/>
    <col min="15" max="16" width="0" hidden="1" customWidth="1"/>
  </cols>
  <sheetData>
    <row r="1" spans="1:16" ht="15.75" thickBot="1" x14ac:dyDescent="0.3">
      <c r="A1" s="31" t="s">
        <v>0</v>
      </c>
      <c r="B1" s="32"/>
      <c r="C1" s="32"/>
      <c r="D1" s="33"/>
      <c r="H1" s="31" t="s">
        <v>1</v>
      </c>
      <c r="I1" s="32"/>
      <c r="J1" s="32"/>
      <c r="K1" s="33"/>
    </row>
    <row r="2" spans="1:16" ht="15.75" thickBot="1" x14ac:dyDescent="0.3">
      <c r="A2" t="s">
        <v>2</v>
      </c>
      <c r="B2" t="s">
        <v>3</v>
      </c>
      <c r="C2" t="s">
        <v>4</v>
      </c>
      <c r="D2" t="s">
        <v>5</v>
      </c>
      <c r="H2" t="s">
        <v>2</v>
      </c>
      <c r="I2" t="s">
        <v>3</v>
      </c>
      <c r="J2" t="s">
        <v>4</v>
      </c>
      <c r="K2" t="s">
        <v>5</v>
      </c>
    </row>
    <row r="3" spans="1:16" ht="15.75" thickBot="1" x14ac:dyDescent="0.3">
      <c r="A3" s="1" t="s">
        <v>6</v>
      </c>
      <c r="B3" s="2">
        <v>5</v>
      </c>
      <c r="C3" s="1" t="s">
        <v>7</v>
      </c>
      <c r="D3" s="1" t="s">
        <v>8</v>
      </c>
      <c r="H3" s="49" t="s">
        <v>76</v>
      </c>
      <c r="I3" s="50">
        <v>10</v>
      </c>
      <c r="J3" s="50" t="s">
        <v>78</v>
      </c>
      <c r="K3" s="48" t="s">
        <v>79</v>
      </c>
      <c r="O3" t="s">
        <v>11</v>
      </c>
      <c r="P3" t="s">
        <v>12</v>
      </c>
    </row>
    <row r="4" spans="1:16" ht="15" hidden="1" customHeight="1" x14ac:dyDescent="0.25">
      <c r="A4" s="1" t="s">
        <v>13</v>
      </c>
      <c r="B4" s="2">
        <v>0.2</v>
      </c>
      <c r="C4" s="3" t="s">
        <v>14</v>
      </c>
      <c r="D4" s="1" t="s">
        <v>15</v>
      </c>
    </row>
    <row r="5" spans="1:16" ht="15" hidden="1" customHeight="1" x14ac:dyDescent="0.25">
      <c r="A5" s="1" t="s">
        <v>16</v>
      </c>
      <c r="B5" s="2">
        <f>B3-(B9*B4)</f>
        <v>4.8</v>
      </c>
      <c r="C5" s="1" t="s">
        <v>7</v>
      </c>
      <c r="D5" s="1" t="s">
        <v>17</v>
      </c>
    </row>
    <row r="6" spans="1:16" ht="15.75" thickBot="1" x14ac:dyDescent="0.3">
      <c r="A6" s="1" t="s">
        <v>18</v>
      </c>
      <c r="B6" s="2">
        <v>5</v>
      </c>
      <c r="C6" s="1" t="s">
        <v>7</v>
      </c>
      <c r="D6" s="1" t="s">
        <v>19</v>
      </c>
      <c r="O6">
        <v>3.3</v>
      </c>
      <c r="P6">
        <v>0.6</v>
      </c>
    </row>
    <row r="7" spans="1:16" ht="15" hidden="1" customHeight="1" x14ac:dyDescent="0.25">
      <c r="A7" s="1" t="s">
        <v>20</v>
      </c>
      <c r="B7" s="2">
        <f>B6-B9*B4</f>
        <v>4.8</v>
      </c>
      <c r="C7" s="1" t="s">
        <v>7</v>
      </c>
      <c r="D7" s="1" t="s">
        <v>17</v>
      </c>
    </row>
    <row r="8" spans="1:16" ht="15.75" thickBot="1" x14ac:dyDescent="0.3">
      <c r="A8" s="1" t="s">
        <v>21</v>
      </c>
      <c r="B8" s="2">
        <v>1.2</v>
      </c>
      <c r="C8" s="1" t="s">
        <v>7</v>
      </c>
      <c r="D8" s="1" t="s">
        <v>22</v>
      </c>
      <c r="H8" s="49" t="s">
        <v>77</v>
      </c>
      <c r="I8" s="51" t="str">
        <f>IF(B8&gt;1.2,I3*(1.2)/(B8-1.2),IF(B8=1.2,"Open","Error"))</f>
        <v>Open</v>
      </c>
      <c r="J8" s="50" t="s">
        <v>78</v>
      </c>
      <c r="K8" s="48" t="s">
        <v>80</v>
      </c>
      <c r="O8">
        <v>5</v>
      </c>
      <c r="P8">
        <v>1</v>
      </c>
    </row>
    <row r="9" spans="1:16" ht="15.75" thickBot="1" x14ac:dyDescent="0.3">
      <c r="A9" s="1" t="s">
        <v>23</v>
      </c>
      <c r="B9" s="2">
        <v>1</v>
      </c>
      <c r="C9" s="1" t="s">
        <v>24</v>
      </c>
      <c r="D9" s="1" t="s">
        <v>25</v>
      </c>
      <c r="P9">
        <v>1.5</v>
      </c>
    </row>
    <row r="10" spans="1:16" x14ac:dyDescent="0.25">
      <c r="A10" s="1" t="s">
        <v>26</v>
      </c>
      <c r="B10" s="6">
        <v>30</v>
      </c>
      <c r="C10" s="1" t="s">
        <v>27</v>
      </c>
      <c r="D10" s="1" t="s">
        <v>28</v>
      </c>
      <c r="H10" s="17" t="s">
        <v>9</v>
      </c>
      <c r="I10" s="20">
        <f>MAX(0.09,(B8/B6))</f>
        <v>0.24</v>
      </c>
      <c r="J10" s="34"/>
      <c r="K10" s="26" t="s">
        <v>10</v>
      </c>
      <c r="P10">
        <v>2.2000000000000002</v>
      </c>
    </row>
    <row r="11" spans="1:16" x14ac:dyDescent="0.25">
      <c r="A11" s="1" t="s">
        <v>31</v>
      </c>
      <c r="B11" s="7">
        <v>2</v>
      </c>
      <c r="C11" s="1" t="s">
        <v>32</v>
      </c>
      <c r="D11" s="1" t="s">
        <v>33</v>
      </c>
      <c r="H11" s="18"/>
      <c r="I11" s="21"/>
      <c r="J11" s="24"/>
      <c r="K11" s="27"/>
      <c r="P11">
        <v>4.7</v>
      </c>
    </row>
    <row r="12" spans="1:16" ht="15.75" thickBot="1" x14ac:dyDescent="0.3">
      <c r="A12" s="8"/>
      <c r="B12" s="8"/>
      <c r="C12" s="8"/>
      <c r="D12" s="8"/>
      <c r="H12" s="19"/>
      <c r="I12" s="22"/>
      <c r="J12" s="25"/>
      <c r="K12" s="28"/>
      <c r="P12">
        <v>6.8</v>
      </c>
    </row>
    <row r="13" spans="1:16" ht="15.75" thickBot="1" x14ac:dyDescent="0.3">
      <c r="A13" s="31" t="s">
        <v>34</v>
      </c>
      <c r="B13" s="32"/>
      <c r="C13" s="32"/>
      <c r="D13" s="33"/>
      <c r="H13" s="4"/>
      <c r="I13" s="5"/>
      <c r="J13" s="4"/>
      <c r="K13" s="4"/>
    </row>
    <row r="14" spans="1:16" x14ac:dyDescent="0.25">
      <c r="A14" s="1" t="s">
        <v>35</v>
      </c>
      <c r="B14" s="2">
        <f>B3*0.5%</f>
        <v>2.5000000000000001E-2</v>
      </c>
      <c r="C14" s="1" t="s">
        <v>7</v>
      </c>
      <c r="D14" s="1"/>
      <c r="H14" s="17" t="s">
        <v>29</v>
      </c>
      <c r="I14" s="20">
        <f>MIN(0.94,(B8/B5))</f>
        <v>0.25</v>
      </c>
      <c r="J14" s="34"/>
      <c r="K14" s="26" t="s">
        <v>30</v>
      </c>
    </row>
    <row r="15" spans="1:16" x14ac:dyDescent="0.25">
      <c r="A15" s="1" t="s">
        <v>39</v>
      </c>
      <c r="B15" s="2">
        <f>B8*2%</f>
        <v>2.4E-2</v>
      </c>
      <c r="C15" s="1" t="s">
        <v>7</v>
      </c>
      <c r="D15" s="1" t="s">
        <v>40</v>
      </c>
      <c r="H15" s="18"/>
      <c r="I15" s="21"/>
      <c r="J15" s="24"/>
      <c r="K15" s="27"/>
    </row>
    <row r="16" spans="1:16" ht="15.75" thickBot="1" x14ac:dyDescent="0.3">
      <c r="A16" s="8"/>
      <c r="B16" s="8"/>
      <c r="C16" s="8"/>
      <c r="D16" s="8"/>
      <c r="H16" s="19"/>
      <c r="I16" s="22"/>
      <c r="J16" s="25"/>
      <c r="K16" s="28"/>
    </row>
    <row r="17" spans="1:11" ht="15.75" thickBot="1" x14ac:dyDescent="0.3">
      <c r="A17" s="31" t="s">
        <v>41</v>
      </c>
      <c r="B17" s="32"/>
      <c r="C17" s="32"/>
      <c r="D17" s="33"/>
    </row>
    <row r="18" spans="1:11" x14ac:dyDescent="0.25">
      <c r="A18" s="1" t="s">
        <v>42</v>
      </c>
      <c r="B18" s="2">
        <f>B6*5%</f>
        <v>0.25</v>
      </c>
      <c r="C18" s="1" t="s">
        <v>7</v>
      </c>
      <c r="D18" s="1" t="s">
        <v>43</v>
      </c>
      <c r="H18" s="17" t="s">
        <v>36</v>
      </c>
      <c r="I18" s="20">
        <f>(B11*1000/PI())*SQRT((2*B15)/((1-I10)*B8))</f>
        <v>146.05059227421867</v>
      </c>
      <c r="J18" s="34" t="s">
        <v>37</v>
      </c>
      <c r="K18" s="26" t="s">
        <v>38</v>
      </c>
    </row>
    <row r="19" spans="1:11" x14ac:dyDescent="0.25">
      <c r="A19" s="1" t="s">
        <v>44</v>
      </c>
      <c r="B19" s="2">
        <v>0.2</v>
      </c>
      <c r="C19" s="1" t="s">
        <v>7</v>
      </c>
      <c r="D19" s="1" t="s">
        <v>45</v>
      </c>
      <c r="H19" s="18"/>
      <c r="I19" s="21"/>
      <c r="J19" s="24"/>
      <c r="K19" s="27"/>
    </row>
    <row r="20" spans="1:11" x14ac:dyDescent="0.25">
      <c r="A20" s="1" t="s">
        <v>48</v>
      </c>
      <c r="B20" s="2">
        <v>1</v>
      </c>
      <c r="C20" s="1" t="s">
        <v>24</v>
      </c>
      <c r="D20" s="1" t="s">
        <v>49</v>
      </c>
      <c r="H20" s="18"/>
      <c r="I20" s="21"/>
      <c r="J20" s="24"/>
      <c r="K20" s="27"/>
    </row>
    <row r="21" spans="1:11" ht="15.75" thickBot="1" x14ac:dyDescent="0.3">
      <c r="A21" s="8"/>
      <c r="B21" s="8"/>
      <c r="C21" s="8"/>
      <c r="D21" s="8"/>
      <c r="H21" s="19"/>
      <c r="I21" s="22"/>
      <c r="J21" s="25"/>
      <c r="K21" s="28"/>
    </row>
    <row r="22" spans="1:11" ht="15.75" thickBot="1" x14ac:dyDescent="0.3">
      <c r="A22" s="31" t="s">
        <v>50</v>
      </c>
      <c r="B22" s="32"/>
      <c r="C22" s="32"/>
      <c r="D22" s="33"/>
      <c r="H22" s="8"/>
      <c r="I22" s="9"/>
      <c r="J22" s="8"/>
      <c r="K22" s="8"/>
    </row>
    <row r="23" spans="1:11" x14ac:dyDescent="0.25">
      <c r="A23" s="1" t="s">
        <v>51</v>
      </c>
      <c r="B23" s="7">
        <v>70</v>
      </c>
      <c r="C23" s="1" t="s">
        <v>37</v>
      </c>
      <c r="D23" s="1" t="s">
        <v>52</v>
      </c>
      <c r="H23" s="17" t="s">
        <v>46</v>
      </c>
      <c r="I23" s="20">
        <f>B9+(B8*(1-I10))/(2*I36/1000000*B11*1000000)</f>
        <v>1.1036363636363635</v>
      </c>
      <c r="J23" s="34" t="s">
        <v>24</v>
      </c>
      <c r="K23" s="26" t="s">
        <v>47</v>
      </c>
    </row>
    <row r="24" spans="1:11" x14ac:dyDescent="0.25">
      <c r="A24" s="1" t="s">
        <v>54</v>
      </c>
      <c r="B24" s="2">
        <v>2.2000000000000002</v>
      </c>
      <c r="C24" s="1" t="s">
        <v>55</v>
      </c>
      <c r="D24" s="1" t="s">
        <v>56</v>
      </c>
      <c r="H24" s="18"/>
      <c r="I24" s="21"/>
      <c r="J24" s="24"/>
      <c r="K24" s="27"/>
    </row>
    <row r="25" spans="1:11" ht="15.75" thickBot="1" x14ac:dyDescent="0.3">
      <c r="H25" s="19"/>
      <c r="I25" s="22"/>
      <c r="J25" s="25"/>
      <c r="K25" s="28"/>
    </row>
    <row r="26" spans="1:11" ht="15.75" thickBot="1" x14ac:dyDescent="0.3"/>
    <row r="27" spans="1:11" ht="15.75" thickBot="1" x14ac:dyDescent="0.3">
      <c r="H27" s="31" t="s">
        <v>53</v>
      </c>
      <c r="I27" s="32"/>
      <c r="J27" s="32"/>
      <c r="K27" s="33"/>
    </row>
    <row r="28" spans="1:11" ht="15" customHeight="1" thickBot="1" x14ac:dyDescent="0.3"/>
    <row r="29" spans="1:11" x14ac:dyDescent="0.25">
      <c r="H29" s="17" t="s">
        <v>57</v>
      </c>
      <c r="I29" s="20">
        <f>(B8*(1-I10))/(B10/100*B11*1000000*B9)*1000000</f>
        <v>1.5199999999999998</v>
      </c>
      <c r="J29" s="23" t="s">
        <v>58</v>
      </c>
      <c r="K29" s="26" t="s">
        <v>59</v>
      </c>
    </row>
    <row r="30" spans="1:11" ht="15" customHeight="1" x14ac:dyDescent="0.25">
      <c r="H30" s="18"/>
      <c r="I30" s="21"/>
      <c r="J30" s="24"/>
      <c r="K30" s="27"/>
    </row>
    <row r="31" spans="1:11" x14ac:dyDescent="0.25">
      <c r="H31" s="18"/>
      <c r="I31" s="21"/>
      <c r="J31" s="24"/>
      <c r="K31" s="27"/>
    </row>
    <row r="32" spans="1:11" ht="15" customHeight="1" x14ac:dyDescent="0.25">
      <c r="H32" s="18" t="s">
        <v>60</v>
      </c>
      <c r="I32" s="24">
        <f>B24*2</f>
        <v>4.4000000000000004</v>
      </c>
      <c r="J32" s="29" t="s">
        <v>61</v>
      </c>
      <c r="K32" s="30" t="s">
        <v>62</v>
      </c>
    </row>
    <row r="33" spans="8:11" x14ac:dyDescent="0.25">
      <c r="H33" s="18"/>
      <c r="I33" s="24"/>
      <c r="J33" s="24"/>
      <c r="K33" s="30"/>
    </row>
    <row r="34" spans="8:11" ht="15" customHeight="1" x14ac:dyDescent="0.25">
      <c r="H34" s="18" t="s">
        <v>63</v>
      </c>
      <c r="I34" s="21">
        <f>B8/(I32*1000000)*1000000</f>
        <v>0.27272727272727271</v>
      </c>
      <c r="J34" s="29" t="s">
        <v>58</v>
      </c>
      <c r="K34" s="30" t="s">
        <v>64</v>
      </c>
    </row>
    <row r="35" spans="8:11" x14ac:dyDescent="0.25">
      <c r="H35" s="18"/>
      <c r="I35" s="21"/>
      <c r="J35" s="24"/>
      <c r="K35" s="30"/>
    </row>
    <row r="36" spans="8:11" ht="15" customHeight="1" x14ac:dyDescent="0.25">
      <c r="H36" s="10" t="s">
        <v>65</v>
      </c>
      <c r="I36" s="12">
        <v>2.2000000000000002</v>
      </c>
      <c r="J36" s="13" t="s">
        <v>58</v>
      </c>
      <c r="K36" s="15" t="s">
        <v>66</v>
      </c>
    </row>
    <row r="37" spans="8:11" ht="15.75" thickBot="1" x14ac:dyDescent="0.3">
      <c r="H37" s="11"/>
      <c r="I37" s="12"/>
      <c r="J37" s="14"/>
      <c r="K37" s="16"/>
    </row>
    <row r="38" spans="8:11" ht="15.75" thickBot="1" x14ac:dyDescent="0.3"/>
    <row r="39" spans="8:11" x14ac:dyDescent="0.25">
      <c r="H39" s="17" t="s">
        <v>67</v>
      </c>
      <c r="I39" s="20">
        <f>1/(4*PI()^2*(I18*1000)^2*I36/1000000)*1000000</f>
        <v>0.53977272727272696</v>
      </c>
      <c r="J39" s="23" t="s">
        <v>68</v>
      </c>
      <c r="K39" s="26" t="s">
        <v>69</v>
      </c>
    </row>
    <row r="40" spans="8:11" x14ac:dyDescent="0.25">
      <c r="H40" s="18"/>
      <c r="I40" s="21"/>
      <c r="J40" s="24"/>
      <c r="K40" s="27"/>
    </row>
    <row r="41" spans="8:11" ht="15.75" thickBot="1" x14ac:dyDescent="0.3">
      <c r="H41" s="19"/>
      <c r="I41" s="22"/>
      <c r="J41" s="25"/>
      <c r="K41" s="28"/>
    </row>
    <row r="42" spans="8:11" ht="15.75" thickBot="1" x14ac:dyDescent="0.3"/>
    <row r="43" spans="8:11" x14ac:dyDescent="0.25">
      <c r="H43" s="17" t="s">
        <v>70</v>
      </c>
      <c r="I43" s="20">
        <f>(B20/(2*PI()*B23*1000*B19))*1000000</f>
        <v>11.368210220849669</v>
      </c>
      <c r="J43" s="23" t="s">
        <v>68</v>
      </c>
      <c r="K43" s="26" t="s">
        <v>71</v>
      </c>
    </row>
    <row r="44" spans="8:11" x14ac:dyDescent="0.25">
      <c r="H44" s="18"/>
      <c r="I44" s="21"/>
      <c r="J44" s="24"/>
      <c r="K44" s="27"/>
    </row>
    <row r="45" spans="8:11" ht="15.75" thickBot="1" x14ac:dyDescent="0.3">
      <c r="H45" s="19"/>
      <c r="I45" s="22"/>
      <c r="J45" s="25"/>
      <c r="K45" s="28"/>
    </row>
    <row r="46" spans="8:11" ht="15.75" thickBot="1" x14ac:dyDescent="0.3"/>
    <row r="47" spans="8:11" x14ac:dyDescent="0.25">
      <c r="H47" s="17" t="s">
        <v>72</v>
      </c>
      <c r="I47" s="20">
        <f>B9/(B11*1000000*B18)*1000000</f>
        <v>2</v>
      </c>
      <c r="J47" s="23" t="s">
        <v>68</v>
      </c>
      <c r="K47" s="26" t="s">
        <v>73</v>
      </c>
    </row>
    <row r="48" spans="8:11" x14ac:dyDescent="0.25">
      <c r="H48" s="18"/>
      <c r="I48" s="21"/>
      <c r="J48" s="24"/>
      <c r="K48" s="27"/>
    </row>
    <row r="49" spans="8:11" ht="15.75" thickBot="1" x14ac:dyDescent="0.3">
      <c r="H49" s="19"/>
      <c r="I49" s="22"/>
      <c r="J49" s="25"/>
      <c r="K49" s="28"/>
    </row>
    <row r="50" spans="8:11" ht="15.75" thickBot="1" x14ac:dyDescent="0.3"/>
    <row r="51" spans="8:11" x14ac:dyDescent="0.25">
      <c r="H51" s="35" t="s">
        <v>74</v>
      </c>
      <c r="I51" s="45">
        <v>20</v>
      </c>
      <c r="J51" s="36" t="s">
        <v>68</v>
      </c>
      <c r="K51" s="41" t="s">
        <v>75</v>
      </c>
    </row>
    <row r="52" spans="8:11" x14ac:dyDescent="0.25">
      <c r="H52" s="37"/>
      <c r="I52" s="46"/>
      <c r="J52" s="38"/>
      <c r="K52" s="42"/>
    </row>
    <row r="53" spans="8:11" ht="15.75" thickBot="1" x14ac:dyDescent="0.3">
      <c r="H53" s="39"/>
      <c r="I53" s="47"/>
      <c r="J53" s="40"/>
      <c r="K53" s="43"/>
    </row>
  </sheetData>
  <sheetProtection password="F765" sheet="1" objects="1" scenarios="1" selectLockedCells="1"/>
  <mergeCells count="54">
    <mergeCell ref="H36:H37"/>
    <mergeCell ref="I36:I37"/>
    <mergeCell ref="J36:J37"/>
    <mergeCell ref="K36:K37"/>
    <mergeCell ref="H51:H53"/>
    <mergeCell ref="I51:I53"/>
    <mergeCell ref="J51:J53"/>
    <mergeCell ref="K51:K53"/>
    <mergeCell ref="H47:H49"/>
    <mergeCell ref="I47:I49"/>
    <mergeCell ref="J47:J49"/>
    <mergeCell ref="K47:K49"/>
    <mergeCell ref="H14:H16"/>
    <mergeCell ref="I14:I16"/>
    <mergeCell ref="J14:J16"/>
    <mergeCell ref="K14:K16"/>
    <mergeCell ref="H18:H21"/>
    <mergeCell ref="I18:I21"/>
    <mergeCell ref="J18:J21"/>
    <mergeCell ref="K18:K21"/>
    <mergeCell ref="H23:H25"/>
    <mergeCell ref="I23:I25"/>
    <mergeCell ref="J23:J25"/>
    <mergeCell ref="K23:K25"/>
    <mergeCell ref="A1:D1"/>
    <mergeCell ref="H1:K1"/>
    <mergeCell ref="A13:D13"/>
    <mergeCell ref="A17:D17"/>
    <mergeCell ref="H10:H12"/>
    <mergeCell ref="I10:I12"/>
    <mergeCell ref="J10:J12"/>
    <mergeCell ref="K10:K12"/>
    <mergeCell ref="A22:D22"/>
    <mergeCell ref="H27:K27"/>
    <mergeCell ref="H29:H31"/>
    <mergeCell ref="I29:I31"/>
    <mergeCell ref="J29:J31"/>
    <mergeCell ref="K29:K31"/>
    <mergeCell ref="H32:H33"/>
    <mergeCell ref="I32:I33"/>
    <mergeCell ref="J32:J33"/>
    <mergeCell ref="K32:K33"/>
    <mergeCell ref="H43:H45"/>
    <mergeCell ref="I43:I45"/>
    <mergeCell ref="J43:J45"/>
    <mergeCell ref="K43:K45"/>
    <mergeCell ref="H39:H41"/>
    <mergeCell ref="I39:I41"/>
    <mergeCell ref="J39:J41"/>
    <mergeCell ref="K39:K41"/>
    <mergeCell ref="H34:H35"/>
    <mergeCell ref="I34:I35"/>
    <mergeCell ref="J34:J35"/>
    <mergeCell ref="K34:K35"/>
  </mergeCells>
  <pageMargins left="0.7" right="0.7" top="0.75" bottom="0.75" header="0.3" footer="0.3"/>
  <pageSetup orientation="portrait" r:id="rId1"/>
  <ignoredErrors>
    <ignoredError sqref="B14:B15 B1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SW1</vt:lpstr>
      <vt:lpstr>SW2</vt:lpstr>
      <vt:lpstr>SW3</vt:lpstr>
    </vt:vector>
  </TitlesOfParts>
  <Company>ON Semiconductor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 Semiconductor</dc:creator>
  <cp:lastModifiedBy>Matt Majeika</cp:lastModifiedBy>
  <dcterms:created xsi:type="dcterms:W3CDTF">2013-10-08T17:36:24Z</dcterms:created>
  <dcterms:modified xsi:type="dcterms:W3CDTF">2014-10-03T14:51:18Z</dcterms:modified>
</cp:coreProperties>
</file>