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7500" windowHeight="6480" activeTab="0"/>
  </bookViews>
  <sheets>
    <sheet name="Title" sheetId="1" r:id="rId1"/>
    <sheet name="1. System Requirments" sheetId="2" r:id="rId2"/>
    <sheet name="2. Bias Components " sheetId="3" r:id="rId3"/>
    <sheet name="3. Thermal" sheetId="4" r:id="rId4"/>
    <sheet name="4. Schem &amp; BOM" sheetId="5" r:id="rId5"/>
    <sheet name="Troubleshooting" sheetId="6" r:id="rId6"/>
  </sheets>
  <definedNames>
    <definedName name="_xlnm.Print_Area" localSheetId="1">'1. System Requirments'!$A$1:$F$52</definedName>
    <definedName name="_xlnm.Print_Area" localSheetId="2">'2. Bias Components '!$A$1:$L$53</definedName>
  </definedNames>
  <calcPr fullCalcOnLoad="1"/>
</workbook>
</file>

<file path=xl/sharedStrings.xml><?xml version="1.0" encoding="utf-8"?>
<sst xmlns="http://schemas.openxmlformats.org/spreadsheetml/2006/main" count="203" uniqueCount="169">
  <si>
    <t>Remarks:</t>
  </si>
  <si>
    <t>Volts</t>
  </si>
  <si>
    <t>Amps</t>
  </si>
  <si>
    <t>Ω</t>
  </si>
  <si>
    <t>A</t>
  </si>
  <si>
    <t xml:space="preserve">curves. The lower curve (short circuit) is the current limit </t>
  </si>
  <si>
    <t xml:space="preserve">level that the device will limit at when there is significant </t>
  </si>
  <si>
    <t>voltage from drain to source (&lt;300 mV) of the main power</t>
  </si>
  <si>
    <t xml:space="preserve">FET. This occurs at turn on, into a capacitor, or during a </t>
  </si>
  <si>
    <t>short circuit event.</t>
  </si>
  <si>
    <t xml:space="preserve">  This graph shows the overload and short circuit current limit</t>
  </si>
  <si>
    <t xml:space="preserve">  The overload level is in effect when the unit is operational</t>
  </si>
  <si>
    <t xml:space="preserve">and the FET is fully enhanced (at its lowest Rds(on)). When </t>
  </si>
  <si>
    <t>the overload level is reached, the current limit will auto-</t>
  </si>
  <si>
    <t xml:space="preserve">matically reduce to the short circuit level. </t>
  </si>
  <si>
    <t xml:space="preserve">  For more information on this feature, refer to appliation note</t>
  </si>
  <si>
    <t>AND8140.</t>
  </si>
  <si>
    <t>Suggested</t>
  </si>
  <si>
    <t>Actual</t>
  </si>
  <si>
    <t>R = e^((V+4.4706)/6.4484)</t>
  </si>
  <si>
    <t>y = 4.8916 Ln(x) - 0.0143</t>
  </si>
  <si>
    <t>y = 6.4484 Ln(x) - 4.4706</t>
  </si>
  <si>
    <t>Directions:</t>
  </si>
  <si>
    <t>y = 24.825 Ln(x) - 69.6</t>
  </si>
  <si>
    <t>y = 23.147 Ln(x) - 64.098</t>
  </si>
  <si>
    <t>R = e^((V+69.6)/24.825)</t>
  </si>
  <si>
    <t>Current Limit</t>
  </si>
  <si>
    <t>2%, 5%</t>
  </si>
  <si>
    <t>exp</t>
  </si>
  <si>
    <t>text</t>
  </si>
  <si>
    <t>Exact</t>
  </si>
  <si>
    <t>length</t>
  </si>
  <si>
    <t xml:space="preserve">Signif </t>
  </si>
  <si>
    <t>digits</t>
  </si>
  <si>
    <t>n</t>
  </si>
  <si>
    <t>value</t>
  </si>
  <si>
    <t>adjust</t>
  </si>
  <si>
    <t>integ</t>
  </si>
  <si>
    <t>I = 59.375 R-0.8364</t>
  </si>
  <si>
    <t>R = (I/59.375)-1.1956</t>
  </si>
  <si>
    <t>I = 28.508 R-0.4655</t>
  </si>
  <si>
    <t>ms</t>
  </si>
  <si>
    <r>
      <t>I</t>
    </r>
    <r>
      <rPr>
        <vertAlign val="subscript"/>
        <sz val="10"/>
        <rFont val="Arial"/>
        <family val="2"/>
      </rPr>
      <t>short</t>
    </r>
    <r>
      <rPr>
        <sz val="10"/>
        <rFont val="Arial"/>
        <family val="0"/>
      </rPr>
      <t xml:space="preserve"> = </t>
    </r>
  </si>
  <si>
    <t>Specifications:</t>
  </si>
  <si>
    <t>Parts:</t>
  </si>
  <si>
    <t>(short circuit limit level)</t>
  </si>
  <si>
    <t>mW</t>
  </si>
  <si>
    <r>
      <t>I</t>
    </r>
    <r>
      <rPr>
        <b/>
        <vertAlign val="subscript"/>
        <sz val="10"/>
        <rFont val="Arial"/>
        <family val="2"/>
      </rPr>
      <t>limit</t>
    </r>
    <r>
      <rPr>
        <b/>
        <sz val="10"/>
        <rFont val="Arial"/>
        <family val="2"/>
      </rPr>
      <t xml:space="preserve"> =</t>
    </r>
  </si>
  <si>
    <r>
      <t>R</t>
    </r>
    <r>
      <rPr>
        <b/>
        <vertAlign val="subscript"/>
        <sz val="10"/>
        <rFont val="Arial"/>
        <family val="2"/>
      </rPr>
      <t>limit</t>
    </r>
    <r>
      <rPr>
        <b/>
        <sz val="10"/>
        <rFont val="Arial"/>
        <family val="2"/>
      </rPr>
      <t xml:space="preserve"> =</t>
    </r>
  </si>
  <si>
    <r>
      <t>P</t>
    </r>
    <r>
      <rPr>
        <b/>
        <vertAlign val="subscript"/>
        <sz val="10"/>
        <rFont val="Arial"/>
        <family val="2"/>
      </rPr>
      <t>diss</t>
    </r>
  </si>
  <si>
    <t>°C</t>
  </si>
  <si>
    <t>metric conversion</t>
  </si>
  <si>
    <r>
      <t>in</t>
    </r>
    <r>
      <rPr>
        <vertAlign val="superscript"/>
        <sz val="10"/>
        <rFont val="Arial"/>
        <family val="2"/>
      </rPr>
      <t>2</t>
    </r>
  </si>
  <si>
    <r>
      <t>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 = </t>
    </r>
  </si>
  <si>
    <t>Thermal Calculations</t>
  </si>
  <si>
    <t xml:space="preserve">This calculation is based on empirical data and does </t>
  </si>
  <si>
    <t>Temperature Rise</t>
  </si>
  <si>
    <t>Average current =</t>
  </si>
  <si>
    <t>Copper area =</t>
  </si>
  <si>
    <t>Max ambient temp =</t>
  </si>
  <si>
    <t>Note: Actual resistor ratings should be</t>
  </si>
  <si>
    <t>Quan.</t>
  </si>
  <si>
    <t>Maximum Junction Temperature:</t>
  </si>
  <si>
    <t>Thermal Conditions</t>
  </si>
  <si>
    <t xml:space="preserve">not include the effects of airflow. The data was taken on a </t>
  </si>
  <si>
    <r>
      <t>I</t>
    </r>
    <r>
      <rPr>
        <vertAlign val="subscript"/>
        <sz val="8"/>
        <color indexed="12"/>
        <rFont val="Arial"/>
        <family val="0"/>
      </rPr>
      <t>limit</t>
    </r>
    <r>
      <rPr>
        <sz val="8"/>
        <color indexed="12"/>
        <rFont val="Arial"/>
        <family val="0"/>
      </rPr>
      <t xml:space="preserve"> = </t>
    </r>
  </si>
  <si>
    <t>Problem:</t>
  </si>
  <si>
    <t>on its output. Under this condition, the current will limit at the level shown on the short circuit limit curve.</t>
  </si>
  <si>
    <t>it will not limit the current until it reaches the level of the overload current limit. When this level is reached</t>
  </si>
  <si>
    <t>Begin with sheet 1 and work in order of the sheet numbers. All user inputs are in cells with magenta backgrounds.</t>
  </si>
  <si>
    <t>Sheet 2:  Suggested values and user input for actual resistor and capacitor selections.</t>
  </si>
  <si>
    <t>The remarks input on sheet 1 will be copied to the other sheets for future reference to revisions, etc…</t>
  </si>
  <si>
    <r>
      <t>I</t>
    </r>
    <r>
      <rPr>
        <vertAlign val="subscript"/>
        <sz val="10"/>
        <rFont val="Arial"/>
        <family val="0"/>
      </rPr>
      <t>overload</t>
    </r>
    <r>
      <rPr>
        <sz val="10"/>
        <rFont val="Arial"/>
        <family val="0"/>
      </rPr>
      <t xml:space="preserve"> = </t>
    </r>
  </si>
  <si>
    <t>Sheet 3:  Thermal calcuations</t>
  </si>
  <si>
    <t xml:space="preserve">Sheet 4:  Basic schematic and parts list, based on inputs from the other sheets. </t>
  </si>
  <si>
    <t>Once the unit is operational, the SENSEFET is fully enhanced (at its lowest RDSon). Under this condition</t>
  </si>
  <si>
    <t>Sheet 3.  Thermal Data</t>
  </si>
  <si>
    <t>Sheet 4.  Schematic and BOM</t>
  </si>
  <si>
    <t>Sheet 1.  System Requirements</t>
  </si>
  <si>
    <t>(overload limit level)</t>
  </si>
  <si>
    <t>It is strongly recommended that an oscilloscope be used for troubleshooting this device. While DVM's are</t>
  </si>
  <si>
    <t>convenient and accurate, they won't often yeild valuable information such as if a signal is oscillating.  All</t>
  </si>
  <si>
    <t xml:space="preserve">signals on this unit should be dc levels.  If an ac signal is found, the source of the oscillation must be </t>
  </si>
  <si>
    <t>determined and rectified.</t>
  </si>
  <si>
    <t>the current limit will automatically drop down to the short circuit limit level. Please see application note</t>
  </si>
  <si>
    <t xml:space="preserve">AND8140 for more details on this. </t>
  </si>
  <si>
    <t>Enter titles and rev information in above space</t>
  </si>
  <si>
    <t>Electronic Fuse/Inrush Limiter</t>
  </si>
  <si>
    <t xml:space="preserve">Maximum steady state input: </t>
  </si>
  <si>
    <r>
      <t>R</t>
    </r>
    <r>
      <rPr>
        <vertAlign val="subscript"/>
        <sz val="10"/>
        <rFont val="Arial"/>
        <family val="2"/>
      </rPr>
      <t>Sense</t>
    </r>
    <r>
      <rPr>
        <sz val="10"/>
        <rFont val="Arial"/>
        <family val="0"/>
      </rPr>
      <t xml:space="preserve"> =</t>
    </r>
  </si>
  <si>
    <t>Output Slew Rate (dv/dt)</t>
  </si>
  <si>
    <r>
      <t>C</t>
    </r>
    <r>
      <rPr>
        <vertAlign val="subscript"/>
        <sz val="10"/>
        <rFont val="Arial"/>
        <family val="2"/>
      </rPr>
      <t>dv/dt</t>
    </r>
    <r>
      <rPr>
        <sz val="10"/>
        <rFont val="Arial"/>
        <family val="0"/>
      </rPr>
      <t xml:space="preserve"> =</t>
    </r>
  </si>
  <si>
    <t>.</t>
  </si>
  <si>
    <r>
      <t>C</t>
    </r>
    <r>
      <rPr>
        <b/>
        <vertAlign val="subscript"/>
        <sz val="10"/>
        <rFont val="Arial"/>
        <family val="2"/>
      </rPr>
      <t>dv/dt</t>
    </r>
    <r>
      <rPr>
        <b/>
        <sz val="10"/>
        <rFont val="Arial"/>
        <family val="2"/>
      </rPr>
      <t xml:space="preserve"> = </t>
    </r>
  </si>
  <si>
    <t>0.063", double sided board with 1 oz. copper.</t>
  </si>
  <si>
    <t>Junction Temp</t>
  </si>
  <si>
    <r>
      <t>Calculations are valid for copper area up to 2 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. </t>
    </r>
  </si>
  <si>
    <t>derated by a factor of at least 2; so a</t>
  </si>
  <si>
    <t xml:space="preserve">resistor that will dissipate 10 mW </t>
  </si>
  <si>
    <t>should have at least a 20 mW rating.</t>
  </si>
  <si>
    <t xml:space="preserve">1.  Check the Vcc and ground connections to assure that the chip has proper power applied to it. The </t>
  </si>
  <si>
    <t xml:space="preserve">operating input range is 9 to 18 Vdc. </t>
  </si>
  <si>
    <t xml:space="preserve">device may not turn on. </t>
  </si>
  <si>
    <t xml:space="preserve">3.  The dv/dt pin needs to be either connected to a capacitor, which sets the slope of the output voltage </t>
  </si>
  <si>
    <t xml:space="preserve">when the device turns on, or left floating. Do not ground this pin. </t>
  </si>
  <si>
    <t>4.  An appropriate current sense resistor needs to be connected.  If the path between the source and</t>
  </si>
  <si>
    <t xml:space="preserve">current limit pins is open, the device will not turn on. </t>
  </si>
  <si>
    <t>on the output that could run the device into thermal limit.</t>
  </si>
  <si>
    <t xml:space="preserve">2. The overvoltage clamp will activate between 14 and 16.2 volts. If the input is in this range or above, </t>
  </si>
  <si>
    <t xml:space="preserve">the output voltage will be limited by the internal clamp circuit. </t>
  </si>
  <si>
    <r>
      <t>Device does not turn on -</t>
    </r>
    <r>
      <rPr>
        <sz val="10"/>
        <rFont val="Arial"/>
        <family val="2"/>
      </rPr>
      <t xml:space="preserve">     </t>
    </r>
  </si>
  <si>
    <r>
      <t>Output voltage is low -</t>
    </r>
    <r>
      <rPr>
        <sz val="10"/>
        <rFont val="Arial"/>
        <family val="2"/>
      </rPr>
      <t xml:space="preserve">     </t>
    </r>
  </si>
  <si>
    <t>SENSEFET.  At turn on, the inrush limiter sees a short circuit, due to the charging of any capacitance</t>
  </si>
  <si>
    <t>NIS5132 Design Aid</t>
  </si>
  <si>
    <t>Kelvin Sensing</t>
  </si>
  <si>
    <t>Schematic and Curves</t>
  </si>
  <si>
    <t>Direct Sensing</t>
  </si>
  <si>
    <t>Enter "K" or "D" for Kelvin or Direct Sensing</t>
  </si>
  <si>
    <t>Current Limit Short Circuit Level:</t>
  </si>
  <si>
    <t>K/D</t>
  </si>
  <si>
    <t>Kelvin sensing is used for the data in the electrical table and</t>
  </si>
  <si>
    <t>therefore has guaranteed min and max limits under the conditions</t>
  </si>
  <si>
    <t xml:space="preserve">tested. Direct sensing has only graphical data available. </t>
  </si>
  <si>
    <t xml:space="preserve">There are slight differences between the overload and short </t>
  </si>
  <si>
    <t xml:space="preserve">circuit curves that may influence the choice of configurations. </t>
  </si>
  <si>
    <t>pF</t>
  </si>
  <si>
    <t xml:space="preserve"> Output Slew Rate (t from 0 -12 V)</t>
  </si>
  <si>
    <r>
      <t>t</t>
    </r>
    <r>
      <rPr>
        <vertAlign val="subscript"/>
        <sz val="10"/>
        <rFont val="Arial"/>
        <family val="2"/>
      </rPr>
      <t>0-12</t>
    </r>
    <r>
      <rPr>
        <sz val="10"/>
        <rFont val="Arial"/>
        <family val="0"/>
      </rPr>
      <t xml:space="preserve"> =</t>
    </r>
  </si>
  <si>
    <r>
      <t>t</t>
    </r>
    <r>
      <rPr>
        <vertAlign val="subscript"/>
        <sz val="8"/>
        <color indexed="12"/>
        <rFont val="Arial"/>
        <family val="2"/>
      </rPr>
      <t xml:space="preserve">0-12 </t>
    </r>
    <r>
      <rPr>
        <sz val="8"/>
        <color indexed="12"/>
        <rFont val="Arial"/>
        <family val="2"/>
      </rPr>
      <t>=</t>
    </r>
  </si>
  <si>
    <r>
      <t>t</t>
    </r>
    <r>
      <rPr>
        <b/>
        <vertAlign val="subscript"/>
        <sz val="10"/>
        <rFont val="Arial"/>
        <family val="2"/>
      </rPr>
      <t>0-12</t>
    </r>
    <r>
      <rPr>
        <b/>
        <sz val="10"/>
        <rFont val="Arial"/>
        <family val="2"/>
      </rPr>
      <t xml:space="preserve"> = </t>
    </r>
  </si>
  <si>
    <t>Sheet 4.  Bias Components</t>
  </si>
  <si>
    <t>This calculation also does not include the effects of</t>
  </si>
  <si>
    <t xml:space="preserve">surrounding thermal sources.  It is strongly advised to </t>
  </si>
  <si>
    <t xml:space="preserve">conduct appropriate testing to confirm safe thermal </t>
  </si>
  <si>
    <t>performance.</t>
  </si>
  <si>
    <t>CaseTemperature</t>
  </si>
  <si>
    <r>
      <t>For minimum copper area enter 0.015 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</t>
    </r>
  </si>
  <si>
    <t>R_limit</t>
  </si>
  <si>
    <t>Overload</t>
  </si>
  <si>
    <t>Short Ckt</t>
  </si>
  <si>
    <t>OL</t>
  </si>
  <si>
    <t>SC</t>
  </si>
  <si>
    <t>Kelvin schematic for NIS5132</t>
  </si>
  <si>
    <t>Direct schematic for NIS5132</t>
  </si>
  <si>
    <t>NIS5132 Design Aid                                       ON Semiconductor</t>
  </si>
  <si>
    <t>NIS5132 Design Aid          ON Semiconductor</t>
  </si>
  <si>
    <t>NIS5132 Troubleshooting Guide</t>
  </si>
  <si>
    <t xml:space="preserve">2.  Measure the enable voltage and confirm that it is greater than 3.3 volts. Below this voltage, the </t>
  </si>
  <si>
    <t xml:space="preserve">5.  This chip employes a latching thermal circuit. Assure that there is not an overload condition </t>
  </si>
  <si>
    <t xml:space="preserve">1.  If the output voltage is low but not zero, assure that there is not an overload condition on the </t>
  </si>
  <si>
    <t>output. The eFuse will reduce the output voltage if the current limit point is reached and will remain there</t>
  </si>
  <si>
    <t>until the fault is removed or the temperature limit is reached and the part shuts down.</t>
  </si>
  <si>
    <r>
      <t>Current limit is too high -</t>
    </r>
    <r>
      <rPr>
        <sz val="10"/>
        <rFont val="Arial"/>
        <family val="2"/>
      </rPr>
      <t xml:space="preserve">   The NIS5132 uses a dual level current limit, based on the physics of the </t>
    </r>
  </si>
  <si>
    <t>Sheet 1:  System inputs for Current Limit and dv/dt circuit.</t>
  </si>
  <si>
    <t>Maximum Case Temperature:</t>
  </si>
  <si>
    <t>NIS5132 Design Assistance</t>
  </si>
  <si>
    <t xml:space="preserve">Please note that all calculations on this sheet are based on nominal values. For a worst case design, consult the </t>
  </si>
  <si>
    <t xml:space="preserve">data sheet for the appropriate tolerances that need to be factored in. </t>
  </si>
  <si>
    <t>k</t>
  </si>
  <si>
    <t>Min</t>
  </si>
  <si>
    <t>Typ</t>
  </si>
  <si>
    <t>Max</t>
  </si>
  <si>
    <t>Note:  The min/max values for the current limit are based on</t>
  </si>
  <si>
    <r>
      <t>I</t>
    </r>
    <r>
      <rPr>
        <b/>
        <vertAlign val="subscript"/>
        <sz val="10"/>
        <rFont val="Arial"/>
        <family val="2"/>
      </rPr>
      <t>short</t>
    </r>
  </si>
  <si>
    <t xml:space="preserve">the tolerance of the short circuit current from the data sheet. </t>
  </si>
  <si>
    <r>
      <t>I</t>
    </r>
    <r>
      <rPr>
        <b/>
        <vertAlign val="subscript"/>
        <sz val="10"/>
        <rFont val="Arial"/>
        <family val="2"/>
      </rPr>
      <t>overload</t>
    </r>
  </si>
  <si>
    <t>These are not guaranteed numbers, but are considered to be</t>
  </si>
  <si>
    <t>reasonably accurate.</t>
  </si>
  <si>
    <r>
      <t xml:space="preserve">Rev. 3   </t>
    </r>
    <r>
      <rPr>
        <b/>
        <sz val="9"/>
        <rFont val="Arial"/>
        <family val="2"/>
      </rPr>
      <t xml:space="preserve">                                                                                                                                                        Copyright 2009, ON Semiconductor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</si>
</sst>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7">
    <font>
      <sz val="10"/>
      <name val="Arial"/>
      <family val="0"/>
    </font>
    <font>
      <b/>
      <sz val="26"/>
      <name val="Arial"/>
      <family val="2"/>
    </font>
    <font>
      <b/>
      <sz val="22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sz val="8"/>
      <color indexed="55"/>
      <name val="Arial"/>
      <family val="0"/>
    </font>
    <font>
      <sz val="10"/>
      <color indexed="22"/>
      <name val="Arial"/>
      <family val="0"/>
    </font>
    <font>
      <b/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sz val="8"/>
      <color indexed="12"/>
      <name val="Arial"/>
      <family val="0"/>
    </font>
    <font>
      <vertAlign val="subscript"/>
      <sz val="8"/>
      <color indexed="12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b/>
      <i/>
      <sz val="10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sz val="5"/>
      <name val="Arial"/>
      <family val="0"/>
    </font>
    <font>
      <sz val="5.25"/>
      <name val="Arial"/>
      <family val="0"/>
    </font>
    <font>
      <sz val="10"/>
      <color indexed="61"/>
      <name val="Arial"/>
      <family val="2"/>
    </font>
    <font>
      <sz val="8"/>
      <color indexed="61"/>
      <name val="Arial Narrow"/>
      <family val="2"/>
    </font>
    <font>
      <b/>
      <sz val="8.25"/>
      <name val="Arial"/>
      <family val="2"/>
    </font>
    <font>
      <sz val="8.2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b/>
      <sz val="8"/>
      <color indexed="12"/>
      <name val="Arial"/>
      <family val="2"/>
    </font>
    <font>
      <b/>
      <sz val="10"/>
      <color indexed="5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right"/>
    </xf>
    <xf numFmtId="164" fontId="7" fillId="0" borderId="4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7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4" xfId="0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/>
    </xf>
    <xf numFmtId="0" fontId="7" fillId="0" borderId="12" xfId="0" applyFont="1" applyBorder="1" applyAlignment="1">
      <alignment horizontal="center"/>
    </xf>
    <xf numFmtId="1" fontId="12" fillId="0" borderId="13" xfId="0" applyNumberFormat="1" applyFont="1" applyBorder="1" applyAlignment="1">
      <alignment horizontal="center"/>
    </xf>
    <xf numFmtId="0" fontId="0" fillId="0" borderId="0" xfId="0" applyAlignment="1" quotePrefix="1">
      <alignment/>
    </xf>
    <xf numFmtId="0" fontId="13" fillId="0" borderId="0" xfId="0" applyFont="1" applyAlignment="1">
      <alignment/>
    </xf>
    <xf numFmtId="0" fontId="0" fillId="0" borderId="9" xfId="0" applyFill="1" applyBorder="1" applyAlignment="1">
      <alignment horizontal="center"/>
    </xf>
    <xf numFmtId="1" fontId="7" fillId="2" borderId="14" xfId="0" applyNumberFormat="1" applyFont="1" applyFill="1" applyBorder="1" applyAlignment="1">
      <alignment horizontal="center"/>
    </xf>
    <xf numFmtId="164" fontId="7" fillId="2" borderId="14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7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2" borderId="18" xfId="0" applyFont="1" applyFill="1" applyBorder="1" applyAlignment="1">
      <alignment horizontal="center"/>
    </xf>
    <xf numFmtId="9" fontId="7" fillId="2" borderId="18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0" fontId="7" fillId="2" borderId="14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0" fillId="0" borderId="20" xfId="0" applyNumberFormat="1" applyBorder="1" applyAlignment="1">
      <alignment horizontal="center"/>
    </xf>
    <xf numFmtId="0" fontId="7" fillId="0" borderId="22" xfId="0" applyFont="1" applyBorder="1" applyAlignment="1">
      <alignment/>
    </xf>
    <xf numFmtId="0" fontId="0" fillId="0" borderId="16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1" fontId="7" fillId="2" borderId="22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16" xfId="0" applyFont="1" applyBorder="1" applyAlignment="1">
      <alignment/>
    </xf>
    <xf numFmtId="0" fontId="18" fillId="0" borderId="11" xfId="0" applyFont="1" applyBorder="1" applyAlignment="1">
      <alignment horizontal="right"/>
    </xf>
    <xf numFmtId="0" fontId="18" fillId="0" borderId="4" xfId="0" applyFont="1" applyBorder="1" applyAlignment="1">
      <alignment/>
    </xf>
    <xf numFmtId="0" fontId="0" fillId="0" borderId="14" xfId="0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2" fontId="0" fillId="0" borderId="3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9" fillId="0" borderId="28" xfId="0" applyFont="1" applyBorder="1" applyAlignment="1">
      <alignment/>
    </xf>
    <xf numFmtId="0" fontId="2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8" fillId="0" borderId="0" xfId="0" applyFont="1" applyAlignment="1">
      <alignment/>
    </xf>
    <xf numFmtId="0" fontId="7" fillId="3" borderId="29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/>
    </xf>
    <xf numFmtId="9" fontId="21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49" fontId="21" fillId="0" borderId="0" xfId="15" applyNumberFormat="1" applyFont="1" applyAlignment="1">
      <alignment horizontal="right"/>
    </xf>
    <xf numFmtId="0" fontId="21" fillId="0" borderId="0" xfId="0" applyFont="1" applyFill="1" applyAlignment="1">
      <alignment/>
    </xf>
    <xf numFmtId="164" fontId="21" fillId="0" borderId="0" xfId="0" applyNumberFormat="1" applyFont="1" applyFill="1" applyAlignment="1">
      <alignment/>
    </xf>
    <xf numFmtId="0" fontId="0" fillId="3" borderId="25" xfId="0" applyFill="1" applyBorder="1" applyAlignment="1" applyProtection="1">
      <alignment/>
      <protection locked="0"/>
    </xf>
    <xf numFmtId="0" fontId="7" fillId="3" borderId="3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1" fontId="20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49" fontId="20" fillId="0" borderId="0" xfId="15" applyNumberFormat="1" applyFont="1" applyAlignment="1">
      <alignment horizontal="right"/>
    </xf>
    <xf numFmtId="0" fontId="20" fillId="0" borderId="0" xfId="0" applyFont="1" applyFill="1" applyAlignment="1">
      <alignment/>
    </xf>
    <xf numFmtId="164" fontId="20" fillId="0" borderId="0" xfId="0" applyNumberFormat="1" applyFont="1" applyFill="1" applyAlignment="1">
      <alignment/>
    </xf>
    <xf numFmtId="164" fontId="18" fillId="0" borderId="4" xfId="0" applyNumberFormat="1" applyFont="1" applyBorder="1" applyAlignment="1">
      <alignment horizontal="center"/>
    </xf>
    <xf numFmtId="0" fontId="18" fillId="0" borderId="3" xfId="0" applyFont="1" applyBorder="1" applyAlignment="1">
      <alignment horizontal="right"/>
    </xf>
    <xf numFmtId="0" fontId="18" fillId="0" borderId="0" xfId="0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64" fontId="18" fillId="0" borderId="0" xfId="0" applyNumberFormat="1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1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9" fontId="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21" fillId="0" borderId="0" xfId="0" applyFont="1" applyBorder="1" applyAlignment="1">
      <alignment/>
    </xf>
    <xf numFmtId="0" fontId="0" fillId="0" borderId="28" xfId="0" applyFont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ill="1" applyBorder="1" applyAlignment="1" quotePrefix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7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/>
    </xf>
    <xf numFmtId="0" fontId="7" fillId="5" borderId="0" xfId="0" applyFont="1" applyFill="1" applyAlignment="1">
      <alignment/>
    </xf>
    <xf numFmtId="0" fontId="0" fillId="5" borderId="0" xfId="0" applyFill="1" applyBorder="1" applyAlignment="1">
      <alignment/>
    </xf>
    <xf numFmtId="0" fontId="9" fillId="5" borderId="0" xfId="0" applyFont="1" applyFill="1" applyBorder="1" applyAlignment="1">
      <alignment horizontal="left"/>
    </xf>
    <xf numFmtId="0" fontId="20" fillId="5" borderId="0" xfId="0" applyFont="1" applyFill="1" applyBorder="1" applyAlignment="1">
      <alignment/>
    </xf>
    <xf numFmtId="0" fontId="9" fillId="5" borderId="0" xfId="0" applyFont="1" applyFill="1" applyBorder="1" applyAlignment="1">
      <alignment horizontal="left"/>
    </xf>
    <xf numFmtId="0" fontId="20" fillId="5" borderId="0" xfId="0" applyFont="1" applyFill="1" applyAlignment="1">
      <alignment/>
    </xf>
    <xf numFmtId="0" fontId="20" fillId="5" borderId="0" xfId="0" applyFont="1" applyFill="1" applyBorder="1" applyAlignment="1">
      <alignment horizontal="left"/>
    </xf>
    <xf numFmtId="0" fontId="10" fillId="5" borderId="0" xfId="0" applyFont="1" applyFill="1" applyBorder="1" applyAlignment="1">
      <alignment/>
    </xf>
    <xf numFmtId="0" fontId="20" fillId="5" borderId="0" xfId="0" applyFont="1" applyFill="1" applyBorder="1" applyAlignment="1">
      <alignment/>
    </xf>
    <xf numFmtId="0" fontId="9" fillId="5" borderId="0" xfId="0" applyFont="1" applyFill="1" applyBorder="1" applyAlignment="1">
      <alignment/>
    </xf>
    <xf numFmtId="0" fontId="17" fillId="0" borderId="0" xfId="0" applyFont="1" applyAlignment="1">
      <alignment/>
    </xf>
    <xf numFmtId="1" fontId="18" fillId="0" borderId="4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9" fontId="7" fillId="2" borderId="30" xfId="21" applyFont="1" applyFill="1" applyBorder="1" applyAlignment="1">
      <alignment horizontal="center"/>
    </xf>
    <xf numFmtId="0" fontId="18" fillId="0" borderId="31" xfId="0" applyFont="1" applyBorder="1" applyAlignment="1">
      <alignment horizontal="right"/>
    </xf>
    <xf numFmtId="164" fontId="18" fillId="0" borderId="32" xfId="0" applyNumberFormat="1" applyFont="1" applyFill="1" applyBorder="1" applyAlignment="1">
      <alignment horizontal="center"/>
    </xf>
    <xf numFmtId="0" fontId="18" fillId="0" borderId="32" xfId="0" applyFont="1" applyBorder="1" applyAlignment="1">
      <alignment/>
    </xf>
    <xf numFmtId="1" fontId="1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32" xfId="0" applyFont="1" applyBorder="1" applyAlignment="1">
      <alignment horizontal="right"/>
    </xf>
    <xf numFmtId="164" fontId="7" fillId="0" borderId="32" xfId="0" applyNumberFormat="1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0" fillId="0" borderId="33" xfId="0" applyBorder="1" applyAlignment="1">
      <alignment/>
    </xf>
    <xf numFmtId="0" fontId="24" fillId="0" borderId="0" xfId="0" applyFont="1" applyBorder="1" applyAlignment="1">
      <alignment/>
    </xf>
    <xf numFmtId="0" fontId="25" fillId="5" borderId="0" xfId="0" applyFont="1" applyFill="1" applyAlignment="1">
      <alignment/>
    </xf>
    <xf numFmtId="0" fontId="28" fillId="5" borderId="0" xfId="0" applyFont="1" applyFill="1" applyAlignment="1">
      <alignment/>
    </xf>
    <xf numFmtId="2" fontId="28" fillId="5" borderId="0" xfId="0" applyNumberFormat="1" applyFont="1" applyFill="1" applyAlignment="1">
      <alignment/>
    </xf>
    <xf numFmtId="0" fontId="28" fillId="5" borderId="0" xfId="0" applyFont="1" applyFill="1" applyAlignment="1">
      <alignment/>
    </xf>
    <xf numFmtId="0" fontId="29" fillId="5" borderId="0" xfId="0" applyFont="1" applyFill="1" applyAlignment="1">
      <alignment/>
    </xf>
    <xf numFmtId="0" fontId="28" fillId="4" borderId="0" xfId="0" applyFont="1" applyFill="1" applyAlignment="1">
      <alignment/>
    </xf>
    <xf numFmtId="0" fontId="28" fillId="4" borderId="0" xfId="0" applyFont="1" applyFill="1" applyAlignment="1">
      <alignment horizontal="right"/>
    </xf>
    <xf numFmtId="2" fontId="28" fillId="4" borderId="0" xfId="0" applyNumberFormat="1" applyFont="1" applyFill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32" fillId="0" borderId="0" xfId="0" applyFont="1" applyAlignment="1">
      <alignment/>
    </xf>
    <xf numFmtId="0" fontId="33" fillId="0" borderId="3" xfId="0" applyFont="1" applyBorder="1" applyAlignment="1">
      <alignment horizontal="center"/>
    </xf>
    <xf numFmtId="0" fontId="34" fillId="0" borderId="28" xfId="0" applyFont="1" applyFill="1" applyBorder="1" applyAlignment="1">
      <alignment/>
    </xf>
    <xf numFmtId="0" fontId="4" fillId="0" borderId="34" xfId="0" applyFont="1" applyBorder="1" applyAlignment="1">
      <alignment horizontal="right"/>
    </xf>
    <xf numFmtId="0" fontId="11" fillId="0" borderId="35" xfId="0" applyFont="1" applyBorder="1" applyAlignment="1">
      <alignment horizontal="right"/>
    </xf>
    <xf numFmtId="164" fontId="11" fillId="0" borderId="36" xfId="0" applyNumberFormat="1" applyFont="1" applyFill="1" applyBorder="1" applyAlignment="1">
      <alignment horizontal="center"/>
    </xf>
    <xf numFmtId="0" fontId="11" fillId="0" borderId="36" xfId="0" applyFont="1" applyBorder="1" applyAlignment="1">
      <alignment horizontal="center"/>
    </xf>
    <xf numFmtId="1" fontId="11" fillId="0" borderId="37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23" xfId="0" applyFont="1" applyBorder="1" applyAlignment="1">
      <alignment horizontal="right"/>
    </xf>
    <xf numFmtId="164" fontId="7" fillId="0" borderId="14" xfId="0" applyNumberFormat="1" applyFont="1" applyFill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7" fillId="0" borderId="25" xfId="0" applyFont="1" applyBorder="1" applyAlignment="1">
      <alignment horizontal="right"/>
    </xf>
    <xf numFmtId="164" fontId="7" fillId="0" borderId="22" xfId="0" applyNumberFormat="1" applyFont="1" applyFill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164" fontId="7" fillId="0" borderId="26" xfId="0" applyNumberFormat="1" applyFont="1" applyBorder="1" applyAlignment="1">
      <alignment horizontal="center"/>
    </xf>
    <xf numFmtId="0" fontId="35" fillId="0" borderId="3" xfId="0" applyFont="1" applyBorder="1" applyAlignment="1">
      <alignment horizontal="right"/>
    </xf>
    <xf numFmtId="164" fontId="24" fillId="0" borderId="0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1" fontId="36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23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0" fillId="3" borderId="0" xfId="0" applyFill="1" applyAlignment="1" applyProtection="1">
      <alignment horizontal="left"/>
      <protection locked="0"/>
    </xf>
    <xf numFmtId="0" fontId="11" fillId="0" borderId="38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0" fillId="2" borderId="0" xfId="0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rgb="FF993366"/>
      </font>
      <fill>
        <patternFill>
          <bgColor rgb="FFC0C0C0"/>
        </patternFill>
      </fill>
      <border/>
    </dxf>
    <dxf>
      <font>
        <color rgb="FFFFFF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Kelvin Sensing</a:t>
            </a:r>
          </a:p>
        </c:rich>
      </c:tx>
      <c:layout>
        <c:manualLayout>
          <c:xMode val="factor"/>
          <c:yMode val="factor"/>
          <c:x val="-0.001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6775"/>
          <c:w val="0.997"/>
          <c:h val="0.8945"/>
        </c:manualLayout>
      </c:layout>
      <c:scatterChart>
        <c:scatterStyle val="smooth"/>
        <c:varyColors val="0"/>
        <c:ser>
          <c:idx val="0"/>
          <c:order val="0"/>
          <c:tx>
            <c:v>Overload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'1. System Requirments'!$G$18:$G$23</c:f>
              <c:numCache/>
            </c:numRef>
          </c:xVal>
          <c:yVal>
            <c:numRef>
              <c:f>'1. System Requirments'!$H$18:$H$23</c:f>
              <c:numCache/>
            </c:numRef>
          </c:yVal>
          <c:smooth val="1"/>
        </c:ser>
        <c:ser>
          <c:idx val="1"/>
          <c:order val="1"/>
          <c:tx>
            <c:v>Short Ckt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'1. System Requirments'!$G$18:$G$23</c:f>
              <c:numCache/>
            </c:numRef>
          </c:xVal>
          <c:yVal>
            <c:numRef>
              <c:f>'1. System Requirments'!$I$18:$I$23</c:f>
              <c:numCache/>
            </c:numRef>
          </c:yVal>
          <c:smooth val="1"/>
        </c:ser>
        <c:axId val="21614083"/>
        <c:axId val="60309020"/>
      </c:scatterChart>
      <c:valAx>
        <c:axId val="21614083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Rsense (Ω)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77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out"/>
        <c:tickLblPos val="nextTo"/>
        <c:crossAx val="60309020"/>
        <c:crossesAt val="0.1"/>
        <c:crossBetween val="midCat"/>
        <c:dispUnits/>
      </c:valAx>
      <c:valAx>
        <c:axId val="60309020"/>
        <c:scaling>
          <c:logBase val="10"/>
          <c:orientation val="minMax"/>
          <c:max val="1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 (A)</a:t>
                </a:r>
              </a:p>
            </c:rich>
          </c:tx>
          <c:layout>
            <c:manualLayout>
              <c:xMode val="factor"/>
              <c:yMode val="factor"/>
              <c:x val="-0.001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out"/>
        <c:tickLblPos val="nextTo"/>
        <c:crossAx val="2161408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075"/>
          <c:y val="0.93975"/>
          <c:w val="0.56925"/>
          <c:h val="0.05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Direct Sensing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375"/>
          <c:w val="0.98475"/>
          <c:h val="0.9035"/>
        </c:manualLayout>
      </c:layout>
      <c:scatterChart>
        <c:scatterStyle val="smooth"/>
        <c:varyColors val="0"/>
        <c:ser>
          <c:idx val="0"/>
          <c:order val="0"/>
          <c:tx>
            <c:v>Overload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'1. System Requirments'!$G$36:$G$43</c:f>
              <c:numCache/>
            </c:numRef>
          </c:xVal>
          <c:yVal>
            <c:numRef>
              <c:f>'1. System Requirments'!$H$36:$H$43</c:f>
              <c:numCache/>
            </c:numRef>
          </c:yVal>
          <c:smooth val="1"/>
        </c:ser>
        <c:ser>
          <c:idx val="1"/>
          <c:order val="1"/>
          <c:tx>
            <c:v>Short Ckt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'1. System Requirments'!$G$36:$G$43</c:f>
              <c:numCache/>
            </c:numRef>
          </c:xVal>
          <c:yVal>
            <c:numRef>
              <c:f>'1. System Requirments'!$I$36:$I$43</c:f>
              <c:numCache/>
            </c:numRef>
          </c:yVal>
          <c:smooth val="1"/>
        </c:ser>
        <c:axId val="5910269"/>
        <c:axId val="53192422"/>
      </c:scatterChart>
      <c:valAx>
        <c:axId val="5910269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Rsense (Ω)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77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3192422"/>
        <c:crossesAt val="0.1"/>
        <c:crossBetween val="midCat"/>
        <c:dispUnits/>
      </c:valAx>
      <c:valAx>
        <c:axId val="53192422"/>
        <c:scaling>
          <c:logBase val="10"/>
          <c:orientation val="minMax"/>
          <c:max val="1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I (A)</a:t>
                </a:r>
              </a:p>
            </c:rich>
          </c:tx>
          <c:layout>
            <c:manualLayout>
              <c:xMode val="factor"/>
              <c:yMode val="factor"/>
              <c:x val="-0.001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91026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275"/>
          <c:y val="0.93825"/>
          <c:w val="0.589"/>
          <c:h val="0.05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2581275</xdr:colOff>
      <xdr:row>8</xdr:row>
      <xdr:rowOff>76200</xdr:rowOff>
    </xdr:from>
    <xdr:to>
      <xdr:col>0</xdr:col>
      <xdr:colOff>4057650</xdr:colOff>
      <xdr:row>18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1828800"/>
          <a:ext cx="14763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15</xdr:row>
      <xdr:rowOff>66675</xdr:rowOff>
    </xdr:from>
    <xdr:to>
      <xdr:col>3</xdr:col>
      <xdr:colOff>466725</xdr:colOff>
      <xdr:row>29</xdr:row>
      <xdr:rowOff>152400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rcRect l="19458" t="5230" r="23603" b="15383"/>
        <a:stretch>
          <a:fillRect/>
        </a:stretch>
      </xdr:blipFill>
      <xdr:spPr>
        <a:xfrm>
          <a:off x="57150" y="2562225"/>
          <a:ext cx="33051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31</xdr:row>
      <xdr:rowOff>76200</xdr:rowOff>
    </xdr:from>
    <xdr:to>
      <xdr:col>3</xdr:col>
      <xdr:colOff>457200</xdr:colOff>
      <xdr:row>46</xdr:row>
      <xdr:rowOff>47625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rcRect l="21156" t="13858" r="23977" b="8695"/>
        <a:stretch>
          <a:fillRect/>
        </a:stretch>
      </xdr:blipFill>
      <xdr:spPr>
        <a:xfrm>
          <a:off x="57150" y="5162550"/>
          <a:ext cx="329565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1438275</xdr:colOff>
      <xdr:row>15</xdr:row>
      <xdr:rowOff>47625</xdr:rowOff>
    </xdr:from>
    <xdr:to>
      <xdr:col>9</xdr:col>
      <xdr:colOff>561975</xdr:colOff>
      <xdr:row>30</xdr:row>
      <xdr:rowOff>114300</xdr:rowOff>
    </xdr:to>
    <xdr:graphicFrame>
      <xdr:nvGraphicFramePr>
        <xdr:cNvPr id="3" name="Chart 27"/>
        <xdr:cNvGraphicFramePr/>
      </xdr:nvGraphicFramePr>
      <xdr:xfrm>
        <a:off x="5324475" y="2543175"/>
        <a:ext cx="3181350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1438275</xdr:colOff>
      <xdr:row>31</xdr:row>
      <xdr:rowOff>47625</xdr:rowOff>
    </xdr:from>
    <xdr:to>
      <xdr:col>9</xdr:col>
      <xdr:colOff>571500</xdr:colOff>
      <xdr:row>46</xdr:row>
      <xdr:rowOff>123825</xdr:rowOff>
    </xdr:to>
    <xdr:graphicFrame>
      <xdr:nvGraphicFramePr>
        <xdr:cNvPr id="4" name="Chart 28"/>
        <xdr:cNvGraphicFramePr/>
      </xdr:nvGraphicFramePr>
      <xdr:xfrm>
        <a:off x="5324475" y="5133975"/>
        <a:ext cx="3190875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39</xdr:row>
      <xdr:rowOff>76200</xdr:rowOff>
    </xdr:from>
    <xdr:to>
      <xdr:col>10</xdr:col>
      <xdr:colOff>438150</xdr:colOff>
      <xdr:row>45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6543675"/>
          <a:ext cx="1028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9525</xdr:rowOff>
    </xdr:from>
    <xdr:to>
      <xdr:col>5</xdr:col>
      <xdr:colOff>209550</xdr:colOff>
      <xdr:row>19</xdr:row>
      <xdr:rowOff>57150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rcRect l="19458" t="5230" r="23603" b="15383"/>
        <a:stretch>
          <a:fillRect/>
        </a:stretch>
      </xdr:blipFill>
      <xdr:spPr>
        <a:xfrm>
          <a:off x="38100" y="657225"/>
          <a:ext cx="283845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4</xdr:row>
      <xdr:rowOff>19050</xdr:rowOff>
    </xdr:from>
    <xdr:to>
      <xdr:col>10</xdr:col>
      <xdr:colOff>590550</xdr:colOff>
      <xdr:row>19</xdr:row>
      <xdr:rowOff>38100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rcRect l="21156" t="13858" r="23977" b="8695"/>
        <a:stretch>
          <a:fillRect/>
        </a:stretch>
      </xdr:blipFill>
      <xdr:spPr>
        <a:xfrm>
          <a:off x="2962275" y="666750"/>
          <a:ext cx="297180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49"/>
  <sheetViews>
    <sheetView tabSelected="1" workbookViewId="0" topLeftCell="A7">
      <selection activeCell="A46" sqref="A46"/>
    </sheetView>
  </sheetViews>
  <sheetFormatPr defaultColWidth="9.140625" defaultRowHeight="12.75"/>
  <cols>
    <col min="1" max="1" width="101.8515625" style="0" customWidth="1"/>
    <col min="2" max="2" width="30.57421875" style="0" customWidth="1"/>
  </cols>
  <sheetData>
    <row r="1" ht="12.75">
      <c r="A1" s="79"/>
    </row>
    <row r="2" ht="12.75">
      <c r="A2" s="80"/>
    </row>
    <row r="3" ht="12.75">
      <c r="A3" s="80"/>
    </row>
    <row r="4" ht="27.75">
      <c r="A4" s="81" t="s">
        <v>87</v>
      </c>
    </row>
    <row r="5" ht="12.75">
      <c r="A5" s="82"/>
    </row>
    <row r="6" ht="33.75">
      <c r="A6" s="83" t="s">
        <v>113</v>
      </c>
    </row>
    <row r="7" ht="12.75">
      <c r="A7" s="80"/>
    </row>
    <row r="8" ht="12.75">
      <c r="A8" s="80"/>
    </row>
    <row r="9" ht="12.75">
      <c r="A9" s="80"/>
    </row>
    <row r="10" ht="12.75">
      <c r="A10" s="80"/>
    </row>
    <row r="11" ht="12.75">
      <c r="A11" s="80"/>
    </row>
    <row r="12" ht="12.75">
      <c r="A12" s="80"/>
    </row>
    <row r="13" ht="12.75">
      <c r="A13" s="80"/>
    </row>
    <row r="14" ht="12.75">
      <c r="A14" s="80"/>
    </row>
    <row r="15" ht="12.75">
      <c r="A15" s="80"/>
    </row>
    <row r="16" ht="12.75">
      <c r="A16" s="80"/>
    </row>
    <row r="17" ht="12.75">
      <c r="A17" s="80"/>
    </row>
    <row r="18" ht="12.75">
      <c r="A18" s="80"/>
    </row>
    <row r="19" ht="12.75">
      <c r="A19" s="80"/>
    </row>
    <row r="20" ht="12.75">
      <c r="A20" s="80"/>
    </row>
    <row r="21" ht="12.75">
      <c r="A21" s="84"/>
    </row>
    <row r="22" ht="12.75">
      <c r="A22" s="80"/>
    </row>
    <row r="23" ht="12.75">
      <c r="A23" s="80" t="s">
        <v>22</v>
      </c>
    </row>
    <row r="24" ht="12.75">
      <c r="A24" s="80"/>
    </row>
    <row r="25" ht="12.75">
      <c r="A25" s="80" t="s">
        <v>69</v>
      </c>
    </row>
    <row r="26" ht="12.75">
      <c r="A26" s="80" t="s">
        <v>71</v>
      </c>
    </row>
    <row r="27" ht="12.75">
      <c r="A27" s="80"/>
    </row>
    <row r="28" ht="12.75">
      <c r="A28" s="195" t="s">
        <v>156</v>
      </c>
    </row>
    <row r="29" ht="12.75">
      <c r="A29" s="195" t="s">
        <v>157</v>
      </c>
    </row>
    <row r="30" ht="12.75">
      <c r="A30" s="80"/>
    </row>
    <row r="31" ht="12.75">
      <c r="A31" s="140" t="s">
        <v>153</v>
      </c>
    </row>
    <row r="32" ht="12.75">
      <c r="A32" s="140"/>
    </row>
    <row r="33" ht="12.75">
      <c r="A33" s="140" t="s">
        <v>70</v>
      </c>
    </row>
    <row r="34" ht="12.75">
      <c r="A34" s="140"/>
    </row>
    <row r="35" ht="12.75">
      <c r="A35" s="140" t="s">
        <v>73</v>
      </c>
    </row>
    <row r="36" ht="12.75">
      <c r="A36" s="140"/>
    </row>
    <row r="37" ht="12.75">
      <c r="A37" s="140" t="s">
        <v>74</v>
      </c>
    </row>
    <row r="38" ht="12.75">
      <c r="A38" s="80"/>
    </row>
    <row r="39" ht="12.75">
      <c r="A39" s="80"/>
    </row>
    <row r="40" ht="12.75">
      <c r="A40" s="80"/>
    </row>
    <row r="41" ht="12.75">
      <c r="A41" s="80"/>
    </row>
    <row r="42" ht="12.75">
      <c r="A42" s="80"/>
    </row>
    <row r="43" ht="12.75">
      <c r="A43" s="80"/>
    </row>
    <row r="44" ht="12.75">
      <c r="A44" s="80"/>
    </row>
    <row r="45" ht="12.75">
      <c r="A45" s="80"/>
    </row>
    <row r="46" ht="12.75">
      <c r="A46" s="80"/>
    </row>
    <row r="47" ht="12.75">
      <c r="A47" s="80"/>
    </row>
    <row r="48" ht="12.75">
      <c r="A48" s="80"/>
    </row>
    <row r="49" ht="13.5" thickBot="1">
      <c r="A49" s="196" t="s">
        <v>168</v>
      </c>
    </row>
  </sheetData>
  <sheetProtection password="CA3D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51"/>
  <sheetViews>
    <sheetView workbookViewId="0" topLeftCell="A7">
      <selection activeCell="G15" sqref="G15"/>
    </sheetView>
  </sheetViews>
  <sheetFormatPr defaultColWidth="9.140625" defaultRowHeight="12.75"/>
  <cols>
    <col min="2" max="2" width="26.00390625" style="0" customWidth="1"/>
    <col min="3" max="3" width="8.28125" style="0" customWidth="1"/>
    <col min="4" max="5" width="7.421875" style="0" customWidth="1"/>
    <col min="6" max="6" width="32.140625" style="0" customWidth="1"/>
    <col min="7" max="7" width="10.00390625" style="0" customWidth="1"/>
    <col min="8" max="8" width="9.57421875" style="0" customWidth="1"/>
    <col min="12" max="12" width="39.421875" style="0" customWidth="1"/>
    <col min="18" max="18" width="12.140625" style="0" customWidth="1"/>
  </cols>
  <sheetData>
    <row r="1" spans="1:6" ht="12.75">
      <c r="A1" s="216" t="s">
        <v>144</v>
      </c>
      <c r="B1" s="216"/>
      <c r="C1" s="216"/>
      <c r="D1" s="216"/>
      <c r="E1" s="216"/>
      <c r="F1" s="216"/>
    </row>
    <row r="2" spans="5:6" ht="12.75">
      <c r="E2" s="215"/>
      <c r="F2" s="215"/>
    </row>
    <row r="3" spans="1:6" ht="12.75">
      <c r="A3" t="s">
        <v>0</v>
      </c>
      <c r="B3" s="221" t="s">
        <v>155</v>
      </c>
      <c r="C3" s="221"/>
      <c r="D3" s="221"/>
      <c r="E3" s="221"/>
      <c r="F3" s="221"/>
    </row>
    <row r="4" spans="2:6" ht="12.75">
      <c r="B4" s="36" t="s">
        <v>86</v>
      </c>
      <c r="D4" s="215"/>
      <c r="E4" s="215"/>
      <c r="F4" s="215"/>
    </row>
    <row r="5" spans="2:6" ht="12.75">
      <c r="B5" s="36"/>
      <c r="E5" s="215"/>
      <c r="F5" s="215"/>
    </row>
    <row r="6" spans="2:6" ht="12.75">
      <c r="B6" s="36"/>
      <c r="E6" s="215"/>
      <c r="F6" s="215"/>
    </row>
    <row r="7" spans="5:6" ht="13.5" thickBot="1">
      <c r="E7" s="215"/>
      <c r="F7" s="215"/>
    </row>
    <row r="8" spans="1:6" ht="13.5" thickBot="1">
      <c r="A8" s="7" t="s">
        <v>88</v>
      </c>
      <c r="C8" s="98">
        <v>15</v>
      </c>
      <c r="D8" s="7" t="s">
        <v>1</v>
      </c>
      <c r="E8" s="215" t="str">
        <f>IF(C8&gt;18,"Max steady state rating is 18 volts",IF(C8&lt;7.6,"Min input voltage is 7.6 volts"," "))</f>
        <v> </v>
      </c>
      <c r="F8" s="215"/>
    </row>
    <row r="9" spans="3:6" ht="13.5" thickBot="1">
      <c r="C9" s="192"/>
      <c r="D9" s="7"/>
      <c r="E9" s="216"/>
      <c r="F9" s="216"/>
    </row>
    <row r="10" spans="1:6" ht="13.5" thickBot="1">
      <c r="A10" s="164" t="s">
        <v>117</v>
      </c>
      <c r="B10" s="164"/>
      <c r="C10" s="98" t="s">
        <v>158</v>
      </c>
      <c r="D10" s="7" t="s">
        <v>119</v>
      </c>
      <c r="E10" s="219" t="str">
        <f>IF(C10="k"," ",IF(C10="d"," ","Please enter K or D"))</f>
        <v> </v>
      </c>
      <c r="F10" s="219"/>
    </row>
    <row r="11" spans="1:10" ht="13.5" thickBot="1">
      <c r="A11" s="7" t="s">
        <v>118</v>
      </c>
      <c r="C11" s="98">
        <v>2.5</v>
      </c>
      <c r="D11" s="7" t="s">
        <v>2</v>
      </c>
      <c r="E11" s="220" t="str">
        <f>IF(C11&lt;0.4,"Current limit out of range, increase level",IF(C11&lt;=10,"  ",IF(C11&gt;5.5,"Current limit out of range, decrease level")))</f>
        <v>  </v>
      </c>
      <c r="F11" s="220"/>
      <c r="G11" s="90"/>
      <c r="H11" s="91"/>
      <c r="I11" s="91"/>
      <c r="J11" s="10"/>
    </row>
    <row r="12" spans="1:10" ht="13.5" thickBot="1">
      <c r="A12" s="7"/>
      <c r="C12" s="192"/>
      <c r="D12" s="7"/>
      <c r="E12" s="216"/>
      <c r="F12" s="216"/>
      <c r="G12" s="90"/>
      <c r="H12" s="91"/>
      <c r="I12" s="91"/>
      <c r="J12" s="10"/>
    </row>
    <row r="13" spans="1:6" ht="13.5" thickBot="1">
      <c r="A13" s="217" t="s">
        <v>126</v>
      </c>
      <c r="B13" s="218"/>
      <c r="C13" s="98">
        <v>20</v>
      </c>
      <c r="D13" s="7" t="s">
        <v>41</v>
      </c>
      <c r="E13" s="216"/>
      <c r="F13" s="216"/>
    </row>
    <row r="14" spans="3:6" ht="12.75">
      <c r="C14" s="1"/>
      <c r="D14" s="7"/>
      <c r="E14" s="216"/>
      <c r="F14" s="216"/>
    </row>
    <row r="15" spans="3:7" ht="12.75">
      <c r="C15" s="111"/>
      <c r="E15" s="215"/>
      <c r="F15" s="215"/>
      <c r="G15" s="2"/>
    </row>
    <row r="16" spans="1:12" ht="12.75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2"/>
      <c r="L16" s="42" t="s">
        <v>10</v>
      </c>
    </row>
    <row r="17" spans="1:12" ht="12.75">
      <c r="A17" s="152"/>
      <c r="B17" s="152"/>
      <c r="C17" s="152"/>
      <c r="D17" s="152"/>
      <c r="E17" s="152"/>
      <c r="F17" s="152"/>
      <c r="G17" s="184" t="s">
        <v>137</v>
      </c>
      <c r="H17" s="184" t="s">
        <v>138</v>
      </c>
      <c r="I17" s="184" t="s">
        <v>139</v>
      </c>
      <c r="J17" s="152"/>
      <c r="K17" s="2"/>
      <c r="L17" s="42" t="s">
        <v>5</v>
      </c>
    </row>
    <row r="18" spans="1:12" ht="12.75">
      <c r="A18" s="152"/>
      <c r="B18" s="152"/>
      <c r="C18" s="152"/>
      <c r="D18" s="152"/>
      <c r="E18" s="152"/>
      <c r="F18" s="152"/>
      <c r="G18" s="185">
        <v>8.9</v>
      </c>
      <c r="H18" s="186">
        <v>6.45</v>
      </c>
      <c r="I18" s="186">
        <v>5.46</v>
      </c>
      <c r="J18" s="152"/>
      <c r="K18" s="2"/>
      <c r="L18" s="42" t="s">
        <v>6</v>
      </c>
    </row>
    <row r="19" spans="1:12" ht="12.75">
      <c r="A19" s="152"/>
      <c r="B19" s="152"/>
      <c r="C19" s="152"/>
      <c r="D19" s="152"/>
      <c r="E19" s="152"/>
      <c r="F19" s="152"/>
      <c r="G19" s="185">
        <v>12.4</v>
      </c>
      <c r="H19" s="186">
        <v>5.16</v>
      </c>
      <c r="I19" s="186">
        <v>4.03</v>
      </c>
      <c r="J19" s="152"/>
      <c r="K19" s="2"/>
      <c r="L19" s="42" t="s">
        <v>7</v>
      </c>
    </row>
    <row r="20" spans="1:12" ht="12.75">
      <c r="A20" s="152"/>
      <c r="B20" s="153"/>
      <c r="C20" s="153"/>
      <c r="D20" s="152"/>
      <c r="E20" s="152"/>
      <c r="F20" s="154" t="s">
        <v>114</v>
      </c>
      <c r="G20" s="185">
        <v>17.4</v>
      </c>
      <c r="H20" s="186">
        <v>4.25</v>
      </c>
      <c r="I20" s="186">
        <v>3.04</v>
      </c>
      <c r="J20" s="152"/>
      <c r="K20" s="2"/>
      <c r="L20" s="42" t="s">
        <v>8</v>
      </c>
    </row>
    <row r="21" spans="1:12" ht="12.75">
      <c r="A21" s="152"/>
      <c r="B21" s="153"/>
      <c r="C21" s="153"/>
      <c r="D21" s="152"/>
      <c r="E21" s="152"/>
      <c r="F21" s="154" t="s">
        <v>115</v>
      </c>
      <c r="G21" s="185">
        <v>26.7</v>
      </c>
      <c r="H21" s="186">
        <v>3.47</v>
      </c>
      <c r="I21" s="186">
        <v>2.1</v>
      </c>
      <c r="J21" s="152"/>
      <c r="K21" s="2"/>
      <c r="L21" s="42" t="s">
        <v>9</v>
      </c>
    </row>
    <row r="22" spans="1:12" ht="12.75">
      <c r="A22" s="155"/>
      <c r="B22" s="156"/>
      <c r="C22" s="156"/>
      <c r="D22" s="152"/>
      <c r="E22" s="152"/>
      <c r="F22" s="152"/>
      <c r="G22" s="185">
        <v>44.2</v>
      </c>
      <c r="H22" s="186">
        <v>2.97</v>
      </c>
      <c r="I22" s="186">
        <v>1.36</v>
      </c>
      <c r="J22" s="152"/>
      <c r="K22" s="2"/>
      <c r="L22" s="42" t="s">
        <v>11</v>
      </c>
    </row>
    <row r="23" spans="1:12" ht="12.75">
      <c r="A23" s="155"/>
      <c r="B23" s="157"/>
      <c r="C23" s="158"/>
      <c r="D23" s="159"/>
      <c r="E23" s="159"/>
      <c r="F23" s="152"/>
      <c r="G23" s="185">
        <v>90.9</v>
      </c>
      <c r="H23" s="186">
        <v>2.56</v>
      </c>
      <c r="I23" s="186">
        <v>0.7</v>
      </c>
      <c r="J23" s="152"/>
      <c r="K23" s="2"/>
      <c r="L23" s="42" t="s">
        <v>12</v>
      </c>
    </row>
    <row r="24" spans="1:12" ht="12.75">
      <c r="A24" s="155"/>
      <c r="B24" s="160"/>
      <c r="C24" s="160"/>
      <c r="D24" s="159"/>
      <c r="E24" s="159"/>
      <c r="F24" s="152"/>
      <c r="G24" s="187"/>
      <c r="H24" s="188"/>
      <c r="I24" s="187"/>
      <c r="J24" s="152"/>
      <c r="K24" s="2"/>
      <c r="L24" s="42" t="s">
        <v>13</v>
      </c>
    </row>
    <row r="25" spans="1:12" ht="12.75">
      <c r="A25" s="161"/>
      <c r="B25" s="162"/>
      <c r="C25" s="159"/>
      <c r="D25" s="159"/>
      <c r="E25" s="159"/>
      <c r="F25" s="152"/>
      <c r="G25" s="152"/>
      <c r="H25" s="152"/>
      <c r="I25" s="152"/>
      <c r="J25" s="152"/>
      <c r="K25" s="2"/>
      <c r="L25" s="42" t="s">
        <v>14</v>
      </c>
    </row>
    <row r="26" spans="1:12" ht="12.75">
      <c r="A26" s="155"/>
      <c r="B26" s="162"/>
      <c r="C26" s="159"/>
      <c r="D26" s="159"/>
      <c r="E26" s="159"/>
      <c r="F26" s="152"/>
      <c r="G26" s="152"/>
      <c r="H26" s="152"/>
      <c r="I26" s="152"/>
      <c r="J26" s="152"/>
      <c r="K26" s="2"/>
      <c r="L26" s="42" t="s">
        <v>15</v>
      </c>
    </row>
    <row r="27" spans="1:12" ht="12.75">
      <c r="A27" s="155"/>
      <c r="B27" s="162"/>
      <c r="C27" s="159"/>
      <c r="D27" s="159"/>
      <c r="E27" s="159"/>
      <c r="F27" s="152"/>
      <c r="G27" s="152"/>
      <c r="H27" s="152"/>
      <c r="I27" s="152"/>
      <c r="J27" s="152"/>
      <c r="K27" s="2"/>
      <c r="L27" s="42" t="s">
        <v>16</v>
      </c>
    </row>
    <row r="28" spans="1:11" ht="12.75">
      <c r="A28" s="161"/>
      <c r="B28" s="162"/>
      <c r="C28" s="159"/>
      <c r="D28" s="159"/>
      <c r="E28" s="159"/>
      <c r="F28" s="152"/>
      <c r="G28" s="152"/>
      <c r="H28" s="152"/>
      <c r="I28" s="152"/>
      <c r="J28" s="152"/>
      <c r="K28" s="2"/>
    </row>
    <row r="29" spans="1:11" ht="12.75">
      <c r="A29" s="155"/>
      <c r="B29" s="155"/>
      <c r="C29" s="152"/>
      <c r="D29" s="152"/>
      <c r="E29" s="152"/>
      <c r="F29" s="152"/>
      <c r="G29" s="152"/>
      <c r="H29" s="152"/>
      <c r="I29" s="152"/>
      <c r="J29" s="152"/>
      <c r="K29" s="2"/>
    </row>
    <row r="30" spans="1:11" ht="12.75">
      <c r="A30" s="155"/>
      <c r="B30" s="163"/>
      <c r="C30" s="152"/>
      <c r="D30" s="152"/>
      <c r="E30" s="152"/>
      <c r="F30" s="152"/>
      <c r="G30" s="152"/>
      <c r="H30" s="152"/>
      <c r="I30" s="152"/>
      <c r="J30" s="152"/>
      <c r="K30" s="2"/>
    </row>
    <row r="31" spans="1:11" ht="12.75">
      <c r="A31" s="155"/>
      <c r="B31" s="155"/>
      <c r="C31" s="152"/>
      <c r="D31" s="152"/>
      <c r="E31" s="152"/>
      <c r="F31" s="152"/>
      <c r="G31" s="152"/>
      <c r="H31" s="152"/>
      <c r="I31" s="152"/>
      <c r="J31" s="152"/>
      <c r="K31" s="2"/>
    </row>
    <row r="32" spans="1:12" ht="12.75">
      <c r="A32" s="149"/>
      <c r="B32" s="149"/>
      <c r="C32" s="149"/>
      <c r="D32" s="149"/>
      <c r="E32" s="149"/>
      <c r="F32" s="149"/>
      <c r="G32" s="150"/>
      <c r="H32" s="150"/>
      <c r="I32" s="150"/>
      <c r="J32" s="149"/>
      <c r="K32" s="2"/>
      <c r="L32" s="42" t="s">
        <v>120</v>
      </c>
    </row>
    <row r="33" spans="1:12" ht="12.75">
      <c r="A33" s="149"/>
      <c r="B33" s="149"/>
      <c r="C33" s="149"/>
      <c r="D33" s="149"/>
      <c r="E33" s="149"/>
      <c r="F33" s="149"/>
      <c r="G33" s="150"/>
      <c r="H33" s="150"/>
      <c r="I33" s="150"/>
      <c r="J33" s="149"/>
      <c r="K33" s="2"/>
      <c r="L33" s="42" t="s">
        <v>121</v>
      </c>
    </row>
    <row r="34" spans="1:12" ht="12.75">
      <c r="A34" s="149"/>
      <c r="B34" s="149"/>
      <c r="C34" s="149"/>
      <c r="D34" s="149"/>
      <c r="E34" s="149"/>
      <c r="F34" s="149"/>
      <c r="G34" s="150"/>
      <c r="H34" s="150"/>
      <c r="I34" s="150"/>
      <c r="J34" s="149"/>
      <c r="K34" s="2"/>
      <c r="L34" s="42" t="s">
        <v>122</v>
      </c>
    </row>
    <row r="35" spans="1:12" ht="12.75">
      <c r="A35" s="149"/>
      <c r="B35" s="149"/>
      <c r="C35" s="149"/>
      <c r="D35" s="149"/>
      <c r="E35" s="149"/>
      <c r="F35" s="149"/>
      <c r="G35" s="189" t="s">
        <v>137</v>
      </c>
      <c r="H35" s="189" t="s">
        <v>140</v>
      </c>
      <c r="I35" s="189" t="s">
        <v>141</v>
      </c>
      <c r="J35" s="149"/>
      <c r="K35" s="2"/>
      <c r="L35" s="42" t="s">
        <v>123</v>
      </c>
    </row>
    <row r="36" spans="1:12" ht="12.75">
      <c r="A36" s="149"/>
      <c r="B36" s="149"/>
      <c r="C36" s="149"/>
      <c r="D36" s="149"/>
      <c r="E36" s="149"/>
      <c r="F36" s="151" t="s">
        <v>116</v>
      </c>
      <c r="G36" s="189">
        <v>150</v>
      </c>
      <c r="H36" s="189">
        <v>2.05</v>
      </c>
      <c r="I36" s="189">
        <v>0.446</v>
      </c>
      <c r="J36" s="149"/>
      <c r="K36" s="2"/>
      <c r="L36" s="42" t="s">
        <v>124</v>
      </c>
    </row>
    <row r="37" spans="1:11" ht="12.75">
      <c r="A37" s="149"/>
      <c r="B37" s="149"/>
      <c r="C37" s="149"/>
      <c r="D37" s="149"/>
      <c r="E37" s="149"/>
      <c r="F37" s="151" t="s">
        <v>115</v>
      </c>
      <c r="G37" s="189">
        <v>97.6</v>
      </c>
      <c r="H37" s="189">
        <v>2.16</v>
      </c>
      <c r="I37" s="189">
        <v>0.68</v>
      </c>
      <c r="J37" s="149"/>
      <c r="K37" s="2"/>
    </row>
    <row r="38" spans="1:11" ht="12.75">
      <c r="A38" s="149"/>
      <c r="B38" s="149"/>
      <c r="C38" s="149"/>
      <c r="D38" s="149"/>
      <c r="E38" s="149"/>
      <c r="F38" s="149"/>
      <c r="G38" s="189">
        <v>82</v>
      </c>
      <c r="H38" s="189">
        <v>2.23</v>
      </c>
      <c r="I38" s="189">
        <v>0.78</v>
      </c>
      <c r="J38" s="149"/>
      <c r="K38" s="2"/>
    </row>
    <row r="39" spans="1:11" ht="12.75">
      <c r="A39" s="149"/>
      <c r="B39" s="149"/>
      <c r="C39" s="149"/>
      <c r="D39" s="149"/>
      <c r="E39" s="149"/>
      <c r="F39" s="149"/>
      <c r="G39" s="189">
        <v>68</v>
      </c>
      <c r="H39" s="189">
        <v>2.33</v>
      </c>
      <c r="I39" s="189">
        <v>0.95</v>
      </c>
      <c r="J39" s="149"/>
      <c r="K39" s="2"/>
    </row>
    <row r="40" spans="1:11" ht="12.75">
      <c r="A40" s="149"/>
      <c r="B40" s="149"/>
      <c r="C40" s="149"/>
      <c r="D40" s="149"/>
      <c r="E40" s="149"/>
      <c r="F40" s="149"/>
      <c r="G40" s="190">
        <v>47.5</v>
      </c>
      <c r="H40" s="189">
        <v>2.59</v>
      </c>
      <c r="I40" s="191">
        <v>1.37</v>
      </c>
      <c r="J40" s="149"/>
      <c r="K40" s="2"/>
    </row>
    <row r="41" spans="1:11" ht="12.75">
      <c r="A41" s="149"/>
      <c r="B41" s="149"/>
      <c r="C41" s="149"/>
      <c r="D41" s="149"/>
      <c r="E41" s="149"/>
      <c r="F41" s="149"/>
      <c r="G41" s="190">
        <v>27</v>
      </c>
      <c r="H41" s="191">
        <v>3.52</v>
      </c>
      <c r="I41" s="191">
        <v>2.36</v>
      </c>
      <c r="J41" s="149"/>
      <c r="K41" s="2"/>
    </row>
    <row r="42" spans="1:11" ht="12.75">
      <c r="A42" s="149"/>
      <c r="B42" s="149"/>
      <c r="C42" s="149"/>
      <c r="D42" s="149"/>
      <c r="E42" s="149"/>
      <c r="F42" s="149"/>
      <c r="G42" s="190">
        <v>15</v>
      </c>
      <c r="H42" s="191">
        <v>5.37</v>
      </c>
      <c r="I42" s="191">
        <v>4.39</v>
      </c>
      <c r="J42" s="149"/>
      <c r="K42" s="2"/>
    </row>
    <row r="43" spans="1:11" ht="12.75">
      <c r="A43" s="149"/>
      <c r="B43" s="149"/>
      <c r="C43" s="149"/>
      <c r="D43" s="149"/>
      <c r="E43" s="149"/>
      <c r="F43" s="149"/>
      <c r="G43" s="190">
        <v>10</v>
      </c>
      <c r="H43" s="191">
        <v>8.26</v>
      </c>
      <c r="I43" s="191">
        <v>7.58</v>
      </c>
      <c r="J43" s="149"/>
      <c r="K43" s="2"/>
    </row>
    <row r="44" spans="1:11" ht="12.75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2"/>
    </row>
    <row r="45" spans="1:11" ht="12.75">
      <c r="A45" s="149"/>
      <c r="B45" s="149"/>
      <c r="C45" s="149"/>
      <c r="D45" s="149"/>
      <c r="E45" s="149"/>
      <c r="F45" s="149"/>
      <c r="G45" s="149"/>
      <c r="H45" s="149"/>
      <c r="I45" s="149"/>
      <c r="J45" s="149"/>
      <c r="K45" s="2"/>
    </row>
    <row r="46" spans="1:11" ht="12.75">
      <c r="A46" s="149"/>
      <c r="B46" s="149"/>
      <c r="C46" s="149"/>
      <c r="D46" s="149"/>
      <c r="E46" s="149"/>
      <c r="F46" s="149"/>
      <c r="G46" s="149"/>
      <c r="H46" s="149"/>
      <c r="I46" s="149"/>
      <c r="J46" s="149"/>
      <c r="K46" s="2"/>
    </row>
    <row r="47" spans="1:11" ht="12.75">
      <c r="A47" s="149"/>
      <c r="B47" s="149"/>
      <c r="C47" s="149"/>
      <c r="D47" s="149"/>
      <c r="E47" s="149"/>
      <c r="F47" s="149"/>
      <c r="G47" s="149"/>
      <c r="H47" s="149"/>
      <c r="I47" s="149"/>
      <c r="J47" s="149"/>
      <c r="K47" s="2"/>
    </row>
    <row r="51" ht="12.75">
      <c r="C51" s="97" t="s">
        <v>78</v>
      </c>
    </row>
  </sheetData>
  <sheetProtection password="CA3D" sheet="1" objects="1" scenarios="1"/>
  <mergeCells count="16">
    <mergeCell ref="A1:F1"/>
    <mergeCell ref="E2:F2"/>
    <mergeCell ref="B3:F3"/>
    <mergeCell ref="D4:F4"/>
    <mergeCell ref="E5:F5"/>
    <mergeCell ref="E6:F6"/>
    <mergeCell ref="E7:F7"/>
    <mergeCell ref="E8:F8"/>
    <mergeCell ref="E9:F9"/>
    <mergeCell ref="E10:F10"/>
    <mergeCell ref="E11:F11"/>
    <mergeCell ref="E12:F12"/>
    <mergeCell ref="E15:F15"/>
    <mergeCell ref="E13:F13"/>
    <mergeCell ref="A13:B13"/>
    <mergeCell ref="E14:F14"/>
  </mergeCells>
  <conditionalFormatting sqref="C8">
    <cfRule type="cellIs" priority="1" dxfId="0" operator="greaterThan" stopIfTrue="1">
      <formula>18</formula>
    </cfRule>
    <cfRule type="cellIs" priority="2" dxfId="0" operator="lessThan" stopIfTrue="1">
      <formula>9</formula>
    </cfRule>
  </conditionalFormatting>
  <conditionalFormatting sqref="D8">
    <cfRule type="expression" priority="3" dxfId="0" stopIfTrue="1">
      <formula>$C$8&gt;18</formula>
    </cfRule>
    <cfRule type="expression" priority="4" dxfId="0" stopIfTrue="1">
      <formula>$C$8&lt;9</formula>
    </cfRule>
  </conditionalFormatting>
  <conditionalFormatting sqref="C11">
    <cfRule type="cellIs" priority="5" dxfId="0" operator="lessThan" stopIfTrue="1">
      <formula>0.4</formula>
    </cfRule>
    <cfRule type="cellIs" priority="6" dxfId="0" operator="greaterThan" stopIfTrue="1">
      <formula>5.5</formula>
    </cfRule>
  </conditionalFormatting>
  <conditionalFormatting sqref="D11:D12 E12">
    <cfRule type="expression" priority="7" dxfId="0" stopIfTrue="1">
      <formula>$C$11&lt;0.4</formula>
    </cfRule>
    <cfRule type="expression" priority="8" dxfId="0" stopIfTrue="1">
      <formula>$C$11&gt;5.5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I52"/>
  <sheetViews>
    <sheetView workbookViewId="0" topLeftCell="A1">
      <selection activeCell="G8" sqref="G8"/>
    </sheetView>
  </sheetViews>
  <sheetFormatPr defaultColWidth="9.140625" defaultRowHeight="12.75"/>
  <cols>
    <col min="2" max="2" width="10.00390625" style="0" customWidth="1"/>
    <col min="5" max="5" width="5.140625" style="0" customWidth="1"/>
    <col min="6" max="6" width="2.8515625" style="0" customWidth="1"/>
    <col min="8" max="8" width="4.7109375" style="0" customWidth="1"/>
    <col min="9" max="9" width="2.7109375" style="0" customWidth="1"/>
    <col min="10" max="10" width="12.140625" style="0" customWidth="1"/>
    <col min="11" max="11" width="8.8515625" style="0" customWidth="1"/>
    <col min="12" max="12" width="5.140625" style="0" customWidth="1"/>
    <col min="13" max="13" width="16.28125" style="0" customWidth="1"/>
    <col min="14" max="15" width="5.140625" style="0" customWidth="1"/>
    <col min="16" max="17" width="5.7109375" style="0" customWidth="1"/>
    <col min="18" max="20" width="5.140625" style="0" customWidth="1"/>
    <col min="21" max="21" width="6.57421875" style="0" customWidth="1"/>
    <col min="22" max="22" width="5.140625" style="0" customWidth="1"/>
    <col min="23" max="24" width="5.8515625" style="0" customWidth="1"/>
    <col min="25" max="25" width="6.421875" style="0" customWidth="1"/>
    <col min="26" max="27" width="5.7109375" style="0" customWidth="1"/>
  </cols>
  <sheetData>
    <row r="1" spans="1:27" ht="12.75">
      <c r="A1" s="7" t="s">
        <v>145</v>
      </c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2" spans="1:27" ht="12.75">
      <c r="A2" s="7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1:27" ht="12.75">
      <c r="A3" s="46" t="str">
        <f>'1. System Requirments'!B3</f>
        <v>NIS5132 Design Assistance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</row>
    <row r="4" spans="13:27" ht="13.5" thickBot="1"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</row>
    <row r="5" spans="1:35" ht="13.5" thickBot="1">
      <c r="A5" s="19"/>
      <c r="B5" s="222" t="s">
        <v>17</v>
      </c>
      <c r="C5" s="223"/>
      <c r="D5" s="224"/>
      <c r="E5" s="20"/>
      <c r="F5" s="20"/>
      <c r="G5" s="6" t="s">
        <v>18</v>
      </c>
      <c r="H5" s="6"/>
      <c r="I5" s="20"/>
      <c r="J5" s="20"/>
      <c r="K5" s="20"/>
      <c r="L5" s="21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 t="s">
        <v>36</v>
      </c>
      <c r="X5" s="100" t="s">
        <v>36</v>
      </c>
      <c r="Y5" s="100" t="s">
        <v>32</v>
      </c>
      <c r="Z5" s="100" t="s">
        <v>32</v>
      </c>
      <c r="AA5" s="100" t="s">
        <v>32</v>
      </c>
      <c r="AB5" s="100"/>
      <c r="AC5" s="100"/>
      <c r="AD5" s="100"/>
      <c r="AE5" s="100"/>
      <c r="AF5" s="32"/>
      <c r="AG5" s="32"/>
      <c r="AH5" s="32"/>
      <c r="AI5" s="32"/>
    </row>
    <row r="6" spans="1:35" ht="14.25" thickBot="1" thickTop="1">
      <c r="A6" s="28"/>
      <c r="B6" s="29" t="s">
        <v>30</v>
      </c>
      <c r="C6" s="40" t="s">
        <v>27</v>
      </c>
      <c r="D6" s="41">
        <v>0.01</v>
      </c>
      <c r="E6" s="15"/>
      <c r="F6" s="15"/>
      <c r="G6" s="15"/>
      <c r="H6" s="15"/>
      <c r="I6" s="15"/>
      <c r="J6" s="15"/>
      <c r="K6" s="15"/>
      <c r="L6" s="18"/>
      <c r="M6" s="100"/>
      <c r="N6" s="100" t="s">
        <v>37</v>
      </c>
      <c r="O6" s="100" t="s">
        <v>29</v>
      </c>
      <c r="P6" s="100" t="s">
        <v>31</v>
      </c>
      <c r="Q6" s="100" t="s">
        <v>32</v>
      </c>
      <c r="R6" s="100" t="s">
        <v>28</v>
      </c>
      <c r="S6" s="100" t="s">
        <v>34</v>
      </c>
      <c r="T6" s="100" t="s">
        <v>34</v>
      </c>
      <c r="U6" s="100" t="s">
        <v>35</v>
      </c>
      <c r="V6" s="100" t="s">
        <v>35</v>
      </c>
      <c r="W6" s="100" t="s">
        <v>35</v>
      </c>
      <c r="X6" s="100" t="s">
        <v>35</v>
      </c>
      <c r="Y6" s="100" t="s">
        <v>33</v>
      </c>
      <c r="Z6" s="100" t="s">
        <v>33</v>
      </c>
      <c r="AA6" s="100" t="s">
        <v>33</v>
      </c>
      <c r="AB6" s="100"/>
      <c r="AC6" s="100"/>
      <c r="AD6" s="100"/>
      <c r="AE6" s="100"/>
      <c r="AF6" s="87"/>
      <c r="AG6" s="87"/>
      <c r="AH6" s="87"/>
      <c r="AI6" s="87"/>
    </row>
    <row r="7" spans="1:35" ht="12.75">
      <c r="A7" s="22" t="s">
        <v>26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139"/>
      <c r="N7" s="100"/>
      <c r="O7" s="100"/>
      <c r="P7" s="100"/>
      <c r="Q7" s="100" t="s">
        <v>33</v>
      </c>
      <c r="R7" s="100"/>
      <c r="S7" s="101">
        <v>0.01</v>
      </c>
      <c r="T7" s="101">
        <v>0.05</v>
      </c>
      <c r="U7" s="101">
        <v>0.01</v>
      </c>
      <c r="V7" s="101">
        <v>0.05</v>
      </c>
      <c r="W7" s="101">
        <v>0.05</v>
      </c>
      <c r="X7" s="101">
        <v>0.1</v>
      </c>
      <c r="Y7" s="101">
        <v>0.01</v>
      </c>
      <c r="Z7" s="101">
        <v>0.05</v>
      </c>
      <c r="AA7" s="101">
        <v>0.1</v>
      </c>
      <c r="AB7" s="100"/>
      <c r="AC7" s="100"/>
      <c r="AD7" s="100"/>
      <c r="AE7" s="100"/>
      <c r="AF7" s="32"/>
      <c r="AG7" s="32"/>
      <c r="AH7" s="32"/>
      <c r="AI7" s="32"/>
    </row>
    <row r="8" spans="1:35" ht="15.75">
      <c r="A8" s="12" t="s">
        <v>89</v>
      </c>
      <c r="B8" s="166">
        <f>IF('1. System Requirments'!C10="k",((B9)/37.23)^-1.139,IF('1. System Requirments'!C10="d",(B9/74.719)^-0.97,"K or D?"))</f>
        <v>21.67671653352664</v>
      </c>
      <c r="C8" s="34">
        <f>Z8*10^(R8-3)</f>
        <v>22</v>
      </c>
      <c r="D8" s="35">
        <f>Y8*10^(R8-3)</f>
        <v>21.5</v>
      </c>
      <c r="E8" s="4" t="s">
        <v>3</v>
      </c>
      <c r="F8" s="4"/>
      <c r="G8" s="99">
        <v>22</v>
      </c>
      <c r="H8" s="4" t="s">
        <v>3</v>
      </c>
      <c r="I8" s="4"/>
      <c r="J8" s="13" t="s">
        <v>42</v>
      </c>
      <c r="K8" s="14">
        <f>IF('1. System Requirments'!C10="k",37.23*(G8^-0.878),IF('1. System Requirments'!C10="d",74.719*(G8^-1.0309)))</f>
        <v>2.4674361456534495</v>
      </c>
      <c r="L8" s="11" t="s">
        <v>4</v>
      </c>
      <c r="M8" s="100"/>
      <c r="N8" s="102">
        <f>INT(B8+0.5)</f>
        <v>22</v>
      </c>
      <c r="O8" s="103">
        <f>N8</f>
        <v>22</v>
      </c>
      <c r="P8" s="100">
        <f>LEN(O8)</f>
        <v>2</v>
      </c>
      <c r="Q8" s="104">
        <f>B8/(10^(P8-1))</f>
        <v>2.167671653352664</v>
      </c>
      <c r="R8" s="100">
        <f>P8+2</f>
        <v>4</v>
      </c>
      <c r="S8" s="100">
        <f>INT(LOG(Q8^96))</f>
        <v>32</v>
      </c>
      <c r="T8" s="100">
        <f>INT(LOG(Q8^24))</f>
        <v>8</v>
      </c>
      <c r="U8" s="104">
        <f>10^(S8/96)</f>
        <v>2.154434690031884</v>
      </c>
      <c r="V8" s="105">
        <f>10^(T8/24)</f>
        <v>2.154434690031884</v>
      </c>
      <c r="W8" s="105">
        <f>IF(T8&lt;10,V8,IF(T8&lt;17,V8+0.1,IF(T8&lt;21,V8,IF(T8=22,V8-0.1,IF(T8&lt;25,V8)))))</f>
        <v>2.154434690031884</v>
      </c>
      <c r="X8" s="105"/>
      <c r="Y8" s="104">
        <f>0.01*INT((U8*100)+0.5)</f>
        <v>2.15</v>
      </c>
      <c r="Z8" s="105">
        <f>0.1*INT((W8*10)+0.5)</f>
        <v>2.2</v>
      </c>
      <c r="AA8" s="105"/>
      <c r="AB8" s="100"/>
      <c r="AC8" s="100"/>
      <c r="AD8" s="139" t="s">
        <v>21</v>
      </c>
      <c r="AE8" s="100"/>
      <c r="AF8" s="87"/>
      <c r="AG8" s="87" t="s">
        <v>19</v>
      </c>
      <c r="AH8" s="87"/>
      <c r="AI8" s="32"/>
    </row>
    <row r="9" spans="1:35" ht="16.5" thickBot="1">
      <c r="A9" s="69" t="s">
        <v>65</v>
      </c>
      <c r="B9" s="118">
        <f>'1. System Requirments'!C11</f>
        <v>2.5</v>
      </c>
      <c r="C9" s="70" t="s">
        <v>2</v>
      </c>
      <c r="D9" s="30"/>
      <c r="E9" s="15"/>
      <c r="F9" s="15"/>
      <c r="G9" s="25"/>
      <c r="H9" s="25"/>
      <c r="I9" s="15"/>
      <c r="J9" s="94" t="s">
        <v>72</v>
      </c>
      <c r="K9" s="17">
        <f>IF('1. System Requirments'!C10="k",((42.65*(G8^-1.0611))+2.2),IF('1. System Requirments'!C10="d",((98.879*(G8^-1.2241))+1.8)))</f>
        <v>3.8049973840081384</v>
      </c>
      <c r="L9" s="18" t="s">
        <v>4</v>
      </c>
      <c r="M9" s="100"/>
      <c r="N9" s="100"/>
      <c r="O9" s="103"/>
      <c r="P9" s="100"/>
      <c r="Q9" s="104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39" t="s">
        <v>20</v>
      </c>
      <c r="AE9" s="100"/>
      <c r="AF9" s="87"/>
      <c r="AG9" s="87"/>
      <c r="AH9" s="87"/>
      <c r="AI9" s="32"/>
    </row>
    <row r="10" spans="1:35" ht="13.5" thickBot="1">
      <c r="A10" s="119"/>
      <c r="B10" s="123"/>
      <c r="C10" s="120"/>
      <c r="D10" s="121"/>
      <c r="E10" s="4"/>
      <c r="F10" s="4"/>
      <c r="G10" s="8"/>
      <c r="H10" s="8"/>
      <c r="I10" s="4"/>
      <c r="J10" s="122"/>
      <c r="K10" s="14"/>
      <c r="L10" s="4"/>
      <c r="M10" s="100"/>
      <c r="N10" s="100"/>
      <c r="O10" s="103"/>
      <c r="P10" s="100"/>
      <c r="Q10" s="104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39"/>
      <c r="AE10" s="100"/>
      <c r="AF10" s="87"/>
      <c r="AG10" s="87"/>
      <c r="AH10" s="87"/>
      <c r="AI10" s="32"/>
    </row>
    <row r="11" spans="1:35" ht="12.75">
      <c r="A11" s="197"/>
      <c r="B11" s="198" t="s">
        <v>159</v>
      </c>
      <c r="C11" s="199" t="s">
        <v>160</v>
      </c>
      <c r="D11" s="200" t="s">
        <v>161</v>
      </c>
      <c r="E11" s="4"/>
      <c r="F11" s="58" t="s">
        <v>162</v>
      </c>
      <c r="G11" s="201"/>
      <c r="H11" s="201"/>
      <c r="I11" s="4"/>
      <c r="J11" s="122"/>
      <c r="K11" s="14"/>
      <c r="L11" s="4"/>
      <c r="M11" s="100"/>
      <c r="N11" s="100"/>
      <c r="O11" s="103"/>
      <c r="P11" s="100"/>
      <c r="Q11" s="104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39"/>
      <c r="AE11" s="100"/>
      <c r="AF11" s="87"/>
      <c r="AG11" s="87"/>
      <c r="AH11" s="87"/>
      <c r="AI11" s="32"/>
    </row>
    <row r="12" spans="1:35" ht="14.25">
      <c r="A12" s="202" t="s">
        <v>163</v>
      </c>
      <c r="B12" s="203">
        <f>C12*0.8</f>
        <v>1.9739489165227597</v>
      </c>
      <c r="C12" s="204">
        <f>K8</f>
        <v>2.4674361456534495</v>
      </c>
      <c r="D12" s="205">
        <f>C12*1.235</f>
        <v>3.0472836398820102</v>
      </c>
      <c r="E12" s="4"/>
      <c r="F12" s="58"/>
      <c r="G12" s="206" t="s">
        <v>164</v>
      </c>
      <c r="H12" s="201"/>
      <c r="I12" s="4"/>
      <c r="J12" s="122"/>
      <c r="K12" s="14"/>
      <c r="L12" s="4"/>
      <c r="M12" s="100"/>
      <c r="N12" s="100"/>
      <c r="O12" s="103"/>
      <c r="P12" s="100"/>
      <c r="Q12" s="104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39"/>
      <c r="AE12" s="100"/>
      <c r="AF12" s="87"/>
      <c r="AG12" s="87"/>
      <c r="AH12" s="87"/>
      <c r="AI12" s="32"/>
    </row>
    <row r="13" spans="1:35" ht="15" thickBot="1">
      <c r="A13" s="207" t="s">
        <v>165</v>
      </c>
      <c r="B13" s="208">
        <f>C13*0.8</f>
        <v>3.043997907206511</v>
      </c>
      <c r="C13" s="209">
        <f>K9</f>
        <v>3.8049973840081384</v>
      </c>
      <c r="D13" s="210">
        <f>C13*1.235</f>
        <v>4.699171769250051</v>
      </c>
      <c r="E13" s="4"/>
      <c r="F13" s="58"/>
      <c r="G13" s="206" t="s">
        <v>166</v>
      </c>
      <c r="H13" s="201"/>
      <c r="I13" s="4"/>
      <c r="J13" s="122"/>
      <c r="K13" s="14"/>
      <c r="L13" s="4"/>
      <c r="M13" s="100"/>
      <c r="N13" s="100"/>
      <c r="O13" s="103"/>
      <c r="P13" s="100"/>
      <c r="Q13" s="104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39"/>
      <c r="AE13" s="100"/>
      <c r="AF13" s="87"/>
      <c r="AG13" s="87"/>
      <c r="AH13" s="87"/>
      <c r="AI13" s="32"/>
    </row>
    <row r="14" spans="1:35" ht="12.75">
      <c r="A14" s="211"/>
      <c r="B14" s="212"/>
      <c r="C14" s="213"/>
      <c r="D14" s="214"/>
      <c r="E14" s="4"/>
      <c r="F14" s="58"/>
      <c r="G14" s="206" t="s">
        <v>167</v>
      </c>
      <c r="H14" s="201"/>
      <c r="I14" s="4"/>
      <c r="J14" s="122"/>
      <c r="K14" s="14"/>
      <c r="L14" s="4"/>
      <c r="M14" s="100"/>
      <c r="N14" s="100"/>
      <c r="O14" s="103"/>
      <c r="P14" s="100"/>
      <c r="Q14" s="104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39"/>
      <c r="AE14" s="100"/>
      <c r="AF14" s="87"/>
      <c r="AG14" s="87"/>
      <c r="AH14" s="87"/>
      <c r="AI14" s="32"/>
    </row>
    <row r="15" spans="1:35" ht="12.75">
      <c r="A15" s="119"/>
      <c r="B15" s="123"/>
      <c r="C15" s="120"/>
      <c r="D15" s="121"/>
      <c r="E15" s="4"/>
      <c r="F15" s="4"/>
      <c r="G15" s="8"/>
      <c r="H15" s="8"/>
      <c r="I15" s="4"/>
      <c r="J15" s="122"/>
      <c r="K15" s="14"/>
      <c r="L15" s="4"/>
      <c r="M15" s="100"/>
      <c r="N15" s="100"/>
      <c r="O15" s="103"/>
      <c r="P15" s="100"/>
      <c r="Q15" s="104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39"/>
      <c r="AE15" s="100"/>
      <c r="AF15" s="87"/>
      <c r="AG15" s="87"/>
      <c r="AH15" s="87"/>
      <c r="AI15" s="32"/>
    </row>
    <row r="16" spans="1:35" ht="13.5" thickBot="1">
      <c r="A16" s="173"/>
      <c r="B16" s="174"/>
      <c r="C16" s="175"/>
      <c r="D16" s="176"/>
      <c r="E16" s="177"/>
      <c r="F16" s="177"/>
      <c r="G16" s="178"/>
      <c r="H16" s="178"/>
      <c r="I16" s="177"/>
      <c r="J16" s="179"/>
      <c r="K16" s="180"/>
      <c r="L16" s="177"/>
      <c r="M16" s="100"/>
      <c r="N16" s="100"/>
      <c r="O16" s="103"/>
      <c r="P16" s="100"/>
      <c r="Q16" s="104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39"/>
      <c r="AE16" s="100"/>
      <c r="AF16" s="87"/>
      <c r="AG16" s="87"/>
      <c r="AH16" s="87"/>
      <c r="AI16" s="32"/>
    </row>
    <row r="17" spans="1:35" ht="14.25" thickBot="1" thickTop="1">
      <c r="A17" s="12"/>
      <c r="B17" s="29" t="s">
        <v>30</v>
      </c>
      <c r="C17" s="172">
        <v>0.05</v>
      </c>
      <c r="D17" s="172">
        <v>0.1</v>
      </c>
      <c r="E17" s="4"/>
      <c r="F17" s="4"/>
      <c r="G17" s="8"/>
      <c r="H17" s="8"/>
      <c r="I17" s="13"/>
      <c r="J17" s="5"/>
      <c r="K17" s="4"/>
      <c r="L17" s="182"/>
      <c r="M17" s="181"/>
      <c r="N17" s="100"/>
      <c r="O17" s="103"/>
      <c r="P17" s="100"/>
      <c r="Q17" s="104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87"/>
      <c r="AG17" s="87"/>
      <c r="AH17" s="87"/>
      <c r="AI17" s="32"/>
    </row>
    <row r="18" spans="1:35" ht="12.75">
      <c r="A18" s="26" t="s">
        <v>90</v>
      </c>
      <c r="B18" s="23"/>
      <c r="C18" s="23"/>
      <c r="D18" s="23"/>
      <c r="E18" s="23"/>
      <c r="F18" s="23"/>
      <c r="G18" s="27"/>
      <c r="H18" s="33"/>
      <c r="I18" s="23"/>
      <c r="J18" s="23"/>
      <c r="K18" s="23"/>
      <c r="L18" s="24"/>
      <c r="M18" s="100"/>
      <c r="N18" s="100"/>
      <c r="O18" s="100"/>
      <c r="P18" s="100"/>
      <c r="Q18" s="100"/>
      <c r="R18" s="100"/>
      <c r="S18" s="101">
        <v>0.1</v>
      </c>
      <c r="T18" s="100"/>
      <c r="U18" s="101">
        <v>0.1</v>
      </c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87"/>
      <c r="AG18" s="87"/>
      <c r="AH18" s="87"/>
      <c r="AI18" s="32"/>
    </row>
    <row r="19" spans="1:35" ht="15.75">
      <c r="A19" s="12" t="s">
        <v>91</v>
      </c>
      <c r="B19" s="166">
        <f>IF('1. System Requirments'!C13&lt;1.5,"0",((B20/24000000000)-0.00000000005)*1000000000000)</f>
        <v>783.3333333333334</v>
      </c>
      <c r="C19" s="124">
        <f>IF(B19="0","0",Z19*10^R19)</f>
        <v>750</v>
      </c>
      <c r="D19" s="124">
        <f>IF(B19="0","0",AA19*10^R19)</f>
        <v>820.0000000000001</v>
      </c>
      <c r="E19" s="4" t="s">
        <v>125</v>
      </c>
      <c r="F19" s="4"/>
      <c r="G19" s="99">
        <v>820</v>
      </c>
      <c r="H19" s="4" t="s">
        <v>125</v>
      </c>
      <c r="I19" s="4"/>
      <c r="J19" s="13" t="s">
        <v>127</v>
      </c>
      <c r="K19" s="14">
        <f>((50+G19)/1000000000000)*24000000000</f>
        <v>20.88</v>
      </c>
      <c r="L19" s="11" t="s">
        <v>41</v>
      </c>
      <c r="M19" s="100"/>
      <c r="N19" s="102">
        <f>INT(B19+0.5)</f>
        <v>783</v>
      </c>
      <c r="O19" s="106">
        <f>N19</f>
        <v>783</v>
      </c>
      <c r="P19" s="100">
        <f>LEN(O19)</f>
        <v>3</v>
      </c>
      <c r="Q19" s="104">
        <f>B19/(10^(P19-1))</f>
        <v>7.833333333333334</v>
      </c>
      <c r="R19" s="100">
        <f>P19-1</f>
        <v>2</v>
      </c>
      <c r="S19" s="100">
        <f>INT(LOG(Q19^12)+0.5)</f>
        <v>11</v>
      </c>
      <c r="T19" s="107">
        <f>INT(LOG(Q19^24)+0.5)</f>
        <v>21</v>
      </c>
      <c r="U19" s="104">
        <f>10^(S19/12)</f>
        <v>8.254041852680183</v>
      </c>
      <c r="V19" s="108">
        <f>10^(T19/24)</f>
        <v>7.498942093324559</v>
      </c>
      <c r="W19" s="105">
        <f>IF(T19&lt;10,V19,IF(T19&lt;17,V19+0.1,IF(T19&lt;21,V19,IF(T19=22,V19-0.1,IF(T19&lt;25,V19)))))</f>
        <v>7.498942093324559</v>
      </c>
      <c r="X19" s="105">
        <f>IF(S19&lt;5,U19,IF(S19&lt;9,U19+0.1,IF(S19&lt;11,U19,IF(S19&lt;12,U19-0.1,U19))))</f>
        <v>8.154041852680184</v>
      </c>
      <c r="Y19" s="100"/>
      <c r="Z19" s="104">
        <f>0.1*INT((W19*10)+0.5)</f>
        <v>7.5</v>
      </c>
      <c r="AA19" s="104">
        <f>0.1*INT((X19*10)+0.5)</f>
        <v>8.200000000000001</v>
      </c>
      <c r="AB19" s="100"/>
      <c r="AC19" s="100"/>
      <c r="AD19" s="100" t="s">
        <v>23</v>
      </c>
      <c r="AE19" s="100"/>
      <c r="AF19" s="87"/>
      <c r="AG19" s="87" t="s">
        <v>25</v>
      </c>
      <c r="AH19" s="87"/>
      <c r="AI19" s="32"/>
    </row>
    <row r="20" spans="1:35" ht="13.5" thickBot="1">
      <c r="A20" s="69" t="s">
        <v>128</v>
      </c>
      <c r="B20" s="165">
        <f>'1. System Requirments'!C13</f>
        <v>20</v>
      </c>
      <c r="C20" s="70" t="s">
        <v>41</v>
      </c>
      <c r="D20" s="30"/>
      <c r="E20" s="15"/>
      <c r="F20" s="15"/>
      <c r="G20" s="25" t="s">
        <v>92</v>
      </c>
      <c r="H20" s="25"/>
      <c r="I20" s="15"/>
      <c r="J20" s="16"/>
      <c r="K20" s="17"/>
      <c r="L20" s="18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 t="s">
        <v>24</v>
      </c>
      <c r="AE20" s="100"/>
      <c r="AF20" s="87"/>
      <c r="AG20" s="87"/>
      <c r="AH20" s="87"/>
      <c r="AI20" s="32"/>
    </row>
    <row r="21" spans="1:35" ht="12.75">
      <c r="A21" s="126"/>
      <c r="B21" s="125"/>
      <c r="C21" s="125"/>
      <c r="D21" s="125"/>
      <c r="E21" s="43"/>
      <c r="F21" s="43"/>
      <c r="G21" s="8"/>
      <c r="H21" s="8"/>
      <c r="I21" s="43"/>
      <c r="J21" s="43"/>
      <c r="K21" s="43"/>
      <c r="L21" s="43"/>
      <c r="M21" s="181"/>
      <c r="N21" s="100"/>
      <c r="O21" s="103"/>
      <c r="P21" s="100"/>
      <c r="Q21" s="104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87"/>
      <c r="AG21" s="87"/>
      <c r="AH21" s="87"/>
      <c r="AI21" s="32"/>
    </row>
    <row r="22" spans="1:35" ht="12.75">
      <c r="A22" s="63"/>
      <c r="B22" s="43"/>
      <c r="C22" s="43"/>
      <c r="D22" s="43"/>
      <c r="E22" s="43"/>
      <c r="F22" s="43"/>
      <c r="G22" s="8"/>
      <c r="H22" s="8"/>
      <c r="I22" s="43"/>
      <c r="J22" s="43"/>
      <c r="K22" s="43"/>
      <c r="L22" s="43"/>
      <c r="M22" s="181"/>
      <c r="N22" s="100"/>
      <c r="O22" s="103"/>
      <c r="P22" s="100"/>
      <c r="Q22" s="104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87"/>
      <c r="AG22" s="87"/>
      <c r="AH22" s="87"/>
      <c r="AI22" s="32"/>
    </row>
    <row r="23" spans="1:35" ht="12.75">
      <c r="A23" s="126"/>
      <c r="B23" s="128"/>
      <c r="C23" s="127"/>
      <c r="D23" s="127"/>
      <c r="E23" s="43"/>
      <c r="F23" s="43"/>
      <c r="G23" s="111"/>
      <c r="H23" s="43"/>
      <c r="I23" s="43"/>
      <c r="J23" s="126"/>
      <c r="K23" s="127"/>
      <c r="L23" s="43"/>
      <c r="M23" s="181"/>
      <c r="N23" s="102"/>
      <c r="O23" s="103"/>
      <c r="P23" s="100"/>
      <c r="Q23" s="104"/>
      <c r="R23" s="100"/>
      <c r="S23" s="100"/>
      <c r="T23" s="100"/>
      <c r="U23" s="100"/>
      <c r="V23" s="105"/>
      <c r="W23" s="105"/>
      <c r="X23" s="105"/>
      <c r="Y23" s="104"/>
      <c r="Z23" s="105"/>
      <c r="AA23" s="105"/>
      <c r="AB23" s="100"/>
      <c r="AC23" s="100"/>
      <c r="AD23" s="100" t="s">
        <v>38</v>
      </c>
      <c r="AE23" s="100"/>
      <c r="AF23" s="87"/>
      <c r="AG23" s="87" t="s">
        <v>39</v>
      </c>
      <c r="AH23" s="87"/>
      <c r="AI23" s="32"/>
    </row>
    <row r="24" spans="1:35" ht="12.75">
      <c r="A24" s="129"/>
      <c r="B24" s="130"/>
      <c r="C24" s="131"/>
      <c r="D24" s="132"/>
      <c r="E24" s="43"/>
      <c r="F24" s="43"/>
      <c r="G24" s="43"/>
      <c r="H24" s="43"/>
      <c r="I24" s="43"/>
      <c r="J24" s="133"/>
      <c r="K24" s="134"/>
      <c r="L24" s="43"/>
      <c r="M24" s="43"/>
      <c r="N24" s="77"/>
      <c r="O24" s="171"/>
      <c r="P24" s="77"/>
      <c r="Q24" s="170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100"/>
      <c r="AC24" s="100"/>
      <c r="AD24" s="100" t="s">
        <v>40</v>
      </c>
      <c r="AE24" s="100"/>
      <c r="AF24" s="87"/>
      <c r="AG24" s="87"/>
      <c r="AH24" s="87"/>
      <c r="AI24" s="32"/>
    </row>
    <row r="25" spans="1:34" ht="12.75">
      <c r="A25" s="43"/>
      <c r="B25" s="43"/>
      <c r="C25" s="97" t="s">
        <v>130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77"/>
      <c r="O25" s="77"/>
      <c r="P25" s="77"/>
      <c r="Q25" s="170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100"/>
      <c r="AC25" s="100"/>
      <c r="AD25" s="100"/>
      <c r="AE25" s="100"/>
      <c r="AF25" s="87"/>
      <c r="AG25" s="87"/>
      <c r="AH25" s="87"/>
    </row>
    <row r="26" spans="1:34" ht="12.7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87"/>
      <c r="AC26" s="87"/>
      <c r="AD26" s="87"/>
      <c r="AE26" s="87"/>
      <c r="AF26" s="87"/>
      <c r="AG26" s="87"/>
      <c r="AH26" s="87"/>
    </row>
    <row r="27" spans="1:34" ht="12.75">
      <c r="A27" s="135"/>
      <c r="B27" s="43"/>
      <c r="C27" s="136"/>
      <c r="D27" s="136"/>
      <c r="E27" s="43"/>
      <c r="F27" s="43"/>
      <c r="G27" s="43"/>
      <c r="H27" s="43"/>
      <c r="I27" s="43"/>
      <c r="J27" s="43"/>
      <c r="K27" s="43"/>
      <c r="L27" s="43"/>
      <c r="M27" s="43"/>
      <c r="N27" s="77"/>
      <c r="O27" s="77"/>
      <c r="P27" s="77"/>
      <c r="Q27" s="77"/>
      <c r="R27" s="77"/>
      <c r="S27" s="169"/>
      <c r="T27" s="77"/>
      <c r="U27" s="169"/>
      <c r="V27" s="77"/>
      <c r="W27" s="77"/>
      <c r="X27" s="77"/>
      <c r="Y27" s="77"/>
      <c r="Z27" s="77"/>
      <c r="AA27" s="77"/>
      <c r="AB27" s="87"/>
      <c r="AC27" s="87"/>
      <c r="AD27" s="87"/>
      <c r="AE27" s="87"/>
      <c r="AF27" s="87"/>
      <c r="AG27" s="87"/>
      <c r="AH27" s="87"/>
    </row>
    <row r="28" spans="1:34" ht="12.75">
      <c r="A28" s="126"/>
      <c r="C28" s="48"/>
      <c r="D28" s="48"/>
      <c r="E28" s="43"/>
      <c r="F28" s="43"/>
      <c r="G28" s="111"/>
      <c r="H28" s="43"/>
      <c r="I28" s="43"/>
      <c r="J28" s="126"/>
      <c r="K28" s="127"/>
      <c r="L28" s="43"/>
      <c r="M28" s="43"/>
      <c r="N28" s="112"/>
      <c r="O28" s="115"/>
      <c r="P28" s="87"/>
      <c r="Q28" s="113"/>
      <c r="R28" s="87"/>
      <c r="S28" s="87"/>
      <c r="T28" s="116"/>
      <c r="U28" s="113"/>
      <c r="V28" s="117"/>
      <c r="W28" s="114"/>
      <c r="X28" s="114"/>
      <c r="Y28" s="87"/>
      <c r="Z28" s="114"/>
      <c r="AA28" s="114"/>
      <c r="AB28" s="87"/>
      <c r="AC28" s="87"/>
      <c r="AD28" s="87"/>
      <c r="AE28" s="87"/>
      <c r="AF28" s="87"/>
      <c r="AG28" s="87"/>
      <c r="AH28" s="87"/>
    </row>
    <row r="29" spans="1:34" ht="12.75">
      <c r="A29" s="129"/>
      <c r="B29" s="137"/>
      <c r="C29" s="131"/>
      <c r="D29" s="43"/>
      <c r="E29" s="43"/>
      <c r="F29" s="43"/>
      <c r="G29" s="43"/>
      <c r="H29" s="43"/>
      <c r="I29" s="43"/>
      <c r="J29" s="138"/>
      <c r="K29" s="43"/>
      <c r="L29" s="43"/>
      <c r="M29" s="138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</row>
    <row r="30" spans="1:34" ht="12.75">
      <c r="A30" s="43"/>
      <c r="B30" s="43"/>
      <c r="C30" s="43"/>
      <c r="D30" s="43"/>
      <c r="E30" s="43"/>
      <c r="F30" s="43"/>
      <c r="G30" s="43"/>
      <c r="H30" s="43"/>
      <c r="I30" s="43"/>
      <c r="J30" s="138"/>
      <c r="K30" s="43"/>
      <c r="L30" s="43"/>
      <c r="M30" s="138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</row>
    <row r="31" spans="1:13" ht="12.75">
      <c r="A31" s="43"/>
      <c r="B31" s="43"/>
      <c r="C31" s="43"/>
      <c r="D31" s="43"/>
      <c r="E31" s="43"/>
      <c r="F31" s="43"/>
      <c r="G31" s="43"/>
      <c r="H31" s="43"/>
      <c r="I31" s="43"/>
      <c r="J31" s="138"/>
      <c r="K31" s="43"/>
      <c r="L31" s="43"/>
      <c r="M31" s="138"/>
    </row>
    <row r="32" spans="10:13" ht="12.75">
      <c r="J32" s="9"/>
      <c r="M32" s="9"/>
    </row>
    <row r="33" spans="2:13" ht="12.75">
      <c r="B33" s="93"/>
      <c r="C33" s="93"/>
      <c r="J33" s="9"/>
      <c r="M33" s="9"/>
    </row>
    <row r="34" spans="2:13" ht="12.75">
      <c r="B34" s="95"/>
      <c r="C34" s="86"/>
      <c r="D34" s="87"/>
      <c r="J34" s="9"/>
      <c r="M34" s="9"/>
    </row>
    <row r="35" spans="2:20" ht="12.75">
      <c r="B35" s="88"/>
      <c r="C35" s="88"/>
      <c r="D35" s="87"/>
      <c r="J35" s="9"/>
      <c r="M35" s="9"/>
      <c r="T35" s="9"/>
    </row>
    <row r="36" spans="2:20" ht="12.75">
      <c r="B36" s="95"/>
      <c r="C36" s="96"/>
      <c r="D36" s="87"/>
      <c r="J36" s="9"/>
      <c r="M36" s="9"/>
      <c r="T36" s="9"/>
    </row>
    <row r="37" spans="2:20" ht="12.75">
      <c r="B37" s="85"/>
      <c r="C37" s="87"/>
      <c r="D37" s="87"/>
      <c r="J37" s="9"/>
      <c r="M37" s="9"/>
      <c r="T37" s="9"/>
    </row>
    <row r="38" spans="2:20" ht="12.75">
      <c r="B38" s="89"/>
      <c r="C38" s="87"/>
      <c r="D38" s="87"/>
      <c r="J38" s="9"/>
      <c r="M38" s="9"/>
      <c r="N38" s="31"/>
      <c r="T38" s="9"/>
    </row>
    <row r="39" spans="10:21" ht="12.75">
      <c r="J39" s="9"/>
      <c r="M39" s="9"/>
      <c r="N39" s="31"/>
      <c r="T39" s="9"/>
      <c r="U39" s="31"/>
    </row>
    <row r="40" spans="2:21" ht="12.75">
      <c r="B40" s="92"/>
      <c r="J40" s="9"/>
      <c r="M40" s="9"/>
      <c r="N40" s="31"/>
      <c r="T40" s="9"/>
      <c r="U40" s="31"/>
    </row>
    <row r="41" spans="2:21" ht="12.75">
      <c r="B41" s="92"/>
      <c r="J41" s="9"/>
      <c r="M41" s="9"/>
      <c r="N41" s="31"/>
      <c r="T41" s="9"/>
      <c r="U41" s="31"/>
    </row>
    <row r="42" spans="2:21" ht="12.75">
      <c r="B42" s="10"/>
      <c r="J42" s="9"/>
      <c r="M42" s="9"/>
      <c r="N42" s="31"/>
      <c r="T42" s="9"/>
      <c r="U42" s="31"/>
    </row>
    <row r="43" spans="10:20" ht="12.75">
      <c r="J43" s="9"/>
      <c r="M43" s="9"/>
      <c r="N43" s="31"/>
      <c r="T43" s="9"/>
    </row>
    <row r="44" spans="10:20" ht="12.75">
      <c r="J44" s="9"/>
      <c r="M44" s="9"/>
      <c r="N44" s="31"/>
      <c r="T44" s="9"/>
    </row>
    <row r="45" spans="13:21" ht="12.75">
      <c r="M45" s="9"/>
      <c r="T45" s="9"/>
      <c r="U45" s="31"/>
    </row>
    <row r="46" spans="13:20" ht="12.75">
      <c r="M46" s="9"/>
      <c r="T46" s="9"/>
    </row>
    <row r="47" ht="12.75">
      <c r="M47" s="9"/>
    </row>
    <row r="48" ht="12.75">
      <c r="M48" s="9"/>
    </row>
    <row r="49" ht="12.75">
      <c r="M49" s="9"/>
    </row>
    <row r="50" spans="13:14" ht="12.75">
      <c r="M50" s="9"/>
      <c r="N50" s="31"/>
    </row>
    <row r="51" spans="3:13" ht="12.75">
      <c r="C51" s="97"/>
      <c r="M51" s="9"/>
    </row>
    <row r="52" ht="12.75">
      <c r="M52" s="9"/>
    </row>
  </sheetData>
  <sheetProtection password="CA3D" sheet="1" objects="1" scenarios="1"/>
  <mergeCells count="1">
    <mergeCell ref="B5:D5"/>
  </mergeCells>
  <conditionalFormatting sqref="B8:D8">
    <cfRule type="expression" priority="1" dxfId="0" stopIfTrue="1">
      <formula>$B$9&lt;0.4</formula>
    </cfRule>
    <cfRule type="expression" priority="2" dxfId="0" stopIfTrue="1">
      <formula>$B$9&gt;5.5</formula>
    </cfRule>
  </conditionalFormatting>
  <conditionalFormatting sqref="B9">
    <cfRule type="cellIs" priority="3" dxfId="0" operator="notBetween" stopIfTrue="1">
      <formula>0.4</formula>
      <formula>5.5</formula>
    </cfRule>
  </conditionalFormatting>
  <conditionalFormatting sqref="G8">
    <cfRule type="cellIs" priority="4" dxfId="0" operator="lessThan" stopIfTrue="1">
      <formula>10</formula>
    </cfRule>
    <cfRule type="cellIs" priority="5" dxfId="0" operator="greaterThan" stopIfTrue="1">
      <formula>150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I51"/>
  <sheetViews>
    <sheetView workbookViewId="0" topLeftCell="A1">
      <selection activeCell="C12" sqref="C12"/>
    </sheetView>
  </sheetViews>
  <sheetFormatPr defaultColWidth="9.140625" defaultRowHeight="12.75"/>
  <cols>
    <col min="1" max="1" width="10.421875" style="0" customWidth="1"/>
    <col min="2" max="2" width="10.00390625" style="0" customWidth="1"/>
    <col min="5" max="5" width="2.421875" style="0" customWidth="1"/>
    <col min="6" max="6" width="48.57421875" style="0" customWidth="1"/>
  </cols>
  <sheetData>
    <row r="1" ht="12.75">
      <c r="A1" s="7" t="s">
        <v>145</v>
      </c>
    </row>
    <row r="2" ht="12.75">
      <c r="A2" s="7"/>
    </row>
    <row r="3" ht="12.75">
      <c r="A3" s="7" t="s">
        <v>54</v>
      </c>
    </row>
    <row r="5" spans="1:6" ht="12.75">
      <c r="A5" s="47" t="str">
        <f>'1. System Requirments'!B3</f>
        <v>NIS5132 Design Assistance</v>
      </c>
      <c r="B5" s="47"/>
      <c r="C5" s="47"/>
      <c r="D5" s="47"/>
      <c r="E5" s="47"/>
      <c r="F5" s="47"/>
    </row>
    <row r="6" ht="13.5" thickBot="1"/>
    <row r="7" spans="1:4" ht="12.75">
      <c r="A7" s="225" t="s">
        <v>51</v>
      </c>
      <c r="B7" s="226"/>
      <c r="C7" s="226"/>
      <c r="D7" s="227"/>
    </row>
    <row r="8" spans="1:4" ht="15" thickBot="1">
      <c r="A8" s="109">
        <v>160</v>
      </c>
      <c r="B8" s="60" t="s">
        <v>53</v>
      </c>
      <c r="C8" s="66">
        <f>A8/645.16</f>
        <v>0.24800049600099203</v>
      </c>
      <c r="D8" s="18" t="s">
        <v>52</v>
      </c>
    </row>
    <row r="9" spans="1:4" ht="12.75">
      <c r="A9" s="43"/>
      <c r="B9" s="8"/>
      <c r="C9" s="65"/>
      <c r="D9" s="4"/>
    </row>
    <row r="10" spans="1:6" ht="13.5" thickBot="1">
      <c r="A10" s="43"/>
      <c r="B10" s="8"/>
      <c r="C10" s="65"/>
      <c r="D10" s="4"/>
      <c r="F10" t="s">
        <v>55</v>
      </c>
    </row>
    <row r="11" spans="1:6" ht="13.5" thickBot="1">
      <c r="A11" s="228" t="s">
        <v>56</v>
      </c>
      <c r="B11" s="229"/>
      <c r="C11" s="229"/>
      <c r="D11" s="230"/>
      <c r="F11" t="s">
        <v>64</v>
      </c>
    </row>
    <row r="12" spans="1:7" ht="13.5" thickTop="1">
      <c r="A12" s="45"/>
      <c r="B12" s="12" t="s">
        <v>57</v>
      </c>
      <c r="C12" s="110">
        <v>2.5</v>
      </c>
      <c r="D12" s="11" t="s">
        <v>4</v>
      </c>
      <c r="E12" s="63" t="str">
        <f>IF(C12&lt;0,"Must use postitive number",IF(C12&gt;11.5,"Out of range, reduce current"," "))</f>
        <v> </v>
      </c>
      <c r="F12" t="s">
        <v>94</v>
      </c>
      <c r="G12" s="63"/>
    </row>
    <row r="13" spans="1:9" ht="14.25">
      <c r="A13" s="45"/>
      <c r="B13" s="13" t="s">
        <v>58</v>
      </c>
      <c r="C13" s="99">
        <v>0.25</v>
      </c>
      <c r="D13" s="11" t="s">
        <v>52</v>
      </c>
      <c r="F13" t="str">
        <f>IF(C13&lt;0.015,"use 0.015 sq. in. for min copper"," ")</f>
        <v> </v>
      </c>
      <c r="G13" s="63"/>
      <c r="H13" s="63"/>
      <c r="I13" s="63"/>
    </row>
    <row r="14" spans="1:9" ht="12.75">
      <c r="A14" s="45"/>
      <c r="B14" s="13" t="s">
        <v>59</v>
      </c>
      <c r="C14" s="99">
        <v>80</v>
      </c>
      <c r="D14" s="11" t="s">
        <v>50</v>
      </c>
      <c r="E14" s="63"/>
      <c r="F14" t="s">
        <v>131</v>
      </c>
      <c r="G14" s="63"/>
      <c r="H14" s="63"/>
      <c r="I14" s="63"/>
    </row>
    <row r="15" spans="1:9" ht="12.75">
      <c r="A15" s="45"/>
      <c r="B15" s="4"/>
      <c r="C15" s="48"/>
      <c r="D15" s="11"/>
      <c r="E15" s="63"/>
      <c r="F15" t="s">
        <v>132</v>
      </c>
      <c r="G15" s="63"/>
      <c r="H15" s="63"/>
      <c r="I15" s="63"/>
    </row>
    <row r="16" spans="1:9" ht="13.5" thickBot="1">
      <c r="A16" s="231" t="s">
        <v>135</v>
      </c>
      <c r="B16" s="232"/>
      <c r="C16" s="61">
        <f>C17-(20*0.06*C12^2)</f>
        <v>110.98603059108676</v>
      </c>
      <c r="D16" s="11" t="s">
        <v>50</v>
      </c>
      <c r="E16" s="63"/>
      <c r="F16" t="s">
        <v>133</v>
      </c>
      <c r="G16" s="63"/>
      <c r="H16" s="63"/>
      <c r="I16" s="63"/>
    </row>
    <row r="17" spans="1:6" ht="13.5" thickBot="1">
      <c r="A17" s="233" t="s">
        <v>95</v>
      </c>
      <c r="B17" s="234"/>
      <c r="C17" s="61">
        <f>((61.1*C13^-0.3741)*((C12^2)*0.06))+C14</f>
        <v>118.48603059108676</v>
      </c>
      <c r="D17" s="18" t="s">
        <v>50</v>
      </c>
      <c r="F17" t="s">
        <v>134</v>
      </c>
    </row>
    <row r="18" spans="1:5" ht="12.75">
      <c r="A18" s="4"/>
      <c r="B18" s="142"/>
      <c r="C18" s="62"/>
      <c r="D18" s="4"/>
      <c r="E18" s="64"/>
    </row>
    <row r="19" spans="2:6" ht="12.75">
      <c r="B19" s="142"/>
      <c r="C19" s="62"/>
      <c r="D19" s="4"/>
      <c r="E19" s="64" t="str">
        <f>IF(C19&gt;125,"Caution, thermal shutdown at 135°C"," ")</f>
        <v> </v>
      </c>
      <c r="F19" t="str">
        <f>IF(C17&gt;125,"Operation at this temperature in not recommended"," ")</f>
        <v> </v>
      </c>
    </row>
    <row r="20" ht="14.25">
      <c r="F20" s="4" t="s">
        <v>96</v>
      </c>
    </row>
    <row r="21" spans="2:6" ht="14.25">
      <c r="B21" s="4"/>
      <c r="C21" s="62"/>
      <c r="D21" s="4"/>
      <c r="F21" s="4" t="s">
        <v>136</v>
      </c>
    </row>
    <row r="22" spans="1:6" ht="12.75">
      <c r="A22" s="4"/>
      <c r="B22" s="4"/>
      <c r="C22" s="62"/>
      <c r="D22" s="4"/>
      <c r="F22" s="2"/>
    </row>
    <row r="23" ht="12.75">
      <c r="F23" s="2"/>
    </row>
    <row r="24" ht="12.75">
      <c r="F24" s="2"/>
    </row>
    <row r="25" spans="1:2" ht="12.75">
      <c r="A25" s="49"/>
      <c r="B25" s="148"/>
    </row>
    <row r="26" spans="1:2" ht="12.75">
      <c r="A26" s="49"/>
      <c r="B26" s="43"/>
    </row>
    <row r="28" ht="12.75">
      <c r="F28" s="4"/>
    </row>
    <row r="29" ht="12.75">
      <c r="F29" s="183"/>
    </row>
    <row r="30" ht="12.75">
      <c r="F30" s="183"/>
    </row>
    <row r="31" ht="12.75">
      <c r="F31" s="4"/>
    </row>
    <row r="32" ht="12.75">
      <c r="F32" s="4"/>
    </row>
    <row r="51" ht="12.75">
      <c r="E51" s="97" t="s">
        <v>76</v>
      </c>
    </row>
  </sheetData>
  <sheetProtection password="CA3D" sheet="1" objects="1" scenarios="1"/>
  <mergeCells count="4">
    <mergeCell ref="A7:D7"/>
    <mergeCell ref="A11:D11"/>
    <mergeCell ref="A16:B16"/>
    <mergeCell ref="A17:B17"/>
  </mergeCells>
  <conditionalFormatting sqref="E19 F15:F17">
    <cfRule type="expression" priority="1" dxfId="0" stopIfTrue="1">
      <formula>$C$19&gt;125</formula>
    </cfRule>
  </conditionalFormatting>
  <conditionalFormatting sqref="C17">
    <cfRule type="expression" priority="2" dxfId="1" stopIfTrue="1">
      <formula>$C$13&gt;3</formula>
    </cfRule>
  </conditionalFormatting>
  <conditionalFormatting sqref="C14">
    <cfRule type="cellIs" priority="3" dxfId="0" operator="greaterThan" stopIfTrue="1">
      <formula>100</formula>
    </cfRule>
  </conditionalFormatting>
  <conditionalFormatting sqref="E12">
    <cfRule type="expression" priority="4" dxfId="0" stopIfTrue="1">
      <formula>$C$12&lt;0</formula>
    </cfRule>
    <cfRule type="expression" priority="5" dxfId="0" stopIfTrue="1">
      <formula>$C$12&gt;11.5</formula>
    </cfRule>
  </conditionalFormatting>
  <conditionalFormatting sqref="F20">
    <cfRule type="expression" priority="6" dxfId="0" stopIfTrue="1">
      <formula>$C$13&gt;2</formula>
    </cfRule>
  </conditionalFormatting>
  <conditionalFormatting sqref="C18 C16">
    <cfRule type="expression" priority="7" dxfId="0" stopIfTrue="1">
      <formula>$C$17&gt;125</formula>
    </cfRule>
  </conditionalFormatting>
  <conditionalFormatting sqref="C13">
    <cfRule type="cellIs" priority="8" dxfId="0" operator="greaterThan" stopIfTrue="1">
      <formula>2</formula>
    </cfRule>
  </conditionalFormatting>
  <conditionalFormatting sqref="C12">
    <cfRule type="cellIs" priority="9" dxfId="0" operator="lessThan" stopIfTrue="1">
      <formula>0</formula>
    </cfRule>
    <cfRule type="cellIs" priority="10" dxfId="0" operator="greaterThan" stopIfTrue="1">
      <formula>6</formula>
    </cfRule>
  </conditionalFormatting>
  <conditionalFormatting sqref="F19">
    <cfRule type="expression" priority="11" dxfId="0" stopIfTrue="1">
      <formula>$C$17&gt;125</formula>
    </cfRule>
  </conditionalFormatting>
  <conditionalFormatting sqref="F13">
    <cfRule type="expression" priority="12" dxfId="0" stopIfTrue="1">
      <formula>$C$13&lt;0.015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N48"/>
  <sheetViews>
    <sheetView workbookViewId="0" topLeftCell="A1">
      <selection activeCell="A3" sqref="A3:K3"/>
    </sheetView>
  </sheetViews>
  <sheetFormatPr defaultColWidth="9.140625" defaultRowHeight="12.75"/>
  <cols>
    <col min="1" max="1" width="11.57421875" style="0" customWidth="1"/>
    <col min="2" max="2" width="5.8515625" style="0" customWidth="1"/>
    <col min="4" max="4" width="7.7109375" style="0" customWidth="1"/>
    <col min="5" max="5" width="5.7109375" style="0" customWidth="1"/>
    <col min="6" max="6" width="3.57421875" style="0" customWidth="1"/>
    <col min="11" max="11" width="9.28125" style="0" customWidth="1"/>
  </cols>
  <sheetData>
    <row r="1" ht="12.75">
      <c r="A1" s="7" t="s">
        <v>145</v>
      </c>
    </row>
    <row r="3" spans="1:11" ht="12.75">
      <c r="A3" s="237" t="str">
        <f>'1. System Requirments'!B3</f>
        <v>NIS5132 Design Assistance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</row>
    <row r="12" ht="12.75">
      <c r="K12" s="2"/>
    </row>
    <row r="13" ht="12.75">
      <c r="K13" s="2"/>
    </row>
    <row r="14" ht="12.75">
      <c r="K14" s="2"/>
    </row>
    <row r="15" ht="12.75">
      <c r="K15" s="2"/>
    </row>
    <row r="16" ht="12.75">
      <c r="K16" s="2"/>
    </row>
    <row r="17" ht="12.75">
      <c r="K17" s="2"/>
    </row>
    <row r="18" ht="12.75">
      <c r="K18" s="2"/>
    </row>
    <row r="19" spans="11:14" ht="12.75">
      <c r="K19" s="2"/>
      <c r="N19" s="193"/>
    </row>
    <row r="20" ht="12.75">
      <c r="K20" s="2"/>
    </row>
    <row r="21" spans="1:11" ht="12.75">
      <c r="A21" s="7" t="s">
        <v>142</v>
      </c>
      <c r="B21" s="7"/>
      <c r="C21" s="7"/>
      <c r="D21" s="7"/>
      <c r="E21" s="7"/>
      <c r="F21" s="7"/>
      <c r="G21" s="7"/>
      <c r="H21" s="7" t="s">
        <v>143</v>
      </c>
      <c r="I21" s="7"/>
      <c r="J21" s="7"/>
      <c r="K21" s="2"/>
    </row>
    <row r="22" spans="11:13" ht="12.75">
      <c r="K22" s="2"/>
      <c r="M22" s="64"/>
    </row>
    <row r="23" spans="1:11" ht="12.7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1:11" ht="12.75">
      <c r="A24" s="67"/>
      <c r="B24" s="78"/>
      <c r="C24" s="67"/>
      <c r="D24" s="67"/>
      <c r="E24" s="67"/>
      <c r="F24" s="67"/>
      <c r="G24" s="67"/>
      <c r="H24" s="67"/>
      <c r="I24" s="67"/>
      <c r="J24" s="67"/>
      <c r="K24" s="67"/>
    </row>
    <row r="25" ht="13.5" thickBot="1"/>
    <row r="26" spans="1:11" ht="12.75">
      <c r="A26" s="37" t="s">
        <v>43</v>
      </c>
      <c r="B26" s="38"/>
      <c r="C26" s="38"/>
      <c r="D26" s="38"/>
      <c r="E26" s="38"/>
      <c r="F26" s="38"/>
      <c r="G26" s="38"/>
      <c r="H26" s="38"/>
      <c r="I26" s="38"/>
      <c r="J26" s="38"/>
      <c r="K26" s="39"/>
    </row>
    <row r="27" spans="1:11" ht="14.25">
      <c r="A27" s="45"/>
      <c r="B27" s="4"/>
      <c r="C27" s="50" t="s">
        <v>47</v>
      </c>
      <c r="D27" s="35">
        <f>'2. Bias Components '!K8</f>
        <v>2.4674361456534495</v>
      </c>
      <c r="E27" s="51" t="s">
        <v>4</v>
      </c>
      <c r="F27" s="52"/>
      <c r="G27" s="53" t="s">
        <v>45</v>
      </c>
      <c r="H27" s="53"/>
      <c r="I27" s="54"/>
      <c r="J27" s="4"/>
      <c r="K27" s="11"/>
    </row>
    <row r="28" spans="1:11" ht="14.25">
      <c r="A28" s="194" t="str">
        <f>IF('1. System Requirments'!C10="k","Kelvin sense",IF('1. System Requirments'!C10="d","Direct sense","D or K?"))</f>
        <v>Kelvin sense</v>
      </c>
      <c r="B28" s="4"/>
      <c r="C28" s="50" t="s">
        <v>47</v>
      </c>
      <c r="D28" s="35">
        <f>'2. Bias Components '!K9</f>
        <v>3.8049973840081384</v>
      </c>
      <c r="E28" s="51" t="s">
        <v>4</v>
      </c>
      <c r="F28" s="52"/>
      <c r="G28" s="53" t="s">
        <v>79</v>
      </c>
      <c r="H28" s="53"/>
      <c r="I28" s="54"/>
      <c r="J28" s="4"/>
      <c r="K28" s="11"/>
    </row>
    <row r="29" spans="1:11" ht="14.25">
      <c r="A29" s="45"/>
      <c r="B29" s="4"/>
      <c r="C29" s="50" t="s">
        <v>129</v>
      </c>
      <c r="D29" s="35">
        <f>'2. Bias Components '!K19</f>
        <v>20.88</v>
      </c>
      <c r="E29" s="51" t="s">
        <v>41</v>
      </c>
      <c r="F29" s="4"/>
      <c r="G29" s="4"/>
      <c r="H29" s="4"/>
      <c r="I29" s="4"/>
      <c r="J29" s="4"/>
      <c r="K29" s="11"/>
    </row>
    <row r="30" spans="1:11" ht="13.5" thickBot="1">
      <c r="A30" s="28"/>
      <c r="B30" s="15"/>
      <c r="C30" s="15"/>
      <c r="D30" s="15"/>
      <c r="E30" s="15"/>
      <c r="F30" s="15"/>
      <c r="G30" s="15"/>
      <c r="H30" s="15"/>
      <c r="I30" s="15"/>
      <c r="J30" s="15"/>
      <c r="K30" s="18"/>
    </row>
    <row r="31" ht="13.5" thickBot="1">
      <c r="C31" s="49"/>
    </row>
    <row r="32" spans="1:11" ht="14.25">
      <c r="A32" s="37" t="s">
        <v>44</v>
      </c>
      <c r="B32" s="68" t="s">
        <v>61</v>
      </c>
      <c r="C32" s="57"/>
      <c r="D32" s="38"/>
      <c r="E32" s="38"/>
      <c r="F32" s="38"/>
      <c r="G32" s="235" t="s">
        <v>49</v>
      </c>
      <c r="H32" s="236"/>
      <c r="I32" s="38"/>
      <c r="J32" s="38"/>
      <c r="K32" s="39"/>
    </row>
    <row r="33" spans="1:11" ht="14.25">
      <c r="A33" s="45"/>
      <c r="B33" s="71">
        <v>1</v>
      </c>
      <c r="C33" s="50" t="s">
        <v>48</v>
      </c>
      <c r="D33" s="44">
        <f>'2. Bias Components '!G8</f>
        <v>22</v>
      </c>
      <c r="E33" s="51" t="s">
        <v>3</v>
      </c>
      <c r="F33" s="53"/>
      <c r="G33" s="55">
        <f>500/D33</f>
        <v>22.727272727272727</v>
      </c>
      <c r="H33" s="54" t="s">
        <v>46</v>
      </c>
      <c r="I33" s="58" t="s">
        <v>60</v>
      </c>
      <c r="J33" s="4"/>
      <c r="K33" s="11"/>
    </row>
    <row r="34" spans="1:11" ht="14.25">
      <c r="A34" s="45"/>
      <c r="B34" s="71">
        <v>1</v>
      </c>
      <c r="C34" s="50" t="s">
        <v>93</v>
      </c>
      <c r="D34" s="44">
        <f>'2. Bias Components '!G19</f>
        <v>820</v>
      </c>
      <c r="E34" s="51" t="s">
        <v>125</v>
      </c>
      <c r="F34" s="4"/>
      <c r="G34" s="141"/>
      <c r="H34" s="4"/>
      <c r="I34" s="58" t="s">
        <v>97</v>
      </c>
      <c r="J34" s="4"/>
      <c r="K34" s="11"/>
    </row>
    <row r="35" spans="1:11" ht="12.75">
      <c r="A35" s="45"/>
      <c r="B35" s="4"/>
      <c r="C35" s="167"/>
      <c r="D35" s="48"/>
      <c r="E35" s="168"/>
      <c r="F35" s="4"/>
      <c r="G35" s="3"/>
      <c r="H35" s="4"/>
      <c r="I35" s="58" t="s">
        <v>98</v>
      </c>
      <c r="J35" s="4"/>
      <c r="K35" s="11"/>
    </row>
    <row r="36" spans="1:11" ht="12.75">
      <c r="A36" s="76"/>
      <c r="B36" s="43"/>
      <c r="C36" s="167"/>
      <c r="D36" s="48"/>
      <c r="E36" s="168"/>
      <c r="F36" s="4"/>
      <c r="G36" s="4"/>
      <c r="H36" s="4"/>
      <c r="I36" s="58" t="s">
        <v>99</v>
      </c>
      <c r="J36" s="4"/>
      <c r="K36" s="11"/>
    </row>
    <row r="37" spans="1:11" ht="12.75">
      <c r="A37" s="45"/>
      <c r="B37" s="13"/>
      <c r="C37" s="4"/>
      <c r="D37" s="4"/>
      <c r="E37" s="4"/>
      <c r="F37" s="4"/>
      <c r="G37" s="58"/>
      <c r="H37" s="58"/>
      <c r="I37" s="4"/>
      <c r="J37" s="4"/>
      <c r="K37" s="11"/>
    </row>
    <row r="38" spans="1:11" ht="13.5" thickBot="1">
      <c r="A38" s="28"/>
      <c r="B38" s="15"/>
      <c r="C38" s="15"/>
      <c r="D38" s="15"/>
      <c r="E38" s="15"/>
      <c r="F38" s="15"/>
      <c r="G38" s="59"/>
      <c r="H38" s="59"/>
      <c r="I38" s="15"/>
      <c r="J38" s="15"/>
      <c r="K38" s="18"/>
    </row>
    <row r="40" ht="13.5" thickBot="1">
      <c r="A40" s="7"/>
    </row>
    <row r="41" spans="1:7" ht="13.5" thickBot="1">
      <c r="A41" s="228" t="s">
        <v>63</v>
      </c>
      <c r="B41" s="229"/>
      <c r="C41" s="229"/>
      <c r="D41" s="229"/>
      <c r="E41" s="229"/>
      <c r="F41" s="230"/>
      <c r="G41" s="2"/>
    </row>
    <row r="42" spans="1:8" ht="13.5" thickTop="1">
      <c r="A42" s="45"/>
      <c r="B42" s="4"/>
      <c r="C42" s="4"/>
      <c r="D42" s="4"/>
      <c r="E42" s="4"/>
      <c r="F42" s="11"/>
      <c r="G42" s="2"/>
      <c r="H42" s="77"/>
    </row>
    <row r="43" spans="1:7" ht="12.75">
      <c r="A43" s="72" t="s">
        <v>62</v>
      </c>
      <c r="B43" s="51"/>
      <c r="C43" s="51"/>
      <c r="D43" s="51"/>
      <c r="E43" s="34">
        <f>'3. Thermal'!C17</f>
        <v>118.48603059108676</v>
      </c>
      <c r="F43" s="73" t="s">
        <v>50</v>
      </c>
      <c r="G43" s="2"/>
    </row>
    <row r="44" spans="1:7" ht="13.5" thickBot="1">
      <c r="A44" s="74" t="s">
        <v>154</v>
      </c>
      <c r="B44" s="56"/>
      <c r="C44" s="56"/>
      <c r="D44" s="56"/>
      <c r="E44" s="61">
        <f>'3. Thermal'!C16</f>
        <v>110.98603059108676</v>
      </c>
      <c r="F44" s="75" t="s">
        <v>50</v>
      </c>
      <c r="G44" s="2"/>
    </row>
    <row r="48" ht="12.75">
      <c r="E48" s="97" t="s">
        <v>77</v>
      </c>
    </row>
  </sheetData>
  <sheetProtection password="CA3D" sheet="1" objects="1" scenarios="1"/>
  <mergeCells count="3">
    <mergeCell ref="A41:F41"/>
    <mergeCell ref="G32:H32"/>
    <mergeCell ref="A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39"/>
  <sheetViews>
    <sheetView workbookViewId="0" topLeftCell="A1">
      <selection activeCell="A1" sqref="A1"/>
    </sheetView>
  </sheetViews>
  <sheetFormatPr defaultColWidth="9.140625" defaultRowHeight="12.75"/>
  <cols>
    <col min="1" max="1" width="90.00390625" style="0" customWidth="1"/>
    <col min="2" max="2" width="10.8515625" style="0" customWidth="1"/>
  </cols>
  <sheetData>
    <row r="1" ht="12.75">
      <c r="A1" s="67" t="s">
        <v>146</v>
      </c>
    </row>
    <row r="2" ht="12.75">
      <c r="A2" s="67"/>
    </row>
    <row r="3" ht="12.75">
      <c r="A3" s="143" t="s">
        <v>80</v>
      </c>
    </row>
    <row r="4" ht="12.75">
      <c r="A4" s="143" t="s">
        <v>81</v>
      </c>
    </row>
    <row r="5" ht="12.75">
      <c r="A5" s="143" t="s">
        <v>82</v>
      </c>
    </row>
    <row r="6" ht="12.75">
      <c r="A6" s="143" t="s">
        <v>83</v>
      </c>
    </row>
    <row r="7" ht="12.75">
      <c r="A7" s="143"/>
    </row>
    <row r="8" ht="12.75">
      <c r="A8" s="144" t="s">
        <v>66</v>
      </c>
    </row>
    <row r="9" ht="12.75">
      <c r="A9" s="144" t="s">
        <v>110</v>
      </c>
    </row>
    <row r="10" ht="12.75">
      <c r="A10" s="145" t="s">
        <v>100</v>
      </c>
    </row>
    <row r="11" ht="12.75">
      <c r="A11" s="145" t="s">
        <v>101</v>
      </c>
    </row>
    <row r="12" ht="12.75">
      <c r="A12" s="145"/>
    </row>
    <row r="13" ht="12.75">
      <c r="A13" s="145" t="s">
        <v>147</v>
      </c>
    </row>
    <row r="14" ht="12.75">
      <c r="A14" s="145" t="s">
        <v>102</v>
      </c>
    </row>
    <row r="15" ht="12.75">
      <c r="A15" s="145"/>
    </row>
    <row r="16" ht="12.75">
      <c r="A16" s="145" t="s">
        <v>103</v>
      </c>
    </row>
    <row r="17" ht="12.75">
      <c r="A17" s="145" t="s">
        <v>104</v>
      </c>
    </row>
    <row r="18" ht="12.75">
      <c r="A18" s="145"/>
    </row>
    <row r="19" ht="12.75">
      <c r="A19" s="145" t="s">
        <v>105</v>
      </c>
    </row>
    <row r="20" ht="12.75">
      <c r="A20" s="145" t="s">
        <v>106</v>
      </c>
    </row>
    <row r="21" ht="12.75">
      <c r="A21" s="145"/>
    </row>
    <row r="22" ht="12.75">
      <c r="A22" s="145" t="s">
        <v>148</v>
      </c>
    </row>
    <row r="23" ht="12.75">
      <c r="A23" s="145" t="s">
        <v>107</v>
      </c>
    </row>
    <row r="24" ht="12.75">
      <c r="A24" s="145"/>
    </row>
    <row r="25" ht="12.75">
      <c r="A25" s="144" t="s">
        <v>111</v>
      </c>
    </row>
    <row r="26" ht="12.75">
      <c r="A26" s="145" t="s">
        <v>149</v>
      </c>
    </row>
    <row r="27" ht="12.75">
      <c r="A27" s="145" t="s">
        <v>150</v>
      </c>
    </row>
    <row r="28" ht="12.75">
      <c r="A28" s="145" t="s">
        <v>151</v>
      </c>
    </row>
    <row r="29" ht="12.75">
      <c r="A29" s="145"/>
    </row>
    <row r="30" ht="12.75">
      <c r="A30" s="145" t="s">
        <v>108</v>
      </c>
    </row>
    <row r="31" ht="12.75">
      <c r="A31" s="145" t="s">
        <v>109</v>
      </c>
    </row>
    <row r="32" ht="12.75">
      <c r="A32" s="146"/>
    </row>
    <row r="33" ht="12.75">
      <c r="A33" s="147" t="s">
        <v>152</v>
      </c>
    </row>
    <row r="34" ht="12.75">
      <c r="A34" s="146" t="s">
        <v>112</v>
      </c>
    </row>
    <row r="35" ht="12.75">
      <c r="A35" s="146" t="s">
        <v>67</v>
      </c>
    </row>
    <row r="36" ht="12.75">
      <c r="A36" s="146" t="s">
        <v>75</v>
      </c>
    </row>
    <row r="37" ht="12.75">
      <c r="A37" s="146" t="s">
        <v>68</v>
      </c>
    </row>
    <row r="38" ht="12.75">
      <c r="A38" s="146" t="s">
        <v>84</v>
      </c>
    </row>
    <row r="39" ht="12.75">
      <c r="A39" s="146" t="s">
        <v>85</v>
      </c>
    </row>
  </sheetData>
  <sheetProtection password="CA3D" sheet="1" objects="1" scenarios="1"/>
  <printOptions/>
  <pageMargins left="0.75" right="0.75" top="1" bottom="1" header="0.5" footer="0.5"/>
  <pageSetup horizontalDpi="600" verticalDpi="600" orientation="portrait" paperSize="1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 Semiconductor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r43437</dc:creator>
  <cp:keywords/>
  <dc:description/>
  <cp:lastModifiedBy>r43437</cp:lastModifiedBy>
  <cp:lastPrinted>2009-02-27T16:23:56Z</cp:lastPrinted>
  <dcterms:created xsi:type="dcterms:W3CDTF">2004-04-16T22:22:07Z</dcterms:created>
  <dcterms:modified xsi:type="dcterms:W3CDTF">2009-03-31T15:58:57Z</dcterms:modified>
  <cp:category/>
  <cp:version/>
  <cp:contentType/>
  <cp:contentStatus/>
</cp:coreProperties>
</file>