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2795" windowHeight="9810" activeTab="0"/>
  </bookViews>
  <sheets>
    <sheet name="Introduction" sheetId="1" r:id="rId1"/>
    <sheet name="Input Specifications" sheetId="2" r:id="rId2"/>
    <sheet name="Schematic" sheetId="3" r:id="rId3"/>
    <sheet name="Power stage PFC design" sheetId="4" r:id="rId4"/>
    <sheet name="Control section PFC design" sheetId="5" r:id="rId5"/>
    <sheet name="BOM" sheetId="6" r:id="rId6"/>
    <sheet name="Data voltage loop" sheetId="7" r:id="rId7"/>
    <sheet name="Data current loop" sheetId="8" r:id="rId8"/>
  </sheets>
  <definedNames>
    <definedName name="Aca">'Control section PFC design'!$B$182</definedName>
    <definedName name="Aea">'Control section PFC design'!$B$79</definedName>
    <definedName name="C_18_S">'Control section PFC design'!$B$3</definedName>
    <definedName name="C_19_S">'Control section PFC design'!$B$40</definedName>
    <definedName name="C_2_C">'Control section PFC design'!$B$23</definedName>
    <definedName name="C_2_S">'Control section PFC design'!$B$24</definedName>
    <definedName name="C_3">'Control section PFC design'!#REF!</definedName>
    <definedName name="C_3_C">'Control section PFC design'!$B$19</definedName>
    <definedName name="C_3_S">'Control section PFC design'!$B$20</definedName>
    <definedName name="C_5">'Power stage PFC design'!#REF!</definedName>
    <definedName name="C_5_C">'Power stage PFC design'!$B$23</definedName>
    <definedName name="C_5_S">'Power stage PFC design'!$B$24</definedName>
    <definedName name="C_6">'Control section PFC design'!#REF!</definedName>
    <definedName name="C_6_C">'Control section PFC design'!$B$151</definedName>
    <definedName name="C_6_S">'Control section PFC design'!$B$152</definedName>
    <definedName name="C_7">'Control section PFC design'!#REF!</definedName>
    <definedName name="C_7_C">'Control section PFC design'!$B$154</definedName>
    <definedName name="C_7_S">'Control section PFC design'!$B$155</definedName>
    <definedName name="C_8">'Control section PFC design'!#REF!</definedName>
    <definedName name="C_8_C">'Control section PFC design'!$B$100</definedName>
    <definedName name="C_8_S">'Control section PFC design'!$B$101</definedName>
    <definedName name="C_9">'Control section PFC design'!#REF!</definedName>
    <definedName name="C_9_C">'Control section PFC design'!$B$82</definedName>
    <definedName name="C_9_S">'Control section PFC design'!$B$83</definedName>
    <definedName name="Ct">'Control section PFC design'!$B$3</definedName>
    <definedName name="D">'Power stage PFC design'!$B$15</definedName>
    <definedName name="dI">'Power stage PFC design'!$B$9</definedName>
    <definedName name="di_dt">'Control section PFC design'!$F$148</definedName>
    <definedName name="dI_ratio">'Input Specifications'!$B$15</definedName>
    <definedName name="dI_ripple">'Input Specifications'!$B$14</definedName>
    <definedName name="dVea_ov">'Control section PFC design'!$B$76</definedName>
    <definedName name="dVrs">'Control section PFC design'!$B$178</definedName>
    <definedName name="f_1">'Control section PFC design'!$B$9</definedName>
    <definedName name="f_2">'Control section PFC design'!$B$10</definedName>
    <definedName name="f_ln">'Input Specifications'!$B$17</definedName>
    <definedName name="f_ln_min">'Input Specifications'!$B$16</definedName>
    <definedName name="fc_cl">'Control section PFC design'!$B$140</definedName>
    <definedName name="fc_vl">'Control section PFC design'!$B$69</definedName>
    <definedName name="fcl_p">'Control section PFC design'!$B$142</definedName>
    <definedName name="fcl_z">'Control section PFC design'!$B$141</definedName>
    <definedName name="fpca1">'Control section PFC design'!$B$187</definedName>
    <definedName name="fs">'Input Specifications'!$B$10</definedName>
    <definedName name="fz_1">'Control section PFC design'!$B$70</definedName>
    <definedName name="G">'Input Specifications'!$B$34</definedName>
    <definedName name="g_ca">'Input Specifications'!$B$29</definedName>
    <definedName name="g_ea">'Input Specifications'!$B$28</definedName>
    <definedName name="Gbst_fc">'Control section PFC design'!$B$85</definedName>
    <definedName name="Gbst_fc_Gvd">'Control section PFC design'!#REF!</definedName>
    <definedName name="Gbst_fc_Gvd_lg">'Control section PFC design'!#REF!</definedName>
    <definedName name="Gbst_lg">'Control section PFC design'!$B$86</definedName>
    <definedName name="Gc_c">'Control section PFC design'!$B$146</definedName>
    <definedName name="Gdiv_lg">'Control section PFC design'!$B$87</definedName>
    <definedName name="Gea">'Control section PFC design'!$B$89</definedName>
    <definedName name="Gea_fc">'Control section PFC design'!$B$94</definedName>
    <definedName name="Gea_fc_lg">'Control section PFC design'!$B$93</definedName>
    <definedName name="Gea_sh">'Control section PFC design'!$B$79</definedName>
    <definedName name="Gpwm_boost">'Control section PFC design'!$B$144</definedName>
    <definedName name="Gpwm_boost_lg">'Control section PFC design'!$B$145</definedName>
    <definedName name="Gvd">'Control section PFC design'!$B$78</definedName>
    <definedName name="Gvd_ea">'Control section PFC design'!$B$77</definedName>
    <definedName name="I_">'Control section PFC design'!#REF!</definedName>
    <definedName name="i_8">'Control section PFC design'!#REF!</definedName>
    <definedName name="I_in_av">'Control section PFC design'!$B$73</definedName>
    <definedName name="I_line_pk">'Power stage PFC design'!$B$8</definedName>
    <definedName name="If">'Control section PFC design'!$B$15</definedName>
    <definedName name="Ifd">'Control section PFC design'!$B$13</definedName>
    <definedName name="Igm_max">'Input Specifications'!#REF!</definedName>
    <definedName name="ILmax_peak">'Power stage PFC design'!$B$10</definedName>
    <definedName name="Irms">'Control section PFC design'!$B$36</definedName>
    <definedName name="k">'Input Specifications'!#REF!</definedName>
    <definedName name="L">'Power stage PFC design'!#REF!</definedName>
    <definedName name="L_1">'Power stage PFC design'!#REF!</definedName>
    <definedName name="L_1_C">'Power stage PFC design'!$B$17</definedName>
    <definedName name="L_1_S">'Power stage PFC design'!$B$18</definedName>
    <definedName name="OLE_LINK1" localSheetId="0">'Introduction'!$A$3</definedName>
    <definedName name="OLE_LINK2" localSheetId="5">'BOM'!$A$5</definedName>
    <definedName name="Pin">'Power stage PFC design'!$B$6</definedName>
    <definedName name="Po">'Input Specifications'!$B$5</definedName>
    <definedName name="R_1">'Control section PFC design'!#REF!</definedName>
    <definedName name="R_1_C">'Control section PFC design'!$B$29</definedName>
    <definedName name="R_1_S">'Control section PFC design'!$B$30</definedName>
    <definedName name="R_11">'Control section PFC design'!#REF!</definedName>
    <definedName name="R_11_C">'Control section PFC design'!$B$97</definedName>
    <definedName name="R_11_S">'Control section PFC design'!$B$98</definedName>
    <definedName name="R_12">'Control section PFC design'!#REF!</definedName>
    <definedName name="R_12_C">'Control section PFC design'!$B$148</definedName>
    <definedName name="R_12_S">'Control section PFC design'!$B$149</definedName>
    <definedName name="R_17_S">'Control section PFC design'!$B$39</definedName>
    <definedName name="R_2_S">'Control section PFC design'!$B$11</definedName>
    <definedName name="R_3_S">'Control section PFC design'!$B$12</definedName>
    <definedName name="R_4_C">'Control section PFC design'!$B$16</definedName>
    <definedName name="R_4_S">'Control section PFC design'!$B$17</definedName>
    <definedName name="R_5">'Control section PFC design'!#REF!</definedName>
    <definedName name="R_5_C">'Control section PFC design'!$B$34</definedName>
    <definedName name="R_5_S">'Control section PFC design'!$B$35</definedName>
    <definedName name="R_6">'Control section PFC design'!$B$4</definedName>
    <definedName name="R_6_S">'Control section PFC design'!$B$5</definedName>
    <definedName name="R_7">'Control section PFC design'!#REF!</definedName>
    <definedName name="R_7_C">'Control section PFC design'!$B$46</definedName>
    <definedName name="R_7_S">'Control section PFC design'!$B$47</definedName>
    <definedName name="R_8_S">'Control section PFC design'!$B$45</definedName>
    <definedName name="R_t">'Control section PFC design'!#REF!</definedName>
    <definedName name="Rgnd">'Input Specifications'!$B$31</definedName>
    <definedName name="Rmo">'Input Specifications'!$B$23</definedName>
    <definedName name="Shey">'Control section PFC design'!#REF!</definedName>
    <definedName name="t_ramp">'Control section PFC design'!#REF!</definedName>
    <definedName name="td">'Input Specifications'!$B$22</definedName>
    <definedName name="THD">'Input Specifications'!$B$13</definedName>
    <definedName name="Thld">'Input Specifications'!$B$12</definedName>
    <definedName name="V_">'Control section PFC design'!#REF!</definedName>
    <definedName name="Vav">'Control section PFC design'!$B$14</definedName>
    <definedName name="Vea_ovh">'Input Specifications'!$B$26</definedName>
    <definedName name="Vea_ovl">'Input Specifications'!$B$27</definedName>
    <definedName name="Vgm_in_max">'Input Specifications'!$B$32</definedName>
    <definedName name="Vgm_max">'Input Specifications'!$B$24</definedName>
    <definedName name="Vgm_out_max">'Input Specifications'!$B$33</definedName>
    <definedName name="Vmax">'Input Specifications'!$B$7</definedName>
    <definedName name="Vmin">'Input Specifications'!$B$6</definedName>
    <definedName name="Vo">'Input Specifications'!$B$9</definedName>
    <definedName name="Vo_min">'Input Specifications'!$B$11</definedName>
    <definedName name="Vos_ramp">'Input Specifications'!$B$30</definedName>
    <definedName name="Vr_sh">'Control section PFC design'!$B$75</definedName>
    <definedName name="Vref_ea">'Input Specifications'!$B$25</definedName>
    <definedName name="Za">'Control section PFC design'!$B$80</definedName>
    <definedName name="Zo_sh">'Control section PFC design'!$B$74</definedName>
    <definedName name="η">'Input Specifications'!$B$8</definedName>
  </definedNames>
  <calcPr fullCalcOnLoad="1"/>
</workbook>
</file>

<file path=xl/sharedStrings.xml><?xml version="1.0" encoding="utf-8"?>
<sst xmlns="http://schemas.openxmlformats.org/spreadsheetml/2006/main" count="340" uniqueCount="237">
  <si>
    <t>W</t>
  </si>
  <si>
    <t>V</t>
  </si>
  <si>
    <t>Pin</t>
  </si>
  <si>
    <t>A</t>
  </si>
  <si>
    <t>D</t>
  </si>
  <si>
    <t>Hz</t>
  </si>
  <si>
    <t>Ripple Current</t>
  </si>
  <si>
    <t>Input peak current</t>
  </si>
  <si>
    <t>s</t>
  </si>
  <si>
    <t>F</t>
  </si>
  <si>
    <t>Output power</t>
  </si>
  <si>
    <t>Efficiency</t>
  </si>
  <si>
    <t>Switching frequency</t>
  </si>
  <si>
    <t>Minimum input voltage</t>
  </si>
  <si>
    <t>Maximum input voltage</t>
  </si>
  <si>
    <t>Minimum  output voltage</t>
  </si>
  <si>
    <t>Nominal output voltage</t>
  </si>
  <si>
    <t>Hold-up time</t>
  </si>
  <si>
    <t>1. Oscillator</t>
  </si>
  <si>
    <t xml:space="preserve"> </t>
  </si>
  <si>
    <t>Ohm</t>
  </si>
  <si>
    <t>td</t>
  </si>
  <si>
    <t xml:space="preserve">Oscillator dead time </t>
  </si>
  <si>
    <t>H</t>
  </si>
  <si>
    <t>2. Feedforward voltage divider</t>
  </si>
  <si>
    <t>3. Selection of current sampling resistor.</t>
  </si>
  <si>
    <t>Gain Modulator output resistor</t>
  </si>
  <si>
    <t>Vgm(max)</t>
  </si>
  <si>
    <t>Gain Modulator output voltage</t>
  </si>
  <si>
    <t>Inductor maximum current</t>
  </si>
  <si>
    <t>Vref_ea</t>
  </si>
  <si>
    <t>Voltage Error Amplifier Reference</t>
  </si>
  <si>
    <t>THD</t>
  </si>
  <si>
    <t>%</t>
  </si>
  <si>
    <t>Total Harmonics Distortion</t>
  </si>
  <si>
    <t>Vea_ovh</t>
  </si>
  <si>
    <t>Voltage Error Amplifier Output Voltage High</t>
  </si>
  <si>
    <t>Vea_ovl</t>
  </si>
  <si>
    <t>Voltage Error Amplifier Output Voltage Low</t>
  </si>
  <si>
    <t>Gain of the voltage divider</t>
  </si>
  <si>
    <t>S (moh)</t>
  </si>
  <si>
    <t>Zea</t>
  </si>
  <si>
    <t>6. Current loop compensation.</t>
  </si>
  <si>
    <t>Vos_ramp</t>
  </si>
  <si>
    <t>Oscillator ramp valley to peak voltage</t>
  </si>
  <si>
    <t>Rgnd</t>
  </si>
  <si>
    <t>Current amplifier termination resistor</t>
  </si>
  <si>
    <t>η</t>
  </si>
  <si>
    <t>1.1 Maximum and ripple current calculations.</t>
  </si>
  <si>
    <t>Maximum input ripple current</t>
  </si>
  <si>
    <t>1.2 Inductor selection.</t>
  </si>
  <si>
    <t>dI_ratio</t>
  </si>
  <si>
    <t>1. Inductance selection.</t>
  </si>
  <si>
    <t>2. Output capacitor selection.</t>
  </si>
  <si>
    <t>Vgm_in_max</t>
  </si>
  <si>
    <t>Input voltage of gain modulator that produces maximum gain.</t>
  </si>
  <si>
    <t>Recommended value</t>
  </si>
  <si>
    <t>f_ln_min</t>
  </si>
  <si>
    <t>Minimum line frequency</t>
  </si>
  <si>
    <t>f_ln</t>
  </si>
  <si>
    <t>Nominal line frequency</t>
  </si>
  <si>
    <t>5.1 Voltage divider selection.</t>
  </si>
  <si>
    <t>6. Voltage loop compensation</t>
  </si>
  <si>
    <t>Gvd</t>
  </si>
  <si>
    <t>g_ea</t>
  </si>
  <si>
    <t>Select capacitor C8</t>
  </si>
  <si>
    <t>6.1 Selection of R12</t>
  </si>
  <si>
    <t>fc_cl</t>
  </si>
  <si>
    <t>Gain of control and boost section.</t>
  </si>
  <si>
    <t>Gc_c</t>
  </si>
  <si>
    <t>Gain of current error amplifier @ crossover frequency</t>
  </si>
  <si>
    <t>g_ca</t>
  </si>
  <si>
    <t xml:space="preserve">dI_ripple </t>
  </si>
  <si>
    <t>Maximum peak to peak input current ripple</t>
  </si>
  <si>
    <t>Voltage Error Amplifier Transconductance</t>
  </si>
  <si>
    <t>Current Transconductance</t>
  </si>
  <si>
    <t>R1</t>
  </si>
  <si>
    <t>Resistors</t>
  </si>
  <si>
    <t>R2</t>
  </si>
  <si>
    <t>R3</t>
  </si>
  <si>
    <t>R4</t>
  </si>
  <si>
    <t>R5</t>
  </si>
  <si>
    <t>R7</t>
  </si>
  <si>
    <t>R8</t>
  </si>
  <si>
    <t>R12</t>
  </si>
  <si>
    <t>R11</t>
  </si>
  <si>
    <t>Capacitors</t>
  </si>
  <si>
    <t>C5</t>
  </si>
  <si>
    <t>C6</t>
  </si>
  <si>
    <t>C7</t>
  </si>
  <si>
    <t>C8</t>
  </si>
  <si>
    <t>C9</t>
  </si>
  <si>
    <t>Diodes</t>
  </si>
  <si>
    <t>D8</t>
  </si>
  <si>
    <t>MBR0502L</t>
  </si>
  <si>
    <t>MOSFETs</t>
  </si>
  <si>
    <t>Power Level</t>
  </si>
  <si>
    <t>Voltage rating</t>
  </si>
  <si>
    <t>P/Ns</t>
  </si>
  <si>
    <t>75─100W</t>
  </si>
  <si>
    <t>500,600V</t>
  </si>
  <si>
    <t>FQP6N50,FQP9N50, FQA13N50, FQA16N50,FDH15N50</t>
  </si>
  <si>
    <t>100─400W</t>
  </si>
  <si>
    <t xml:space="preserve">FQA16N50, FQA24N50, FQA19N60, FQA28N50 </t>
  </si>
  <si>
    <t>&gt;400W</t>
  </si>
  <si>
    <t>FDH44N50  ,FQL40N50, FQA28N50 , FDH27N50,  FQA19N60,FDH15N50 ,</t>
  </si>
  <si>
    <t>IGBTs</t>
  </si>
  <si>
    <t>P/Ns for frequency &lt; 75 kHz</t>
  </si>
  <si>
    <t xml:space="preserve">FGH20N6S2D,HGTG7N60A4D </t>
  </si>
  <si>
    <t>FGH30N6S2D,HGTG12N60A4D</t>
  </si>
  <si>
    <t>FGH40N6S2D, HGTG20N60A4D, FGH50N6S2D, HGTG30N60A4D, FGK60N6S2D</t>
  </si>
  <si>
    <t>Boost Diodes</t>
  </si>
  <si>
    <t>ISL9R460P32 ISL9R860P2,</t>
  </si>
  <si>
    <t>ISL9R860P2,ISL9R1560P2,</t>
  </si>
  <si>
    <t>ISL9R1560P2,ISL9R3060P2</t>
  </si>
  <si>
    <t>Gbst_fc</t>
  </si>
  <si>
    <t>Gain of the boost converter @ fc</t>
  </si>
  <si>
    <t>Gain of the boost converter &amp; volt div @ fc</t>
  </si>
  <si>
    <t>Gain of the EA need to crossover @ fc</t>
  </si>
  <si>
    <t>Gea_fc_lg</t>
  </si>
  <si>
    <t>dB</t>
  </si>
  <si>
    <t>Gbst_lg</t>
  </si>
  <si>
    <t>Gdiv_lg</t>
  </si>
  <si>
    <t>20Log(Gvd_lg)</t>
  </si>
  <si>
    <t xml:space="preserve">Gea_fc </t>
  </si>
  <si>
    <t>System Data</t>
  </si>
  <si>
    <t>Log Gain of the EA need to crossover @ fc</t>
  </si>
  <si>
    <t>Frequency</t>
  </si>
  <si>
    <t>Gbs_(f)</t>
  </si>
  <si>
    <t>Z1</t>
  </si>
  <si>
    <t>Z2</t>
  </si>
  <si>
    <t>ZZ1</t>
  </si>
  <si>
    <t>Gea</t>
  </si>
  <si>
    <t>Gea_lg</t>
  </si>
  <si>
    <t>Gsys</t>
  </si>
  <si>
    <t>Gpwm_bst</t>
  </si>
  <si>
    <t>Gpwm_bst_lg</t>
  </si>
  <si>
    <t>Z21</t>
  </si>
  <si>
    <t>Z22</t>
  </si>
  <si>
    <t>ZZ2</t>
  </si>
  <si>
    <t>Zea_c</t>
  </si>
  <si>
    <t>Gea_c</t>
  </si>
  <si>
    <t>Gea_c_lg</t>
  </si>
  <si>
    <t>Gsys_c</t>
  </si>
  <si>
    <t>Ifd</t>
  </si>
  <si>
    <t>Zero frequency in current loop compensation equal 0.25*fc_cl</t>
  </si>
  <si>
    <t>Pole frequency in current loop compensation fc_cl*10</t>
  </si>
  <si>
    <t>Unite gain crossing frequency for current loop compensation fs/6</t>
  </si>
  <si>
    <t>C18</t>
  </si>
  <si>
    <t>R6</t>
  </si>
  <si>
    <t>Calculated value R4</t>
  </si>
  <si>
    <t>G</t>
  </si>
  <si>
    <t>Gain Modulator gain</t>
  </si>
  <si>
    <t>Vgm_out_max</t>
  </si>
  <si>
    <t>R17</t>
  </si>
  <si>
    <t>C19</t>
  </si>
  <si>
    <t>f_cf</t>
  </si>
  <si>
    <t>Calculated value R7</t>
  </si>
  <si>
    <t>fc_vl</t>
  </si>
  <si>
    <t>Calculated value R11</t>
  </si>
  <si>
    <t>fcl_z</t>
  </si>
  <si>
    <t>fcl_p</t>
  </si>
  <si>
    <t>Calculated value R12</t>
  </si>
  <si>
    <t>4. Selecting current sense resistor and filter parameters</t>
  </si>
  <si>
    <t>Calculated value L1</t>
  </si>
  <si>
    <t>Calculated value C5</t>
  </si>
  <si>
    <t>Selected value L1</t>
  </si>
  <si>
    <t>Selected value C5</t>
  </si>
  <si>
    <t>Select value C18</t>
  </si>
  <si>
    <t>Calculated value R6</t>
  </si>
  <si>
    <t>Selected value R6</t>
  </si>
  <si>
    <t>Selected value R2</t>
  </si>
  <si>
    <t>Selected value R3</t>
  </si>
  <si>
    <t>Selected value R4</t>
  </si>
  <si>
    <t>Calculated value C3</t>
  </si>
  <si>
    <t>Selected value C3</t>
  </si>
  <si>
    <t>Calculated value C2</t>
  </si>
  <si>
    <t>Selected value C2</t>
  </si>
  <si>
    <t>Selected value R1</t>
  </si>
  <si>
    <t>Calculated value R1</t>
  </si>
  <si>
    <t>Calculated value R5</t>
  </si>
  <si>
    <t>Selected value R5</t>
  </si>
  <si>
    <t>Selected value R17</t>
  </si>
  <si>
    <t>Selected value C19</t>
  </si>
  <si>
    <t>Selected value R7</t>
  </si>
  <si>
    <t>Selected value R8</t>
  </si>
  <si>
    <t>Calculated value C9</t>
  </si>
  <si>
    <t>Selected value C9</t>
  </si>
  <si>
    <t>Selected resistor R11</t>
  </si>
  <si>
    <t>Selected value R12</t>
  </si>
  <si>
    <t>Calculated value C6</t>
  </si>
  <si>
    <t>Selected value C6</t>
  </si>
  <si>
    <t>Calculated value C7</t>
  </si>
  <si>
    <t>Selected value C7</t>
  </si>
  <si>
    <t>Irms</t>
  </si>
  <si>
    <t>RMS value of input current</t>
  </si>
  <si>
    <t>Power_R5</t>
  </si>
  <si>
    <t>R5 Power dissipation</t>
  </si>
  <si>
    <t>Recommended value, first pole</t>
  </si>
  <si>
    <t>Recommended value, second pole</t>
  </si>
  <si>
    <r>
      <t>P</t>
    </r>
    <r>
      <rPr>
        <vertAlign val="subscript"/>
        <sz val="10"/>
        <rFont val="Arial"/>
        <family val="2"/>
      </rPr>
      <t>O</t>
    </r>
  </si>
  <si>
    <r>
      <t>V</t>
    </r>
    <r>
      <rPr>
        <vertAlign val="subscript"/>
        <sz val="10"/>
        <rFont val="Arial"/>
        <family val="2"/>
      </rPr>
      <t>MIN</t>
    </r>
  </si>
  <si>
    <r>
      <t>V</t>
    </r>
    <r>
      <rPr>
        <vertAlign val="subscript"/>
        <sz val="10"/>
        <rFont val="Arial"/>
        <family val="2"/>
      </rPr>
      <t>MAX</t>
    </r>
  </si>
  <si>
    <t>ΔI</t>
  </si>
  <si>
    <r>
      <t>I_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>_</t>
    </r>
    <r>
      <rPr>
        <vertAlign val="subscript"/>
        <sz val="10"/>
        <rFont val="Arial"/>
        <family val="2"/>
      </rPr>
      <t xml:space="preserve">PK </t>
    </r>
  </si>
  <si>
    <r>
      <t>I_L</t>
    </r>
    <r>
      <rPr>
        <vertAlign val="subscript"/>
        <sz val="10"/>
        <rFont val="Arial"/>
        <family val="2"/>
      </rPr>
      <t xml:space="preserve">MAX </t>
    </r>
  </si>
  <si>
    <t>3. Semiconductors selection</t>
  </si>
  <si>
    <r>
      <t>V</t>
    </r>
    <r>
      <rPr>
        <vertAlign val="subscript"/>
        <sz val="10"/>
        <rFont val="Arial"/>
        <family val="2"/>
      </rPr>
      <t>O</t>
    </r>
  </si>
  <si>
    <r>
      <t>f</t>
    </r>
    <r>
      <rPr>
        <vertAlign val="subscript"/>
        <sz val="10"/>
        <rFont val="Arial"/>
        <family val="2"/>
      </rPr>
      <t>S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</si>
  <si>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_</t>
    </r>
    <r>
      <rPr>
        <vertAlign val="subscript"/>
        <sz val="10"/>
        <rFont val="Arial"/>
        <family val="2"/>
      </rPr>
      <t>MIN</t>
    </r>
  </si>
  <si>
    <r>
      <t>T</t>
    </r>
    <r>
      <rPr>
        <vertAlign val="subscript"/>
        <sz val="10"/>
        <rFont val="Arial"/>
        <family val="2"/>
      </rPr>
      <t>HLD</t>
    </r>
  </si>
  <si>
    <r>
      <t>R</t>
    </r>
    <r>
      <rPr>
        <vertAlign val="subscript"/>
        <sz val="10"/>
        <rFont val="Arial"/>
        <family val="2"/>
      </rPr>
      <t>MO</t>
    </r>
  </si>
  <si>
    <t>Maximum duty cycle</t>
  </si>
  <si>
    <r>
      <t>f</t>
    </r>
    <r>
      <rPr>
        <vertAlign val="subscript"/>
        <sz val="10"/>
        <rFont val="Arial"/>
        <family val="2"/>
      </rPr>
      <t>1</t>
    </r>
  </si>
  <si>
    <r>
      <t>f</t>
    </r>
    <r>
      <rPr>
        <vertAlign val="subscript"/>
        <sz val="10"/>
        <rFont val="Arial"/>
        <family val="2"/>
      </rPr>
      <t>2</t>
    </r>
  </si>
  <si>
    <r>
      <t>V</t>
    </r>
    <r>
      <rPr>
        <vertAlign val="subscript"/>
        <sz val="10"/>
        <rFont val="Arial"/>
        <family val="2"/>
      </rPr>
      <t>AV</t>
    </r>
  </si>
  <si>
    <r>
      <t>I</t>
    </r>
    <r>
      <rPr>
        <vertAlign val="subscript"/>
        <sz val="10"/>
        <rFont val="Arial"/>
        <family val="2"/>
      </rPr>
      <t>RD1</t>
    </r>
  </si>
  <si>
    <t>fvl_z</t>
  </si>
  <si>
    <r>
      <t>V</t>
    </r>
    <r>
      <rPr>
        <vertAlign val="subscript"/>
        <sz val="10"/>
        <rFont val="Arial"/>
        <family val="2"/>
      </rPr>
      <t>R_SH</t>
    </r>
  </si>
  <si>
    <r>
      <t>I</t>
    </r>
    <r>
      <rPr>
        <vertAlign val="subscript"/>
        <sz val="10"/>
        <rFont val="Arial"/>
        <family val="2"/>
      </rPr>
      <t>_IN_AV</t>
    </r>
  </si>
  <si>
    <r>
      <t>Z</t>
    </r>
    <r>
      <rPr>
        <vertAlign val="subscript"/>
        <sz val="10"/>
        <rFont val="Arial"/>
        <family val="2"/>
      </rPr>
      <t>O_SH</t>
    </r>
  </si>
  <si>
    <r>
      <t>dV</t>
    </r>
    <r>
      <rPr>
        <vertAlign val="subscript"/>
        <sz val="10"/>
        <rFont val="Arial"/>
        <family val="2"/>
      </rPr>
      <t>EA</t>
    </r>
  </si>
  <si>
    <r>
      <t>G</t>
    </r>
    <r>
      <rPr>
        <vertAlign val="subscript"/>
        <sz val="10"/>
        <rFont val="Arial"/>
        <family val="2"/>
      </rPr>
      <t>VD_EA</t>
    </r>
  </si>
  <si>
    <r>
      <t>G</t>
    </r>
    <r>
      <rPr>
        <vertAlign val="subscript"/>
        <sz val="10"/>
        <rFont val="Arial"/>
        <family val="2"/>
      </rPr>
      <t xml:space="preserve">VD </t>
    </r>
  </si>
  <si>
    <r>
      <t>G</t>
    </r>
    <r>
      <rPr>
        <vertAlign val="subscript"/>
        <sz val="10"/>
        <rFont val="Arial"/>
        <family val="2"/>
      </rPr>
      <t>EA_SH</t>
    </r>
  </si>
  <si>
    <r>
      <t>Z</t>
    </r>
    <r>
      <rPr>
        <vertAlign val="subscript"/>
        <sz val="10"/>
        <rFont val="Arial"/>
        <family val="2"/>
      </rPr>
      <t>EA_SH</t>
    </r>
  </si>
  <si>
    <r>
      <t>G</t>
    </r>
    <r>
      <rPr>
        <vertAlign val="subscript"/>
        <sz val="10"/>
        <rFont val="Arial"/>
        <family val="2"/>
      </rPr>
      <t>BST_FC</t>
    </r>
  </si>
  <si>
    <r>
      <t>G</t>
    </r>
    <r>
      <rPr>
        <vertAlign val="subscript"/>
        <sz val="10"/>
        <rFont val="Arial"/>
        <family val="2"/>
      </rPr>
      <t>BST_FC_LG</t>
    </r>
  </si>
  <si>
    <r>
      <t>G</t>
    </r>
    <r>
      <rPr>
        <vertAlign val="subscript"/>
        <sz val="10"/>
        <rFont val="Arial"/>
        <family val="2"/>
      </rPr>
      <t>VD_LOG</t>
    </r>
  </si>
  <si>
    <r>
      <t>G</t>
    </r>
    <r>
      <rPr>
        <vertAlign val="subscript"/>
        <sz val="10"/>
        <rFont val="Arial"/>
        <family val="2"/>
      </rPr>
      <t>EA_FC_LG</t>
    </r>
  </si>
  <si>
    <r>
      <t>G</t>
    </r>
    <r>
      <rPr>
        <vertAlign val="subscript"/>
        <sz val="10"/>
        <rFont val="Arial"/>
        <family val="2"/>
      </rPr>
      <t>EA_FC</t>
    </r>
  </si>
  <si>
    <t>Crossover frequency</t>
  </si>
  <si>
    <t>Zero frequency</t>
  </si>
  <si>
    <r>
      <t>G</t>
    </r>
    <r>
      <rPr>
        <vertAlign val="subscript"/>
        <sz val="10"/>
        <rFont val="Arial"/>
        <family val="2"/>
      </rPr>
      <t>PWM_BOOST</t>
    </r>
    <r>
      <rPr>
        <sz val="10"/>
        <rFont val="Arial"/>
        <family val="2"/>
      </rPr>
      <t xml:space="preserve"> </t>
    </r>
  </si>
  <si>
    <r>
      <t>G</t>
    </r>
    <r>
      <rPr>
        <vertAlign val="subscript"/>
        <sz val="10"/>
        <rFont val="Arial"/>
        <family val="2"/>
      </rPr>
      <t>PWM_BOOST_LG</t>
    </r>
  </si>
  <si>
    <t>Calculated value C8</t>
  </si>
  <si>
    <t>FAN4810 Electrical Characteristics.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</si>
</sst>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E+00"/>
    <numFmt numFmtId="170" formatCode="0.E+00"/>
    <numFmt numFmtId="171" formatCode="0.0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0"/>
    </font>
    <font>
      <b/>
      <sz val="11"/>
      <color indexed="8"/>
      <name val="Arial"/>
      <family val="0"/>
    </font>
    <font>
      <b/>
      <sz val="13.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Alignment="1">
      <alignment/>
    </xf>
    <xf numFmtId="1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1" fontId="7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71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11" fontId="0" fillId="0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1" fontId="0" fillId="0" borderId="1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1" fontId="7" fillId="0" borderId="14" xfId="0" applyNumberFormat="1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171" fontId="7" fillId="0" borderId="14" xfId="0" applyNumberFormat="1" applyFont="1" applyBorder="1" applyAlignment="1" applyProtection="1">
      <alignment/>
      <protection locked="0"/>
    </xf>
    <xf numFmtId="11" fontId="7" fillId="0" borderId="14" xfId="0" applyNumberFormat="1" applyFont="1" applyBorder="1" applyAlignment="1" applyProtection="1">
      <alignment/>
      <protection locked="0"/>
    </xf>
    <xf numFmtId="11" fontId="0" fillId="0" borderId="14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Voltage loop Bode plot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4125"/>
          <c:w val="0.91425"/>
          <c:h val="0.72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voltage loop'!$A$2:$A$100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'Data voltage loop'!$C$2:$C$100</c:f>
              <c:numCache>
                <c:ptCount val="99"/>
                <c:pt idx="0">
                  <c:v>-1.7466520531785221</c:v>
                </c:pt>
                <c:pt idx="1">
                  <c:v>-7.767251966458147</c:v>
                </c:pt>
                <c:pt idx="2">
                  <c:v>-11.289077147571767</c:v>
                </c:pt>
                <c:pt idx="3">
                  <c:v>-13.787851879737769</c:v>
                </c:pt>
                <c:pt idx="4">
                  <c:v>-15.726052139898894</c:v>
                </c:pt>
                <c:pt idx="5">
                  <c:v>-17.309677060851392</c:v>
                </c:pt>
                <c:pt idx="6">
                  <c:v>-18.648612853463657</c:v>
                </c:pt>
                <c:pt idx="7">
                  <c:v>-19.808451793017394</c:v>
                </c:pt>
                <c:pt idx="8">
                  <c:v>-20.83150224196502</c:v>
                </c:pt>
                <c:pt idx="9">
                  <c:v>-21.746652053178515</c:v>
                </c:pt>
                <c:pt idx="10">
                  <c:v>-22.574505756343022</c:v>
                </c:pt>
                <c:pt idx="11">
                  <c:v>-23.330276974131017</c:v>
                </c:pt>
                <c:pt idx="12">
                  <c:v>-24.025519099315254</c:v>
                </c:pt>
                <c:pt idx="13">
                  <c:v>-24.669212766743275</c:v>
                </c:pt>
                <c:pt idx="14">
                  <c:v>-25.26847723429214</c:v>
                </c:pt>
                <c:pt idx="15">
                  <c:v>-25.82905170629701</c:v>
                </c:pt>
                <c:pt idx="16">
                  <c:v>-26.355630480743997</c:v>
                </c:pt>
                <c:pt idx="17">
                  <c:v>-26.85210215524464</c:v>
                </c:pt>
                <c:pt idx="18">
                  <c:v>-27.321724072235096</c:v>
                </c:pt>
                <c:pt idx="19">
                  <c:v>-27.76725196645814</c:v>
                </c:pt>
                <c:pt idx="20">
                  <c:v>-28.191037947856906</c:v>
                </c:pt>
                <c:pt idx="21">
                  <c:v>-28.595105669622644</c:v>
                </c:pt>
                <c:pt idx="22">
                  <c:v>-28.981208773530376</c:v>
                </c:pt>
                <c:pt idx="23">
                  <c:v>-29.35087688741064</c:v>
                </c:pt>
                <c:pt idx="24">
                  <c:v>-29.705452226619272</c:v>
                </c:pt>
                <c:pt idx="25">
                  <c:v>-30.04611901259488</c:v>
                </c:pt>
                <c:pt idx="26">
                  <c:v>-30.373927336358264</c:v>
                </c:pt>
                <c:pt idx="27">
                  <c:v>-30.689812680022904</c:v>
                </c:pt>
                <c:pt idx="28">
                  <c:v>-30.99461201115764</c:v>
                </c:pt>
                <c:pt idx="29">
                  <c:v>-31.289077147571767</c:v>
                </c:pt>
                <c:pt idx="30">
                  <c:v>-31.57388592986397</c:v>
                </c:pt>
                <c:pt idx="31">
                  <c:v>-31.84965161957664</c:v>
                </c:pt>
                <c:pt idx="32">
                  <c:v>-32.11693085073627</c:v>
                </c:pt>
                <c:pt idx="33">
                  <c:v>-32.37623039402362</c:v>
                </c:pt>
                <c:pt idx="34">
                  <c:v>-32.62801294018403</c:v>
                </c:pt>
                <c:pt idx="35">
                  <c:v>-32.87270206852426</c:v>
                </c:pt>
                <c:pt idx="36">
                  <c:v>-33.110686534518415</c:v>
                </c:pt>
                <c:pt idx="37">
                  <c:v>-33.34232398551472</c:v>
                </c:pt>
                <c:pt idx="38">
                  <c:v>-33.5679441937085</c:v>
                </c:pt>
                <c:pt idx="39">
                  <c:v>-33.787851879737765</c:v>
                </c:pt>
                <c:pt idx="40">
                  <c:v>-34.002329187573224</c:v>
                </c:pt>
                <c:pt idx="41">
                  <c:v>-34.21163786113652</c:v>
                </c:pt>
                <c:pt idx="42">
                  <c:v>-34.41602116477025</c:v>
                </c:pt>
                <c:pt idx="43">
                  <c:v>-34.615705582902265</c:v>
                </c:pt>
                <c:pt idx="44">
                  <c:v>-34.810902328685394</c:v>
                </c:pt>
                <c:pt idx="45">
                  <c:v>-35.001808686809994</c:v>
                </c:pt>
                <c:pt idx="46">
                  <c:v>-35.18860921189287</c:v>
                </c:pt>
                <c:pt idx="47">
                  <c:v>-35.37147680069026</c:v>
                </c:pt>
                <c:pt idx="48">
                  <c:v>-35.55057365374879</c:v>
                </c:pt>
                <c:pt idx="49">
                  <c:v>-35.7260521398989</c:v>
                </c:pt>
                <c:pt idx="50">
                  <c:v>-35.89805557513725</c:v>
                </c:pt>
                <c:pt idx="51">
                  <c:v>-36.0667189258745</c:v>
                </c:pt>
                <c:pt idx="52">
                  <c:v>-36.2321694451943</c:v>
                </c:pt>
                <c:pt idx="53">
                  <c:v>-36.39452724963789</c:v>
                </c:pt>
                <c:pt idx="54">
                  <c:v>-36.5539058430634</c:v>
                </c:pt>
                <c:pt idx="55">
                  <c:v>-36.71041259330252</c:v>
                </c:pt>
                <c:pt idx="56">
                  <c:v>-36.864149166628344</c:v>
                </c:pt>
                <c:pt idx="57">
                  <c:v>-37.01521192443726</c:v>
                </c:pt>
                <c:pt idx="58">
                  <c:v>-37.1636922860214</c:v>
                </c:pt>
                <c:pt idx="59">
                  <c:v>-37.309677060851385</c:v>
                </c:pt>
                <c:pt idx="60">
                  <c:v>-37.45324875339386</c:v>
                </c:pt>
                <c:pt idx="61">
                  <c:v>-37.594485843143595</c:v>
                </c:pt>
                <c:pt idx="62">
                  <c:v>-37.73346304225015</c:v>
                </c:pt>
                <c:pt idx="63">
                  <c:v>-37.87025153285626</c:v>
                </c:pt>
                <c:pt idx="64">
                  <c:v>-38.00491918603563</c:v>
                </c:pt>
                <c:pt idx="65">
                  <c:v>-38.13753076401589</c:v>
                </c:pt>
                <c:pt idx="66">
                  <c:v>-38.268148107195046</c:v>
                </c:pt>
                <c:pt idx="67">
                  <c:v>-38.39683030730325</c:v>
                </c:pt>
                <c:pt idx="68">
                  <c:v>-38.52363386792362</c:v>
                </c:pt>
                <c:pt idx="69">
                  <c:v>-38.64861285346365</c:v>
                </c:pt>
                <c:pt idx="70">
                  <c:v>-38.77181902756002</c:v>
                </c:pt>
                <c:pt idx="71">
                  <c:v>-38.89330198180389</c:v>
                </c:pt>
                <c:pt idx="72">
                  <c:v>-39.013109255587636</c:v>
                </c:pt>
                <c:pt idx="73">
                  <c:v>-39.13128644779804</c:v>
                </c:pt>
                <c:pt idx="74">
                  <c:v>-39.24787732101252</c:v>
                </c:pt>
                <c:pt idx="75">
                  <c:v>-39.36292389879434</c:v>
                </c:pt>
                <c:pt idx="76">
                  <c:v>-39.476466556628154</c:v>
                </c:pt>
                <c:pt idx="77">
                  <c:v>-39.588544106988124</c:v>
                </c:pt>
                <c:pt idx="78">
                  <c:v>-39.699193878987344</c:v>
                </c:pt>
                <c:pt idx="79">
                  <c:v>-39.80845179301739</c:v>
                </c:pt>
                <c:pt idx="80">
                  <c:v>-39.91635243075151</c:v>
                </c:pt>
                <c:pt idx="81">
                  <c:v>-40.02292910085285</c:v>
                </c:pt>
                <c:pt idx="82">
                  <c:v>-40.1282139007</c:v>
                </c:pt>
                <c:pt idx="83">
                  <c:v>-40.23223777441615</c:v>
                </c:pt>
                <c:pt idx="84">
                  <c:v>-40.33503056746437</c:v>
                </c:pt>
                <c:pt idx="85">
                  <c:v>-40.43662107804987</c:v>
                </c:pt>
                <c:pt idx="86">
                  <c:v>-40.53703710555089</c:v>
                </c:pt>
                <c:pt idx="87">
                  <c:v>-40.63630549618189</c:v>
                </c:pt>
                <c:pt idx="88">
                  <c:v>-40.73445218607677</c:v>
                </c:pt>
                <c:pt idx="89">
                  <c:v>-40.83150224196501</c:v>
                </c:pt>
                <c:pt idx="90">
                  <c:v>-40.927479899600385</c:v>
                </c:pt>
                <c:pt idx="91">
                  <c:v>-41.02240860008962</c:v>
                </c:pt>
                <c:pt idx="92">
                  <c:v>-41.11631102425722</c:v>
                </c:pt>
                <c:pt idx="93">
                  <c:v>-41.20920912517249</c:v>
                </c:pt>
                <c:pt idx="94">
                  <c:v>-41.301124158955474</c:v>
                </c:pt>
                <c:pt idx="95">
                  <c:v>-41.392076713969885</c:v>
                </c:pt>
                <c:pt idx="96">
                  <c:v>-41.48208673850341</c:v>
                </c:pt>
                <c:pt idx="97">
                  <c:v>-41.57117356702841</c:v>
                </c:pt>
                <c:pt idx="98">
                  <c:v>-41.65935594512951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voltage loop'!$A$2:$A$100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'Data voltage loop'!$I$2:$I$100</c:f>
              <c:numCache>
                <c:ptCount val="99"/>
                <c:pt idx="0">
                  <c:v>41.63544132537922</c:v>
                </c:pt>
                <c:pt idx="1">
                  <c:v>37.261624091270896</c:v>
                </c:pt>
                <c:pt idx="2">
                  <c:v>35.054633829931724</c:v>
                </c:pt>
                <c:pt idx="3">
                  <c:v>33.64147207101602</c:v>
                </c:pt>
                <c:pt idx="4">
                  <c:v>32.62150315937311</c:v>
                </c:pt>
                <c:pt idx="5">
                  <c:v>31.82882322514455</c:v>
                </c:pt>
                <c:pt idx="6">
                  <c:v>31.181004277744286</c:v>
                </c:pt>
                <c:pt idx="7">
                  <c:v>30.632065939144475</c:v>
                </c:pt>
                <c:pt idx="8">
                  <c:v>30.15418299173115</c:v>
                </c:pt>
                <c:pt idx="9">
                  <c:v>29.729457513273637</c:v>
                </c:pt>
                <c:pt idx="10">
                  <c:v>29.345814114252864</c:v>
                </c:pt>
                <c:pt idx="11">
                  <c:v>28.994785367701454</c:v>
                </c:pt>
                <c:pt idx="12">
                  <c:v>28.670241104168017</c:v>
                </c:pt>
                <c:pt idx="13">
                  <c:v>28.367621958745445</c:v>
                </c:pt>
                <c:pt idx="14">
                  <c:v>28.08345752311778</c:v>
                </c:pt>
                <c:pt idx="15">
                  <c:v>27.815052639431798</c:v>
                </c:pt>
                <c:pt idx="16">
                  <c:v>27.560276946492497</c:v>
                </c:pt>
                <c:pt idx="17">
                  <c:v>27.31741997141758</c:v>
                </c:pt>
                <c:pt idx="18">
                  <c:v>27.085089048289422</c:v>
                </c:pt>
                <c:pt idx="19">
                  <c:v>26.86213593785459</c:v>
                </c:pt>
                <c:pt idx="20">
                  <c:v>26.647603118288906</c:v>
                </c:pt>
                <c:pt idx="21">
                  <c:v>26.44068383104161</c:v>
                </c:pt>
                <c:pt idx="22">
                  <c:v>26.24069191985424</c:v>
                </c:pt>
                <c:pt idx="23">
                  <c:v>26.047038756754116</c:v>
                </c:pt>
                <c:pt idx="24">
                  <c:v>25.85921537319852</c:v>
                </c:pt>
                <c:pt idx="25">
                  <c:v>25.67677846634409</c:v>
                </c:pt>
                <c:pt idx="26">
                  <c:v>25.499339326338216</c:v>
                </c:pt>
                <c:pt idx="27">
                  <c:v>25.3265549907989</c:v>
                </c:pt>
                <c:pt idx="28">
                  <c:v>25.158121115537234</c:v>
                </c:pt>
                <c:pt idx="29">
                  <c:v>24.99376618085708</c:v>
                </c:pt>
                <c:pt idx="30">
                  <c:v>24.833246746752017</c:v>
                </c:pt>
                <c:pt idx="31">
                  <c:v>24.67634353892226</c:v>
                </c:pt>
                <c:pt idx="32">
                  <c:v>24.52285819815781</c:v>
                </c:pt>
                <c:pt idx="33">
                  <c:v>24.372610563374305</c:v>
                </c:pt>
                <c:pt idx="34">
                  <c:v>24.22543638699235</c:v>
                </c:pt>
                <c:pt idx="35">
                  <c:v>24.081185402921115</c:v>
                </c:pt>
                <c:pt idx="36">
                  <c:v>23.9397196839259</c:v>
                </c:pt>
                <c:pt idx="37">
                  <c:v>23.800912237910055</c:v>
                </c:pt>
                <c:pt idx="38">
                  <c:v>23.66464580255751</c:v>
                </c:pt>
                <c:pt idx="39">
                  <c:v>23.530811805549057</c:v>
                </c:pt>
                <c:pt idx="40">
                  <c:v>23.39930946368856</c:v>
                </c:pt>
                <c:pt idx="41">
                  <c:v>23.270044999134612</c:v>
                </c:pt>
                <c:pt idx="42">
                  <c:v>23.142930954811995</c:v>
                </c:pt>
                <c:pt idx="43">
                  <c:v>23.017885594191565</c:v>
                </c:pt>
                <c:pt idx="44">
                  <c:v>22.89483237314167</c:v>
                </c:pt>
                <c:pt idx="45">
                  <c:v>22.773699473594316</c:v>
                </c:pt>
                <c:pt idx="46">
                  <c:v>22.6544193904336</c:v>
                </c:pt>
                <c:pt idx="47">
                  <c:v>22.53692856437766</c:v>
                </c:pt>
                <c:pt idx="48">
                  <c:v>22.42116705474785</c:v>
                </c:pt>
                <c:pt idx="49">
                  <c:v>22.307078246947462</c:v>
                </c:pt>
                <c:pt idx="50">
                  <c:v>22.194608590242822</c:v>
                </c:pt>
                <c:pt idx="51">
                  <c:v>22.08370736208241</c:v>
                </c:pt>
                <c:pt idx="52">
                  <c:v>21.97432645572728</c:v>
                </c:pt>
                <c:pt idx="53">
                  <c:v>21.866420188418015</c:v>
                </c:pt>
                <c:pt idx="54">
                  <c:v>21.759945127684325</c:v>
                </c:pt>
                <c:pt idx="55">
                  <c:v>21.654859933725596</c:v>
                </c:pt>
                <c:pt idx="56">
                  <c:v>21.55112521606425</c:v>
                </c:pt>
                <c:pt idx="57">
                  <c:v>21.448703402906816</c:v>
                </c:pt>
                <c:pt idx="58">
                  <c:v>21.347558621846492</c:v>
                </c:pt>
                <c:pt idx="59">
                  <c:v>21.24765659071153</c:v>
                </c:pt>
                <c:pt idx="60">
                  <c:v>21.14896451751022</c:v>
                </c:pt>
                <c:pt idx="61">
                  <c:v>21.051451008549705</c:v>
                </c:pt>
                <c:pt idx="62">
                  <c:v>20.955085983914557</c:v>
                </c:pt>
                <c:pt idx="63">
                  <c:v>20.859840599586022</c:v>
                </c:pt>
                <c:pt idx="64">
                  <c:v>20.765687175564555</c:v>
                </c:pt>
                <c:pt idx="65">
                  <c:v>20.67259912942994</c:v>
                </c:pt>
                <c:pt idx="66">
                  <c:v>20.58055091483567</c:v>
                </c:pt>
                <c:pt idx="67">
                  <c:v>20.489517964488687</c:v>
                </c:pt>
                <c:pt idx="68">
                  <c:v>20.399476637213674</c:v>
                </c:pt>
                <c:pt idx="69">
                  <c:v>20.31040416874294</c:v>
                </c:pt>
                <c:pt idx="70">
                  <c:v>20.2222786259101</c:v>
                </c:pt>
                <c:pt idx="71">
                  <c:v>20.135078863958423</c:v>
                </c:pt>
                <c:pt idx="72">
                  <c:v>20.048784486703475</c:v>
                </c:pt>
                <c:pt idx="73">
                  <c:v>19.96337580931562</c:v>
                </c:pt>
                <c:pt idx="74">
                  <c:v>19.878833823510234</c:v>
                </c:pt>
                <c:pt idx="75">
                  <c:v>19.79514016495412</c:v>
                </c:pt>
                <c:pt idx="76">
                  <c:v>19.712277082714298</c:v>
                </c:pt>
                <c:pt idx="77">
                  <c:v>19.63022741059168</c:v>
                </c:pt>
                <c:pt idx="78">
                  <c:v>19.54897454019624</c:v>
                </c:pt>
                <c:pt idx="79">
                  <c:v>19.468502395633514</c:v>
                </c:pt>
                <c:pt idx="80">
                  <c:v>19.38879540968331</c:v>
                </c:pt>
                <c:pt idx="81">
                  <c:v>19.309838501362535</c:v>
                </c:pt>
                <c:pt idx="82">
                  <c:v>19.23161705477262</c:v>
                </c:pt>
                <c:pt idx="83">
                  <c:v>19.154116899141258</c:v>
                </c:pt>
                <c:pt idx="84">
                  <c:v>19.077324289974904</c:v>
                </c:pt>
                <c:pt idx="85">
                  <c:v>19.00122589124612</c:v>
                </c:pt>
                <c:pt idx="86">
                  <c:v>18.925808758545525</c:v>
                </c:pt>
                <c:pt idx="87">
                  <c:v>18.851060323134007</c:v>
                </c:pt>
                <c:pt idx="88">
                  <c:v>18.77696837683581</c:v>
                </c:pt>
                <c:pt idx="89">
                  <c:v>18.70352105771788</c:v>
                </c:pt>
                <c:pt idx="90">
                  <c:v>18.630706836505023</c:v>
                </c:pt>
                <c:pt idx="91">
                  <c:v>18.558514503684183</c:v>
                </c:pt>
                <c:pt idx="92">
                  <c:v>18.48693315725483</c:v>
                </c:pt>
                <c:pt idx="93">
                  <c:v>18.415952191085502</c:v>
                </c:pt>
                <c:pt idx="94">
                  <c:v>18.345561283839558</c:v>
                </c:pt>
                <c:pt idx="95">
                  <c:v>18.275750388435846</c:v>
                </c:pt>
                <c:pt idx="96">
                  <c:v>18.206509722012452</c:v>
                </c:pt>
                <c:pt idx="97">
                  <c:v>18.137829756363914</c:v>
                </c:pt>
                <c:pt idx="98">
                  <c:v>18.069701208824473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voltage loop'!$A$2:$A$100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'Data voltage loop'!$J$2:$J$100</c:f>
              <c:numCache>
                <c:ptCount val="99"/>
                <c:pt idx="0">
                  <c:v>39.8887892722007</c:v>
                </c:pt>
                <c:pt idx="1">
                  <c:v>29.49437212481275</c:v>
                </c:pt>
                <c:pt idx="2">
                  <c:v>23.765556682359957</c:v>
                </c:pt>
                <c:pt idx="3">
                  <c:v>19.85362019127825</c:v>
                </c:pt>
                <c:pt idx="4">
                  <c:v>16.89545101947422</c:v>
                </c:pt>
                <c:pt idx="5">
                  <c:v>14.519146164293158</c:v>
                </c:pt>
                <c:pt idx="6">
                  <c:v>12.532391424280629</c:v>
                </c:pt>
                <c:pt idx="7">
                  <c:v>10.823614146127081</c:v>
                </c:pt>
                <c:pt idx="8">
                  <c:v>9.322680749766132</c:v>
                </c:pt>
                <c:pt idx="9">
                  <c:v>7.982805460095122</c:v>
                </c:pt>
                <c:pt idx="10">
                  <c:v>6.771308357909842</c:v>
                </c:pt>
                <c:pt idx="11">
                  <c:v>5.664508393570436</c:v>
                </c:pt>
                <c:pt idx="12">
                  <c:v>4.644722004852763</c:v>
                </c:pt>
                <c:pt idx="13">
                  <c:v>3.6984091920021704</c:v>
                </c:pt>
                <c:pt idx="14">
                  <c:v>2.814980288825641</c:v>
                </c:pt>
                <c:pt idx="15">
                  <c:v>1.986000933134786</c:v>
                </c:pt>
                <c:pt idx="16">
                  <c:v>1.2046464657484997</c:v>
                </c:pt>
                <c:pt idx="17">
                  <c:v>0.4653178161729379</c:v>
                </c:pt>
                <c:pt idx="18">
                  <c:v>-0.2366350239456736</c:v>
                </c:pt>
                <c:pt idx="19">
                  <c:v>-0.9051160286035511</c:v>
                </c:pt>
                <c:pt idx="20">
                  <c:v>-1.5434348295679996</c:v>
                </c:pt>
                <c:pt idx="21">
                  <c:v>-2.154421838581033</c:v>
                </c:pt>
                <c:pt idx="22">
                  <c:v>-2.7405168536761373</c:v>
                </c:pt>
                <c:pt idx="23">
                  <c:v>-3.3038381306565228</c:v>
                </c:pt>
                <c:pt idx="24">
                  <c:v>-3.846236853420752</c:v>
                </c:pt>
                <c:pt idx="25">
                  <c:v>-4.36934054625079</c:v>
                </c:pt>
                <c:pt idx="26">
                  <c:v>-4.874588010020048</c:v>
                </c:pt>
                <c:pt idx="27">
                  <c:v>-5.363257689224003</c:v>
                </c:pt>
                <c:pt idx="28">
                  <c:v>-5.836490895620404</c:v>
                </c:pt>
                <c:pt idx="29">
                  <c:v>-6.295310966714688</c:v>
                </c:pt>
                <c:pt idx="30">
                  <c:v>-6.740639183111952</c:v>
                </c:pt>
                <c:pt idx="31">
                  <c:v>-7.17330808065438</c:v>
                </c:pt>
                <c:pt idx="32">
                  <c:v>-7.594072652578458</c:v>
                </c:pt>
                <c:pt idx="33">
                  <c:v>-8.003619830649317</c:v>
                </c:pt>
                <c:pt idx="34">
                  <c:v>-8.402576553191679</c:v>
                </c:pt>
                <c:pt idx="35">
                  <c:v>-8.791516665603147</c:v>
                </c:pt>
                <c:pt idx="36">
                  <c:v>-9.170966850592514</c:v>
                </c:pt>
                <c:pt idx="37">
                  <c:v>-9.541411747604663</c:v>
                </c:pt>
                <c:pt idx="38">
                  <c:v>-9.90329839115099</c:v>
                </c:pt>
                <c:pt idx="39">
                  <c:v>-10.257040074188708</c:v>
                </c:pt>
                <c:pt idx="40">
                  <c:v>-10.603019723884664</c:v>
                </c:pt>
                <c:pt idx="41">
                  <c:v>-10.941592862001912</c:v>
                </c:pt>
                <c:pt idx="42">
                  <c:v>-11.273090209958255</c:v>
                </c:pt>
                <c:pt idx="43">
                  <c:v>-11.5978199887107</c:v>
                </c:pt>
                <c:pt idx="44">
                  <c:v>-11.916069955543723</c:v>
                </c:pt>
                <c:pt idx="45">
                  <c:v>-12.228109213215678</c:v>
                </c:pt>
                <c:pt idx="46">
                  <c:v>-12.534189821459268</c:v>
                </c:pt>
                <c:pt idx="47">
                  <c:v>-12.8345482363126</c:v>
                </c:pt>
                <c:pt idx="48">
                  <c:v>-13.12940659900094</c:v>
                </c:pt>
                <c:pt idx="49">
                  <c:v>-13.418973892951435</c:v>
                </c:pt>
                <c:pt idx="50">
                  <c:v>-13.703446984894427</c:v>
                </c:pt>
                <c:pt idx="51">
                  <c:v>-13.983011563792086</c:v>
                </c:pt>
                <c:pt idx="52">
                  <c:v>-14.257842989467022</c:v>
                </c:pt>
                <c:pt idx="53">
                  <c:v>-14.528107061219874</c:v>
                </c:pt>
                <c:pt idx="54">
                  <c:v>-14.793960715379072</c:v>
                </c:pt>
                <c:pt idx="55">
                  <c:v>-15.055552659576925</c:v>
                </c:pt>
                <c:pt idx="56">
                  <c:v>-15.313023950564094</c:v>
                </c:pt>
                <c:pt idx="57">
                  <c:v>-15.566508521530444</c:v>
                </c:pt>
                <c:pt idx="58">
                  <c:v>-15.81613366417491</c:v>
                </c:pt>
                <c:pt idx="59">
                  <c:v>-16.062020470139856</c:v>
                </c:pt>
                <c:pt idx="60">
                  <c:v>-16.30428423588364</c:v>
                </c:pt>
                <c:pt idx="61">
                  <c:v>-16.54303483459389</c:v>
                </c:pt>
                <c:pt idx="62">
                  <c:v>-16.778377058335593</c:v>
                </c:pt>
                <c:pt idx="63">
                  <c:v>-17.010410933270236</c:v>
                </c:pt>
                <c:pt idx="64">
                  <c:v>-17.239232010471074</c:v>
                </c:pt>
                <c:pt idx="65">
                  <c:v>-17.46493163458595</c:v>
                </c:pt>
                <c:pt idx="66">
                  <c:v>-17.687597192359377</c:v>
                </c:pt>
                <c:pt idx="67">
                  <c:v>-17.90731234281456</c:v>
                </c:pt>
                <c:pt idx="68">
                  <c:v>-18.124157230709947</c:v>
                </c:pt>
                <c:pt idx="69">
                  <c:v>-18.338208684720712</c:v>
                </c:pt>
                <c:pt idx="70">
                  <c:v>-18.54954040164992</c:v>
                </c:pt>
                <c:pt idx="71">
                  <c:v>-18.758223117845464</c:v>
                </c:pt>
                <c:pt idx="72">
                  <c:v>-18.96432476888416</c:v>
                </c:pt>
                <c:pt idx="73">
                  <c:v>-19.167910638482418</c:v>
                </c:pt>
                <c:pt idx="74">
                  <c:v>-19.369043497502282</c:v>
                </c:pt>
                <c:pt idx="75">
                  <c:v>-19.567783733840223</c:v>
                </c:pt>
                <c:pt idx="76">
                  <c:v>-19.764189473913856</c:v>
                </c:pt>
                <c:pt idx="77">
                  <c:v>-19.958316696396444</c:v>
                </c:pt>
                <c:pt idx="78">
                  <c:v>-20.150219338791103</c:v>
                </c:pt>
                <c:pt idx="79">
                  <c:v>-20.339949397383876</c:v>
                </c:pt>
                <c:pt idx="80">
                  <c:v>-20.527557021068198</c:v>
                </c:pt>
                <c:pt idx="81">
                  <c:v>-20.713090599490315</c:v>
                </c:pt>
                <c:pt idx="82">
                  <c:v>-20.896596845927377</c:v>
                </c:pt>
                <c:pt idx="83">
                  <c:v>-21.07812087527489</c:v>
                </c:pt>
                <c:pt idx="84">
                  <c:v>-21.25770627748947</c:v>
                </c:pt>
                <c:pt idx="85">
                  <c:v>-21.43539518680375</c:v>
                </c:pt>
                <c:pt idx="86">
                  <c:v>-21.611228347005362</c:v>
                </c:pt>
                <c:pt idx="87">
                  <c:v>-21.785245173047883</c:v>
                </c:pt>
                <c:pt idx="88">
                  <c:v>-21.957483809240962</c:v>
                </c:pt>
                <c:pt idx="89">
                  <c:v>-22.127981184247133</c:v>
                </c:pt>
                <c:pt idx="90">
                  <c:v>-22.296773063095362</c:v>
                </c:pt>
                <c:pt idx="91">
                  <c:v>-22.463894096405436</c:v>
                </c:pt>
                <c:pt idx="92">
                  <c:v>-22.629377867002393</c:v>
                </c:pt>
                <c:pt idx="93">
                  <c:v>-22.79325693408699</c:v>
                </c:pt>
                <c:pt idx="94">
                  <c:v>-22.955562875115916</c:v>
                </c:pt>
                <c:pt idx="95">
                  <c:v>-23.11632632553404</c:v>
                </c:pt>
                <c:pt idx="96">
                  <c:v>-23.27557701649096</c:v>
                </c:pt>
                <c:pt idx="97">
                  <c:v>-23.433343810664496</c:v>
                </c:pt>
                <c:pt idx="98">
                  <c:v>-23.58965473630504</c:v>
                </c:pt>
              </c:numCache>
            </c:numRef>
          </c:yVal>
          <c:smooth val="1"/>
        </c:ser>
        <c:axId val="66582535"/>
        <c:axId val="62371904"/>
      </c:scatterChart>
      <c:valAx>
        <c:axId val="66582535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1904"/>
        <c:crosses val="autoZero"/>
        <c:crossBetween val="midCat"/>
        <c:dispUnits/>
      </c:valAx>
      <c:valAx>
        <c:axId val="623719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03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82535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loop Bode plot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385"/>
          <c:w val="0.8885"/>
          <c:h val="0.72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current loop'!$A$2:$A$119</c:f>
              <c:numCache>
                <c:ptCount val="118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</c:numCache>
            </c:numRef>
          </c:xVal>
          <c:yVal>
            <c:numRef>
              <c:f>'Data current loop'!$C$2:$C$119</c:f>
              <c:numCache>
                <c:ptCount val="118"/>
                <c:pt idx="0">
                  <c:v>9.63321656471856</c:v>
                </c:pt>
                <c:pt idx="1">
                  <c:v>3.6126166514389366</c:v>
                </c:pt>
                <c:pt idx="2">
                  <c:v>0.09079147032531251</c:v>
                </c:pt>
                <c:pt idx="3">
                  <c:v>-2.4079832618406867</c:v>
                </c:pt>
                <c:pt idx="4">
                  <c:v>-4.346183522001815</c:v>
                </c:pt>
                <c:pt idx="5">
                  <c:v>-5.929808442954311</c:v>
                </c:pt>
                <c:pt idx="6">
                  <c:v>-7.268744235566574</c:v>
                </c:pt>
                <c:pt idx="7">
                  <c:v>-8.428583175120309</c:v>
                </c:pt>
                <c:pt idx="8">
                  <c:v>-9.451633624067936</c:v>
                </c:pt>
                <c:pt idx="9">
                  <c:v>-10.36678343528144</c:v>
                </c:pt>
                <c:pt idx="10">
                  <c:v>-11.19463713844594</c:v>
                </c:pt>
                <c:pt idx="11">
                  <c:v>-11.950408356233934</c:v>
                </c:pt>
                <c:pt idx="12">
                  <c:v>-12.645650481418171</c:v>
                </c:pt>
                <c:pt idx="13">
                  <c:v>-13.289344148846197</c:v>
                </c:pt>
                <c:pt idx="14">
                  <c:v>-13.888608616395064</c:v>
                </c:pt>
                <c:pt idx="15">
                  <c:v>-14.449183088399932</c:v>
                </c:pt>
                <c:pt idx="16">
                  <c:v>-14.975761862846916</c:v>
                </c:pt>
                <c:pt idx="17">
                  <c:v>-15.47223353734756</c:v>
                </c:pt>
                <c:pt idx="18">
                  <c:v>-15.941855454338016</c:v>
                </c:pt>
                <c:pt idx="19">
                  <c:v>-16.387383348561062</c:v>
                </c:pt>
                <c:pt idx="20">
                  <c:v>-16.81116932995982</c:v>
                </c:pt>
                <c:pt idx="21">
                  <c:v>-17.21523705172556</c:v>
                </c:pt>
                <c:pt idx="22">
                  <c:v>-17.60134015563329</c:v>
                </c:pt>
                <c:pt idx="23">
                  <c:v>-17.971008269513554</c:v>
                </c:pt>
                <c:pt idx="24">
                  <c:v>-18.32558360872219</c:v>
                </c:pt>
                <c:pt idx="25">
                  <c:v>-18.666250394697798</c:v>
                </c:pt>
                <c:pt idx="26">
                  <c:v>-18.994058718461183</c:v>
                </c:pt>
                <c:pt idx="27">
                  <c:v>-19.309944062125822</c:v>
                </c:pt>
                <c:pt idx="28">
                  <c:v>-19.614743393260557</c:v>
                </c:pt>
                <c:pt idx="29">
                  <c:v>-19.909208529674686</c:v>
                </c:pt>
                <c:pt idx="30">
                  <c:v>-20.194017311966892</c:v>
                </c:pt>
                <c:pt idx="31">
                  <c:v>-20.469783001679556</c:v>
                </c:pt>
                <c:pt idx="32">
                  <c:v>-20.73706223283919</c:v>
                </c:pt>
                <c:pt idx="33">
                  <c:v>-20.996361776126538</c:v>
                </c:pt>
                <c:pt idx="34">
                  <c:v>-21.248144322286947</c:v>
                </c:pt>
                <c:pt idx="35">
                  <c:v>-21.492833450627185</c:v>
                </c:pt>
                <c:pt idx="36">
                  <c:v>-21.73081791662134</c:v>
                </c:pt>
                <c:pt idx="37">
                  <c:v>-21.962455367617643</c:v>
                </c:pt>
                <c:pt idx="38">
                  <c:v>-22.18807557581142</c:v>
                </c:pt>
                <c:pt idx="39">
                  <c:v>-22.407983261840684</c:v>
                </c:pt>
                <c:pt idx="40">
                  <c:v>-22.62246056967615</c:v>
                </c:pt>
                <c:pt idx="41">
                  <c:v>-22.831769243239446</c:v>
                </c:pt>
                <c:pt idx="42">
                  <c:v>-23.03615254687317</c:v>
                </c:pt>
                <c:pt idx="43">
                  <c:v>-23.235836965005184</c:v>
                </c:pt>
                <c:pt idx="44">
                  <c:v>-23.43103371078831</c:v>
                </c:pt>
                <c:pt idx="45">
                  <c:v>-23.621940068912917</c:v>
                </c:pt>
                <c:pt idx="46">
                  <c:v>-23.808740593995786</c:v>
                </c:pt>
                <c:pt idx="47">
                  <c:v>-23.99160818279318</c:v>
                </c:pt>
                <c:pt idx="48">
                  <c:v>-24.17070503585171</c:v>
                </c:pt>
                <c:pt idx="49">
                  <c:v>-24.346183522001816</c:v>
                </c:pt>
                <c:pt idx="50">
                  <c:v>-24.518186957240165</c:v>
                </c:pt>
                <c:pt idx="51">
                  <c:v>-24.68685030797742</c:v>
                </c:pt>
                <c:pt idx="52">
                  <c:v>-24.852300827297217</c:v>
                </c:pt>
                <c:pt idx="53">
                  <c:v>-25.014658631740808</c:v>
                </c:pt>
                <c:pt idx="54">
                  <c:v>-25.174037225166312</c:v>
                </c:pt>
                <c:pt idx="55">
                  <c:v>-25.330543975405444</c:v>
                </c:pt>
                <c:pt idx="56">
                  <c:v>-25.48428054873127</c:v>
                </c:pt>
                <c:pt idx="57">
                  <c:v>-25.635343306540182</c:v>
                </c:pt>
                <c:pt idx="58">
                  <c:v>-25.78382366812432</c:v>
                </c:pt>
                <c:pt idx="59">
                  <c:v>-25.929808442954307</c:v>
                </c:pt>
                <c:pt idx="60">
                  <c:v>-26.073380135496773</c:v>
                </c:pt>
                <c:pt idx="61">
                  <c:v>-26.214617225246513</c:v>
                </c:pt>
                <c:pt idx="62">
                  <c:v>-26.35359442435307</c:v>
                </c:pt>
                <c:pt idx="63">
                  <c:v>-26.49038291495918</c:v>
                </c:pt>
                <c:pt idx="64">
                  <c:v>-26.625050568138544</c:v>
                </c:pt>
                <c:pt idx="65">
                  <c:v>-26.757662146118804</c:v>
                </c:pt>
                <c:pt idx="66">
                  <c:v>-26.888279489297965</c:v>
                </c:pt>
                <c:pt idx="67">
                  <c:v>-27.016961689406163</c:v>
                </c:pt>
                <c:pt idx="68">
                  <c:v>-27.143765250026544</c:v>
                </c:pt>
                <c:pt idx="69">
                  <c:v>-27.268744235566572</c:v>
                </c:pt>
                <c:pt idx="70">
                  <c:v>-27.391950409662943</c:v>
                </c:pt>
                <c:pt idx="71">
                  <c:v>-27.513433363906806</c:v>
                </c:pt>
                <c:pt idx="72">
                  <c:v>-27.63324063769055</c:v>
                </c:pt>
                <c:pt idx="73">
                  <c:v>-27.75141782990096</c:v>
                </c:pt>
                <c:pt idx="74">
                  <c:v>-27.868008703115436</c:v>
                </c:pt>
                <c:pt idx="75">
                  <c:v>-27.98305528089726</c:v>
                </c:pt>
                <c:pt idx="76">
                  <c:v>-28.096597938731072</c:v>
                </c:pt>
                <c:pt idx="77">
                  <c:v>-28.208675489091046</c:v>
                </c:pt>
                <c:pt idx="78">
                  <c:v>-28.319325261090263</c:v>
                </c:pt>
                <c:pt idx="79">
                  <c:v>-28.42858317512031</c:v>
                </c:pt>
                <c:pt idx="80">
                  <c:v>-28.536483812854428</c:v>
                </c:pt>
                <c:pt idx="81">
                  <c:v>-28.643060482955768</c:v>
                </c:pt>
                <c:pt idx="82">
                  <c:v>-28.748345282802916</c:v>
                </c:pt>
                <c:pt idx="83">
                  <c:v>-28.852369156519067</c:v>
                </c:pt>
                <c:pt idx="84">
                  <c:v>-28.95516194956729</c:v>
                </c:pt>
                <c:pt idx="85">
                  <c:v>-29.056752460152794</c:v>
                </c:pt>
                <c:pt idx="86">
                  <c:v>-29.15716848765381</c:v>
                </c:pt>
                <c:pt idx="87">
                  <c:v>-29.25643687828481</c:v>
                </c:pt>
                <c:pt idx="88">
                  <c:v>-29.35458356817969</c:v>
                </c:pt>
                <c:pt idx="89">
                  <c:v>-29.451633624067934</c:v>
                </c:pt>
                <c:pt idx="90">
                  <c:v>-29.547611281703308</c:v>
                </c:pt>
                <c:pt idx="91">
                  <c:v>-29.64253998219254</c:v>
                </c:pt>
                <c:pt idx="92">
                  <c:v>-29.73644240636014</c:v>
                </c:pt>
                <c:pt idx="93">
                  <c:v>-29.82934050727541</c:v>
                </c:pt>
                <c:pt idx="94">
                  <c:v>-29.921255541058393</c:v>
                </c:pt>
                <c:pt idx="95">
                  <c:v>-30.012208096072804</c:v>
                </c:pt>
                <c:pt idx="96">
                  <c:v>-30.10221812060633</c:v>
                </c:pt>
                <c:pt idx="97">
                  <c:v>-30.191304949131332</c:v>
                </c:pt>
                <c:pt idx="98">
                  <c:v>-30.27948732723243</c:v>
                </c:pt>
                <c:pt idx="99">
                  <c:v>-30.366783435281434</c:v>
                </c:pt>
                <c:pt idx="100">
                  <c:v>-30.45321091093429</c:v>
                </c:pt>
                <c:pt idx="101">
                  <c:v>-30.538786870519786</c:v>
                </c:pt>
                <c:pt idx="102">
                  <c:v>-30.623527929384878</c:v>
                </c:pt>
                <c:pt idx="103">
                  <c:v>-30.707450221257044</c:v>
                </c:pt>
                <c:pt idx="104">
                  <c:v>-30.790569416680196</c:v>
                </c:pt>
                <c:pt idx="105">
                  <c:v>-30.87290074057684</c:v>
                </c:pt>
                <c:pt idx="106">
                  <c:v>-30.95445898898563</c:v>
                </c:pt>
                <c:pt idx="107">
                  <c:v>-31.035258545020426</c:v>
                </c:pt>
                <c:pt idx="108">
                  <c:v>-31.115313394093906</c:v>
                </c:pt>
                <c:pt idx="109">
                  <c:v>-31.194637138445938</c:v>
                </c:pt>
                <c:pt idx="110">
                  <c:v>-31.273243011014582</c:v>
                </c:pt>
                <c:pt idx="111">
                  <c:v>-31.35114388868507</c:v>
                </c:pt>
                <c:pt idx="112">
                  <c:v>-31.42835230494983</c:v>
                </c:pt>
                <c:pt idx="113">
                  <c:v>-31.504880462010888</c:v>
                </c:pt>
                <c:pt idx="114">
                  <c:v>-31.58074024235367</c:v>
                </c:pt>
                <c:pt idx="115">
                  <c:v>-31.655943219819807</c:v>
                </c:pt>
                <c:pt idx="116">
                  <c:v>-31.73050067020467</c:v>
                </c:pt>
                <c:pt idx="117">
                  <c:v>-31.804423581403945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current loop'!$A$2:$A$119</c:f>
              <c:numCache>
                <c:ptCount val="118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</c:numCache>
            </c:numRef>
          </c:xVal>
          <c:yVal>
            <c:numRef>
              <c:f>'Data current loop'!$I$2:$I$119</c:f>
              <c:numCache>
                <c:ptCount val="118"/>
                <c:pt idx="0">
                  <c:v>20.202013666935898</c:v>
                </c:pt>
                <c:pt idx="1">
                  <c:v>16.474848829115103</c:v>
                </c:pt>
                <c:pt idx="2">
                  <c:v>14.735065888693343</c:v>
                </c:pt>
                <c:pt idx="3">
                  <c:v>13.689065889376943</c:v>
                </c:pt>
                <c:pt idx="4">
                  <c:v>12.9738529469938</c:v>
                </c:pt>
                <c:pt idx="5">
                  <c:v>12.443754551199467</c:v>
                </c:pt>
                <c:pt idx="6">
                  <c:v>12.028239355136844</c:v>
                </c:pt>
                <c:pt idx="7">
                  <c:v>11.688815686523261</c:v>
                </c:pt>
                <c:pt idx="8">
                  <c:v>11.40263293171371</c:v>
                </c:pt>
                <c:pt idx="9">
                  <c:v>11.155245753575482</c:v>
                </c:pt>
                <c:pt idx="10">
                  <c:v>10.937064177493735</c:v>
                </c:pt>
                <c:pt idx="11">
                  <c:v>10.7414663143574</c:v>
                </c:pt>
                <c:pt idx="12">
                  <c:v>10.563729468917682</c:v>
                </c:pt>
                <c:pt idx="13">
                  <c:v>10.400392888809499</c:v>
                </c:pt>
                <c:pt idx="14">
                  <c:v>10.24886134594691</c:v>
                </c:pt>
                <c:pt idx="15">
                  <c:v>10.10714952688653</c:v>
                </c:pt>
                <c:pt idx="16">
                  <c:v>9.973712077103379</c:v>
                </c:pt>
                <c:pt idx="17">
                  <c:v>9.847327550388933</c:v>
                </c:pt>
                <c:pt idx="18">
                  <c:v>9.727017299473207</c:v>
                </c:pt>
                <c:pt idx="19">
                  <c:v>9.611987609938469</c:v>
                </c:pt>
                <c:pt idx="20">
                  <c:v>9.501587654376095</c:v>
                </c:pt>
                <c:pt idx="21">
                  <c:v>9.395278436719062</c:v>
                </c:pt>
                <c:pt idx="22">
                  <c:v>9.292609512668735</c:v>
                </c:pt>
                <c:pt idx="23">
                  <c:v>9.19320130394284</c:v>
                </c:pt>
                <c:pt idx="24">
                  <c:v>9.096731497410872</c:v>
                </c:pt>
                <c:pt idx="25">
                  <c:v>9.0029244683553</c:v>
                </c:pt>
                <c:pt idx="26">
                  <c:v>8.91154297080704</c:v>
                </c:pt>
                <c:pt idx="27">
                  <c:v>8.822381547124355</c:v>
                </c:pt>
                <c:pt idx="28">
                  <c:v>8.735261255301342</c:v>
                </c:pt>
                <c:pt idx="29">
                  <c:v>8.65002541624823</c:v>
                </c:pt>
                <c:pt idx="30">
                  <c:v>8.566536157810638</c:v>
                </c:pt>
                <c:pt idx="31">
                  <c:v>8.484671586464893</c:v>
                </c:pt>
                <c:pt idx="32">
                  <c:v>8.404323457438378</c:v>
                </c:pt>
                <c:pt idx="33">
                  <c:v>8.325395243566916</c:v>
                </c:pt>
                <c:pt idx="34">
                  <c:v>8.247800525366106</c:v>
                </c:pt>
                <c:pt idx="35">
                  <c:v>8.171461641562267</c:v>
                </c:pt>
                <c:pt idx="36">
                  <c:v>8.096308552123096</c:v>
                </c:pt>
                <c:pt idx="37">
                  <c:v>8.02227787566802</c:v>
                </c:pt>
                <c:pt idx="38">
                  <c:v>7.9493120707630816</c:v>
                </c:pt>
                <c:pt idx="39">
                  <c:v>7.877358736555537</c:v>
                </c:pt>
                <c:pt idx="40">
                  <c:v>7.806370012878212</c:v>
                </c:pt>
                <c:pt idx="41">
                  <c:v>7.736302063649767</c:v>
                </c:pt>
                <c:pt idx="42">
                  <c:v>7.667114630336993</c:v>
                </c:pt>
                <c:pt idx="43">
                  <c:v>7.598770644597172</c:v>
                </c:pt>
                <c:pt idx="44">
                  <c:v>7.531235891110248</c:v>
                </c:pt>
                <c:pt idx="45">
                  <c:v>7.464478713140016</c:v>
                </c:pt>
                <c:pt idx="46">
                  <c:v>7.398469754606321</c:v>
                </c:pt>
                <c:pt idx="47">
                  <c:v>7.333181733464661</c:v>
                </c:pt>
                <c:pt idx="48">
                  <c:v>7.268589242021603</c:v>
                </c:pt>
                <c:pt idx="49">
                  <c:v>7.204668570499511</c:v>
                </c:pt>
                <c:pt idx="50">
                  <c:v>7.141397550730682</c:v>
                </c:pt>
                <c:pt idx="51">
                  <c:v>7.078755417331478</c:v>
                </c:pt>
                <c:pt idx="52">
                  <c:v>7.016722684098937</c:v>
                </c:pt>
                <c:pt idx="53">
                  <c:v>6.955281033700457</c:v>
                </c:pt>
                <c:pt idx="54">
                  <c:v>6.894413219002248</c:v>
                </c:pt>
                <c:pt idx="55">
                  <c:v>6.834102974614096</c:v>
                </c:pt>
                <c:pt idx="56">
                  <c:v>6.774334937423915</c:v>
                </c:pt>
                <c:pt idx="57">
                  <c:v>6.715094575061485</c:v>
                </c:pt>
                <c:pt idx="58">
                  <c:v>6.656368121371906</c:v>
                </c:pt>
                <c:pt idx="59">
                  <c:v>6.5981425180997135</c:v>
                </c:pt>
                <c:pt idx="60">
                  <c:v>6.54040536208732</c:v>
                </c:pt>
                <c:pt idx="61">
                  <c:v>6.483144857379796</c:v>
                </c:pt>
                <c:pt idx="62">
                  <c:v>6.426349771703657</c:v>
                </c:pt>
                <c:pt idx="63">
                  <c:v>6.370009396852757</c:v>
                </c:pt>
                <c:pt idx="64">
                  <c:v>6.314113512570728</c:v>
                </c:pt>
                <c:pt idx="65">
                  <c:v>6.258652353568316</c:v>
                </c:pt>
                <c:pt idx="66">
                  <c:v>6.203616579356314</c:v>
                </c:pt>
                <c:pt idx="67">
                  <c:v>6.148997246611692</c:v>
                </c:pt>
                <c:pt idx="68">
                  <c:v>6.094785783826627</c:v>
                </c:pt>
                <c:pt idx="69">
                  <c:v>6.040973968018313</c:v>
                </c:pt>
                <c:pt idx="70">
                  <c:v>5.9875539033018335</c:v>
                </c:pt>
                <c:pt idx="71">
                  <c:v>5.934518001150075</c:v>
                </c:pt>
                <c:pt idx="72">
                  <c:v>5.881858962183535</c:v>
                </c:pt>
                <c:pt idx="73">
                  <c:v>5.829569759349512</c:v>
                </c:pt>
                <c:pt idx="74">
                  <c:v>5.7776436223649235</c:v>
                </c:pt>
                <c:pt idx="75">
                  <c:v>5.726074023309944</c:v>
                </c:pt>
                <c:pt idx="76">
                  <c:v>5.674854663271134</c:v>
                </c:pt>
                <c:pt idx="77">
                  <c:v>5.623979459942961</c:v>
                </c:pt>
                <c:pt idx="78">
                  <c:v>5.573442536105592</c:v>
                </c:pt>
                <c:pt idx="79">
                  <c:v>5.5232382089049326</c:v>
                </c:pt>
                <c:pt idx="80">
                  <c:v>5.47336097986804</c:v>
                </c:pt>
                <c:pt idx="81">
                  <c:v>5.423805525593366</c:v>
                </c:pt>
                <c:pt idx="82">
                  <c:v>5.374566689061082</c:v>
                </c:pt>
                <c:pt idx="83">
                  <c:v>5.3256394715137745</c:v>
                </c:pt>
                <c:pt idx="84">
                  <c:v>5.277019024862412</c:v>
                </c:pt>
                <c:pt idx="85">
                  <c:v>5.228700644576515</c:v>
                </c:pt>
                <c:pt idx="86">
                  <c:v>5.180679763021308</c:v>
                </c:pt>
                <c:pt idx="87">
                  <c:v>5.132951943207681</c:v>
                </c:pt>
                <c:pt idx="88">
                  <c:v>5.085512872924065</c:v>
                </c:pt>
                <c:pt idx="89">
                  <c:v>5.03835835922181</c:v>
                </c:pt>
                <c:pt idx="90">
                  <c:v>4.991484323228136</c:v>
                </c:pt>
                <c:pt idx="91">
                  <c:v>4.944886795262984</c:v>
                </c:pt>
                <c:pt idx="92">
                  <c:v>4.898561910237992</c:v>
                </c:pt>
                <c:pt idx="93">
                  <c:v>4.852505903317686</c:v>
                </c:pt>
                <c:pt idx="94">
                  <c:v>4.806715105824563</c:v>
                </c:pt>
                <c:pt idx="95">
                  <c:v>4.761185941371271</c:v>
                </c:pt>
                <c:pt idx="96">
                  <c:v>4.7159149222043615</c:v>
                </c:pt>
                <c:pt idx="97">
                  <c:v>4.670898645745443</c:v>
                </c:pt>
                <c:pt idx="98">
                  <c:v>4.6261337913165175</c:v>
                </c:pt>
                <c:pt idx="99">
                  <c:v>4.581617117037448</c:v>
                </c:pt>
                <c:pt idx="100">
                  <c:v>4.537345456884344</c:v>
                </c:pt>
                <c:pt idx="101">
                  <c:v>4.493315717898517</c:v>
                </c:pt>
                <c:pt idx="102">
                  <c:v>4.449524877536461</c:v>
                </c:pt>
                <c:pt idx="103">
                  <c:v>4.405969981152011</c:v>
                </c:pt>
                <c:pt idx="104">
                  <c:v>4.362648139602448</c:v>
                </c:pt>
                <c:pt idx="105">
                  <c:v>4.319556526970969</c:v>
                </c:pt>
                <c:pt idx="106">
                  <c:v>4.276692378398444</c:v>
                </c:pt>
                <c:pt idx="107">
                  <c:v>4.2340529880179485</c:v>
                </c:pt>
                <c:pt idx="108">
                  <c:v>4.191635706985894</c:v>
                </c:pt>
                <c:pt idx="109">
                  <c:v>4.14943794160418</c:v>
                </c:pt>
                <c:pt idx="110">
                  <c:v>4.107457151528028</c:v>
                </c:pt>
                <c:pt idx="111">
                  <c:v>4.0656908480545955</c:v>
                </c:pt>
                <c:pt idx="112">
                  <c:v>4.02413659248782</c:v>
                </c:pt>
                <c:pt idx="113">
                  <c:v>3.9827919945751464</c:v>
                </c:pt>
                <c:pt idx="114">
                  <c:v>3.941654711012216</c:v>
                </c:pt>
                <c:pt idx="115">
                  <c:v>3.900722444011752</c:v>
                </c:pt>
                <c:pt idx="116">
                  <c:v>3.8599929399331567</c:v>
                </c:pt>
                <c:pt idx="117">
                  <c:v>3.8194639879695576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current loop'!$A$2:$A$119</c:f>
              <c:numCache>
                <c:ptCount val="118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</c:numCache>
            </c:numRef>
          </c:xVal>
          <c:yVal>
            <c:numRef>
              <c:f>'Data current loop'!$J$2:$J$119</c:f>
              <c:numCache>
                <c:ptCount val="118"/>
                <c:pt idx="0">
                  <c:v>29.835230231654457</c:v>
                </c:pt>
                <c:pt idx="1">
                  <c:v>20.08746548055404</c:v>
                </c:pt>
                <c:pt idx="2">
                  <c:v>14.825857359018656</c:v>
                </c:pt>
                <c:pt idx="3">
                  <c:v>11.281082627536257</c:v>
                </c:pt>
                <c:pt idx="4">
                  <c:v>8.627669424991986</c:v>
                </c:pt>
                <c:pt idx="5">
                  <c:v>6.513946108245156</c:v>
                </c:pt>
                <c:pt idx="6">
                  <c:v>4.7594951195702695</c:v>
                </c:pt>
                <c:pt idx="7">
                  <c:v>3.2602325114029522</c:v>
                </c:pt>
                <c:pt idx="8">
                  <c:v>1.9509993076457732</c:v>
                </c:pt>
                <c:pt idx="9">
                  <c:v>0.7884623182940427</c:v>
                </c:pt>
                <c:pt idx="10">
                  <c:v>-0.2575729609522046</c:v>
                </c:pt>
                <c:pt idx="11">
                  <c:v>-1.2089420418765346</c:v>
                </c:pt>
                <c:pt idx="12">
                  <c:v>-2.081921012500489</c:v>
                </c:pt>
                <c:pt idx="13">
                  <c:v>-2.8889512600366984</c:v>
                </c:pt>
                <c:pt idx="14">
                  <c:v>-3.6397472704481544</c:v>
                </c:pt>
                <c:pt idx="15">
                  <c:v>-4.342033561513402</c:v>
                </c:pt>
                <c:pt idx="16">
                  <c:v>-5.002049785743537</c:v>
                </c:pt>
                <c:pt idx="17">
                  <c:v>-5.624905986958627</c:v>
                </c:pt>
                <c:pt idx="18">
                  <c:v>-6.214838154864809</c:v>
                </c:pt>
                <c:pt idx="19">
                  <c:v>-6.775395738622594</c:v>
                </c:pt>
                <c:pt idx="20">
                  <c:v>-7.3095816755837255</c:v>
                </c:pt>
                <c:pt idx="21">
                  <c:v>-7.819958615006497</c:v>
                </c:pt>
                <c:pt idx="22">
                  <c:v>-8.308730642964557</c:v>
                </c:pt>
                <c:pt idx="23">
                  <c:v>-8.777806965570713</c:v>
                </c:pt>
                <c:pt idx="24">
                  <c:v>-9.228852111311319</c:v>
                </c:pt>
                <c:pt idx="25">
                  <c:v>-9.663325926342498</c:v>
                </c:pt>
                <c:pt idx="26">
                  <c:v>-10.082515747654142</c:v>
                </c:pt>
                <c:pt idx="27">
                  <c:v>-10.487562515001468</c:v>
                </c:pt>
                <c:pt idx="28">
                  <c:v>-10.879482137959215</c:v>
                </c:pt>
                <c:pt idx="29">
                  <c:v>-11.259183113426456</c:v>
                </c:pt>
                <c:pt idx="30">
                  <c:v>-11.627481154156253</c:v>
                </c:pt>
                <c:pt idx="31">
                  <c:v>-11.985111415214663</c:v>
                </c:pt>
                <c:pt idx="32">
                  <c:v>-12.332738775400811</c:v>
                </c:pt>
                <c:pt idx="33">
                  <c:v>-12.670966532559621</c:v>
                </c:pt>
                <c:pt idx="34">
                  <c:v>-13.000343796920841</c:v>
                </c:pt>
                <c:pt idx="35">
                  <c:v>-13.321371809064917</c:v>
                </c:pt>
                <c:pt idx="36">
                  <c:v>-13.634509364498244</c:v>
                </c:pt>
                <c:pt idx="37">
                  <c:v>-13.940177491949623</c:v>
                </c:pt>
                <c:pt idx="38">
                  <c:v>-14.23876350504834</c:v>
                </c:pt>
                <c:pt idx="39">
                  <c:v>-14.530624525285148</c:v>
                </c:pt>
                <c:pt idx="40">
                  <c:v>-14.816090556797938</c:v>
                </c:pt>
                <c:pt idx="41">
                  <c:v>-15.09546717958968</c:v>
                </c:pt>
                <c:pt idx="42">
                  <c:v>-15.369037916536175</c:v>
                </c:pt>
                <c:pt idx="43">
                  <c:v>-15.637066320408012</c:v>
                </c:pt>
                <c:pt idx="44">
                  <c:v>-15.89979781967806</c:v>
                </c:pt>
                <c:pt idx="45">
                  <c:v>-16.157461355772902</c:v>
                </c:pt>
                <c:pt idx="46">
                  <c:v>-16.410270839389465</c:v>
                </c:pt>
                <c:pt idx="47">
                  <c:v>-16.658426449328516</c:v>
                </c:pt>
                <c:pt idx="48">
                  <c:v>-16.902115793830106</c:v>
                </c:pt>
                <c:pt idx="49">
                  <c:v>-17.141514951502305</c:v>
                </c:pt>
                <c:pt idx="50">
                  <c:v>-17.37678940650948</c:v>
                </c:pt>
                <c:pt idx="51">
                  <c:v>-17.60809489064594</c:v>
                </c:pt>
                <c:pt idx="52">
                  <c:v>-17.83557814319828</c:v>
                </c:pt>
                <c:pt idx="53">
                  <c:v>-18.05937759804035</c:v>
                </c:pt>
                <c:pt idx="54">
                  <c:v>-18.279624006164063</c:v>
                </c:pt>
                <c:pt idx="55">
                  <c:v>-18.49644100079135</c:v>
                </c:pt>
                <c:pt idx="56">
                  <c:v>-18.709945611307354</c:v>
                </c:pt>
                <c:pt idx="57">
                  <c:v>-18.920248731478697</c:v>
                </c:pt>
                <c:pt idx="58">
                  <c:v>-19.127455546752415</c:v>
                </c:pt>
                <c:pt idx="59">
                  <c:v>-19.331665924854594</c:v>
                </c:pt>
                <c:pt idx="60">
                  <c:v>-19.532974773409453</c:v>
                </c:pt>
                <c:pt idx="61">
                  <c:v>-19.73147236786672</c:v>
                </c:pt>
                <c:pt idx="62">
                  <c:v>-19.927244652649414</c:v>
                </c:pt>
                <c:pt idx="63">
                  <c:v>-20.120373518106422</c:v>
                </c:pt>
                <c:pt idx="64">
                  <c:v>-20.310937055567816</c:v>
                </c:pt>
                <c:pt idx="65">
                  <c:v>-20.49900979255049</c:v>
                </c:pt>
                <c:pt idx="66">
                  <c:v>-20.68466290994165</c:v>
                </c:pt>
                <c:pt idx="67">
                  <c:v>-20.86796444279447</c:v>
                </c:pt>
                <c:pt idx="68">
                  <c:v>-21.048979466199917</c:v>
                </c:pt>
                <c:pt idx="69">
                  <c:v>-21.22777026754826</c:v>
                </c:pt>
                <c:pt idx="70">
                  <c:v>-21.40439650636111</c:v>
                </c:pt>
                <c:pt idx="71">
                  <c:v>-21.57891536275673</c:v>
                </c:pt>
                <c:pt idx="72">
                  <c:v>-21.751381675507016</c:v>
                </c:pt>
                <c:pt idx="73">
                  <c:v>-21.921848070551448</c:v>
                </c:pt>
                <c:pt idx="74">
                  <c:v>-22.090365080750512</c:v>
                </c:pt>
                <c:pt idx="75">
                  <c:v>-22.256981257587316</c:v>
                </c:pt>
                <c:pt idx="76">
                  <c:v>-22.42174327545994</c:v>
                </c:pt>
                <c:pt idx="77">
                  <c:v>-22.584696029148084</c:v>
                </c:pt>
                <c:pt idx="78">
                  <c:v>-22.74588272498467</c:v>
                </c:pt>
                <c:pt idx="79">
                  <c:v>-22.905344966215377</c:v>
                </c:pt>
                <c:pt idx="80">
                  <c:v>-23.063122832986387</c:v>
                </c:pt>
                <c:pt idx="81">
                  <c:v>-23.219254957362402</c:v>
                </c:pt>
                <c:pt idx="82">
                  <c:v>-23.373778593741832</c:v>
                </c:pt>
                <c:pt idx="83">
                  <c:v>-23.526729685005293</c:v>
                </c:pt>
                <c:pt idx="84">
                  <c:v>-23.67814292470488</c:v>
                </c:pt>
                <c:pt idx="85">
                  <c:v>-23.82805181557628</c:v>
                </c:pt>
                <c:pt idx="86">
                  <c:v>-23.976488724632503</c:v>
                </c:pt>
                <c:pt idx="87">
                  <c:v>-24.12348493507713</c:v>
                </c:pt>
                <c:pt idx="88">
                  <c:v>-24.26907069525563</c:v>
                </c:pt>
                <c:pt idx="89">
                  <c:v>-24.413275264846124</c:v>
                </c:pt>
                <c:pt idx="90">
                  <c:v>-24.556126958475172</c:v>
                </c:pt>
                <c:pt idx="91">
                  <c:v>-24.697653186929557</c:v>
                </c:pt>
                <c:pt idx="92">
                  <c:v>-24.83788049612215</c:v>
                </c:pt>
                <c:pt idx="93">
                  <c:v>-24.976834603957727</c:v>
                </c:pt>
                <c:pt idx="94">
                  <c:v>-25.11454043523383</c:v>
                </c:pt>
                <c:pt idx="95">
                  <c:v>-25.251022154701534</c:v>
                </c:pt>
                <c:pt idx="96">
                  <c:v>-25.38630319840197</c:v>
                </c:pt>
                <c:pt idx="97">
                  <c:v>-25.52040630338589</c:v>
                </c:pt>
                <c:pt idx="98">
                  <c:v>-25.65335353591591</c:v>
                </c:pt>
                <c:pt idx="99">
                  <c:v>-25.785166318243988</c:v>
                </c:pt>
                <c:pt idx="100">
                  <c:v>-25.915865454049943</c:v>
                </c:pt>
                <c:pt idx="101">
                  <c:v>-26.045471152621268</c:v>
                </c:pt>
                <c:pt idx="102">
                  <c:v>-26.174003051848416</c:v>
                </c:pt>
                <c:pt idx="103">
                  <c:v>-26.301480240105032</c:v>
                </c:pt>
                <c:pt idx="104">
                  <c:v>-26.427921277077747</c:v>
                </c:pt>
                <c:pt idx="105">
                  <c:v>-26.553344213605868</c:v>
                </c:pt>
                <c:pt idx="106">
                  <c:v>-26.677766610587184</c:v>
                </c:pt>
                <c:pt idx="107">
                  <c:v>-26.801205557002476</c:v>
                </c:pt>
                <c:pt idx="108">
                  <c:v>-26.92367768710801</c:v>
                </c:pt>
                <c:pt idx="109">
                  <c:v>-27.045199196841757</c:v>
                </c:pt>
                <c:pt idx="110">
                  <c:v>-27.165785859486554</c:v>
                </c:pt>
                <c:pt idx="111">
                  <c:v>-27.285453040630472</c:v>
                </c:pt>
                <c:pt idx="112">
                  <c:v>-27.40421571246201</c:v>
                </c:pt>
                <c:pt idx="113">
                  <c:v>-27.522088467435744</c:v>
                </c:pt>
                <c:pt idx="114">
                  <c:v>-27.639085531341454</c:v>
                </c:pt>
                <c:pt idx="115">
                  <c:v>-27.755220775808056</c:v>
                </c:pt>
                <c:pt idx="116">
                  <c:v>-27.870507730271513</c:v>
                </c:pt>
                <c:pt idx="117">
                  <c:v>-27.98495959343439</c:v>
                </c:pt>
              </c:numCache>
            </c:numRef>
          </c:yVal>
          <c:smooth val="1"/>
        </c:ser>
        <c:axId val="24476225"/>
        <c:axId val="18959434"/>
      </c:scatterChart>
      <c:valAx>
        <c:axId val="24476225"/>
        <c:scaling>
          <c:logBase val="10"/>
          <c:orientation val="minMax"/>
          <c:max val="1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9434"/>
        <c:crossesAt val="0"/>
        <c:crossBetween val="midCat"/>
        <c:dispUnits/>
        <c:majorUnit val="10"/>
        <c:minorUnit val="10"/>
      </c:valAx>
      <c:valAx>
        <c:axId val="18959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02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76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9</xdr:col>
      <xdr:colOff>571500</xdr:colOff>
      <xdr:row>33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59721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102</xdr:row>
      <xdr:rowOff>95250</xdr:rowOff>
    </xdr:from>
    <xdr:to>
      <xdr:col>6</xdr:col>
      <xdr:colOff>304800</xdr:colOff>
      <xdr:row>118</xdr:row>
      <xdr:rowOff>104775</xdr:rowOff>
    </xdr:to>
    <xdr:graphicFrame>
      <xdr:nvGraphicFramePr>
        <xdr:cNvPr id="1" name="Chart 76"/>
        <xdr:cNvGraphicFramePr/>
      </xdr:nvGraphicFramePr>
      <xdr:xfrm>
        <a:off x="495300" y="15801975"/>
        <a:ext cx="4438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155</xdr:row>
      <xdr:rowOff>76200</xdr:rowOff>
    </xdr:from>
    <xdr:to>
      <xdr:col>5</xdr:col>
      <xdr:colOff>647700</xdr:colOff>
      <xdr:row>171</xdr:row>
      <xdr:rowOff>133350</xdr:rowOff>
    </xdr:to>
    <xdr:graphicFrame>
      <xdr:nvGraphicFramePr>
        <xdr:cNvPr id="2" name="Chart 77"/>
        <xdr:cNvGraphicFramePr/>
      </xdr:nvGraphicFramePr>
      <xdr:xfrm>
        <a:off x="295275" y="24441150"/>
        <a:ext cx="42386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409575</xdr:colOff>
      <xdr:row>50</xdr:row>
      <xdr:rowOff>28575</xdr:rowOff>
    </xdr:from>
    <xdr:to>
      <xdr:col>9</xdr:col>
      <xdr:colOff>123825</xdr:colOff>
      <xdr:row>64</xdr:row>
      <xdr:rowOff>76200</xdr:rowOff>
    </xdr:to>
    <xdr:pic>
      <xdr:nvPicPr>
        <xdr:cNvPr id="3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7791450"/>
          <a:ext cx="29622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51</xdr:row>
      <xdr:rowOff>114300</xdr:rowOff>
    </xdr:from>
    <xdr:to>
      <xdr:col>4</xdr:col>
      <xdr:colOff>104775</xdr:colOff>
      <xdr:row>65</xdr:row>
      <xdr:rowOff>152400</xdr:rowOff>
    </xdr:to>
    <xdr:pic>
      <xdr:nvPicPr>
        <xdr:cNvPr id="4" name="Picture 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8039100"/>
          <a:ext cx="33051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5</xdr:col>
      <xdr:colOff>219075</xdr:colOff>
      <xdr:row>135</xdr:row>
      <xdr:rowOff>47625</xdr:rowOff>
    </xdr:to>
    <xdr:pic>
      <xdr:nvPicPr>
        <xdr:cNvPr id="5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945225"/>
          <a:ext cx="41052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123</xdr:row>
      <xdr:rowOff>0</xdr:rowOff>
    </xdr:from>
    <xdr:to>
      <xdr:col>9</xdr:col>
      <xdr:colOff>419100</xdr:colOff>
      <xdr:row>136</xdr:row>
      <xdr:rowOff>142875</xdr:rowOff>
    </xdr:to>
    <xdr:pic>
      <xdr:nvPicPr>
        <xdr:cNvPr id="6" name="Picture 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0" y="19107150"/>
          <a:ext cx="28765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6384" width="9.140625" style="41" customWidth="1"/>
  </cols>
  <sheetData/>
  <sheetProtection sheet="1" objects="1" scenarios="1"/>
  <printOptions/>
  <pageMargins left="0.75" right="0.75" top="1" bottom="1" header="0.5" footer="0.5"/>
  <pageSetup horizontalDpi="600" verticalDpi="600" orientation="landscape" r:id="rId3"/>
  <headerFooter alignWithMargins="0">
    <oddFooter>&amp;L&amp;F&amp;C &amp;P of &amp;N&amp;R&amp;A</oddFooter>
  </headerFooter>
  <legacyDrawing r:id="rId2"/>
  <oleObjects>
    <oleObject progId="Word.Document.8" shapeId="4949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2" width="12.57421875" style="41" customWidth="1"/>
    <col min="3" max="3" width="9.140625" style="41" customWidth="1"/>
    <col min="4" max="4" width="36.140625" style="41" customWidth="1"/>
    <col min="5" max="16384" width="9.140625" style="41" customWidth="1"/>
  </cols>
  <sheetData>
    <row r="1" spans="1:4" ht="12.75">
      <c r="A1" s="44"/>
      <c r="B1" s="44"/>
      <c r="C1" s="44"/>
      <c r="D1" s="44"/>
    </row>
    <row r="2" spans="1:4" ht="12.75">
      <c r="A2" s="44" t="s">
        <v>125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5" spans="1:4" ht="15.75">
      <c r="A5" s="44" t="s">
        <v>200</v>
      </c>
      <c r="B5" s="42">
        <v>500</v>
      </c>
      <c r="C5" s="44" t="s">
        <v>0</v>
      </c>
      <c r="D5" s="44" t="s">
        <v>10</v>
      </c>
    </row>
    <row r="6" spans="1:4" ht="15.75">
      <c r="A6" s="44" t="s">
        <v>201</v>
      </c>
      <c r="B6" s="42">
        <v>80</v>
      </c>
      <c r="C6" s="44" t="s">
        <v>1</v>
      </c>
      <c r="D6" s="44" t="s">
        <v>13</v>
      </c>
    </row>
    <row r="7" spans="1:4" ht="15.75">
      <c r="A7" s="44" t="s">
        <v>202</v>
      </c>
      <c r="B7" s="42">
        <v>264</v>
      </c>
      <c r="C7" s="44" t="s">
        <v>1</v>
      </c>
      <c r="D7" s="44" t="s">
        <v>14</v>
      </c>
    </row>
    <row r="8" spans="1:4" ht="12.75">
      <c r="A8" s="44" t="s">
        <v>47</v>
      </c>
      <c r="B8" s="42">
        <v>0.93</v>
      </c>
      <c r="C8" s="44"/>
      <c r="D8" s="44" t="s">
        <v>11</v>
      </c>
    </row>
    <row r="9" spans="1:4" ht="15.75">
      <c r="A9" s="44" t="s">
        <v>207</v>
      </c>
      <c r="B9" s="42">
        <v>400</v>
      </c>
      <c r="C9" s="44" t="s">
        <v>1</v>
      </c>
      <c r="D9" s="44" t="s">
        <v>16</v>
      </c>
    </row>
    <row r="10" spans="1:4" ht="15.75">
      <c r="A10" s="44" t="s">
        <v>208</v>
      </c>
      <c r="B10" s="43">
        <v>100000</v>
      </c>
      <c r="C10" s="44" t="s">
        <v>5</v>
      </c>
      <c r="D10" s="44" t="s">
        <v>12</v>
      </c>
    </row>
    <row r="11" spans="1:4" ht="12" customHeight="1">
      <c r="A11" s="44" t="s">
        <v>209</v>
      </c>
      <c r="B11" s="42">
        <v>300</v>
      </c>
      <c r="C11" s="44" t="s">
        <v>1</v>
      </c>
      <c r="D11" s="44" t="s">
        <v>15</v>
      </c>
    </row>
    <row r="12" spans="1:4" ht="15.75">
      <c r="A12" s="44" t="s">
        <v>210</v>
      </c>
      <c r="B12" s="43">
        <v>0.02</v>
      </c>
      <c r="C12" s="44" t="s">
        <v>8</v>
      </c>
      <c r="D12" s="44" t="s">
        <v>17</v>
      </c>
    </row>
    <row r="13" spans="1:4" ht="12.75">
      <c r="A13" s="44" t="s">
        <v>32</v>
      </c>
      <c r="B13" s="42">
        <v>5</v>
      </c>
      <c r="C13" s="44" t="s">
        <v>33</v>
      </c>
      <c r="D13" s="44" t="s">
        <v>34</v>
      </c>
    </row>
    <row r="14" spans="1:4" ht="12.75">
      <c r="A14" s="44" t="s">
        <v>72</v>
      </c>
      <c r="B14" s="42">
        <v>20</v>
      </c>
      <c r="C14" s="44" t="s">
        <v>33</v>
      </c>
      <c r="D14" s="44" t="s">
        <v>73</v>
      </c>
    </row>
    <row r="15" spans="1:4" ht="12" customHeight="1" hidden="1">
      <c r="A15" s="44" t="s">
        <v>51</v>
      </c>
      <c r="B15" s="43">
        <f>dI_ripple*0.01</f>
        <v>0.2</v>
      </c>
      <c r="C15" s="44"/>
      <c r="D15" s="44" t="s">
        <v>49</v>
      </c>
    </row>
    <row r="16" spans="1:4" ht="12.75">
      <c r="A16" s="44" t="s">
        <v>57</v>
      </c>
      <c r="B16" s="43">
        <v>57</v>
      </c>
      <c r="C16" s="44" t="s">
        <v>5</v>
      </c>
      <c r="D16" s="44" t="s">
        <v>58</v>
      </c>
    </row>
    <row r="17" spans="1:4" ht="12.75">
      <c r="A17" s="44" t="s">
        <v>59</v>
      </c>
      <c r="B17" s="43">
        <v>60</v>
      </c>
      <c r="C17" s="44" t="s">
        <v>5</v>
      </c>
      <c r="D17" s="44" t="s">
        <v>60</v>
      </c>
    </row>
    <row r="18" spans="1:4" ht="12.75">
      <c r="A18" s="44"/>
      <c r="B18" s="45"/>
      <c r="C18" s="44"/>
      <c r="D18" s="44"/>
    </row>
    <row r="19" spans="1:4" ht="12.75">
      <c r="A19" s="44"/>
      <c r="B19" s="45"/>
      <c r="C19" s="44"/>
      <c r="D19" s="44"/>
    </row>
    <row r="20" spans="1:4" ht="12.75">
      <c r="A20" s="44" t="s">
        <v>236</v>
      </c>
      <c r="B20" s="44"/>
      <c r="C20" s="44"/>
      <c r="D20" s="44"/>
    </row>
    <row r="21" spans="1:4" ht="12.75">
      <c r="A21" s="44"/>
      <c r="B21" s="44"/>
      <c r="C21" s="44"/>
      <c r="D21" s="44"/>
    </row>
    <row r="22" spans="1:4" ht="12.75">
      <c r="A22" s="44" t="s">
        <v>21</v>
      </c>
      <c r="B22" s="45">
        <v>5E-07</v>
      </c>
      <c r="C22" s="44" t="s">
        <v>8</v>
      </c>
      <c r="D22" s="44" t="s">
        <v>22</v>
      </c>
    </row>
    <row r="23" spans="1:4" ht="15.75">
      <c r="A23" s="44" t="s">
        <v>211</v>
      </c>
      <c r="B23" s="45">
        <v>3600</v>
      </c>
      <c r="C23" s="44" t="s">
        <v>20</v>
      </c>
      <c r="D23" s="44" t="s">
        <v>26</v>
      </c>
    </row>
    <row r="24" spans="1:4" ht="12.75">
      <c r="A24" s="44" t="s">
        <v>27</v>
      </c>
      <c r="B24" s="46">
        <v>0.75</v>
      </c>
      <c r="C24" s="44" t="s">
        <v>1</v>
      </c>
      <c r="D24" s="44" t="s">
        <v>28</v>
      </c>
    </row>
    <row r="25" spans="1:4" ht="12.75">
      <c r="A25" s="44" t="s">
        <v>30</v>
      </c>
      <c r="B25" s="46">
        <v>2.5</v>
      </c>
      <c r="C25" s="44" t="s">
        <v>1</v>
      </c>
      <c r="D25" s="44" t="s">
        <v>31</v>
      </c>
    </row>
    <row r="26" spans="1:4" ht="12.75">
      <c r="A26" s="44" t="s">
        <v>35</v>
      </c>
      <c r="B26" s="46">
        <v>5</v>
      </c>
      <c r="C26" s="44" t="s">
        <v>1</v>
      </c>
      <c r="D26" s="44" t="s">
        <v>36</v>
      </c>
    </row>
    <row r="27" spans="1:4" ht="12.75">
      <c r="A27" s="44" t="s">
        <v>37</v>
      </c>
      <c r="B27" s="46">
        <v>0.1</v>
      </c>
      <c r="C27" s="44" t="s">
        <v>1</v>
      </c>
      <c r="D27" s="44" t="s">
        <v>38</v>
      </c>
    </row>
    <row r="28" spans="1:4" ht="12.75">
      <c r="A28" s="44" t="s">
        <v>64</v>
      </c>
      <c r="B28" s="45">
        <v>6.5E-05</v>
      </c>
      <c r="C28" s="44" t="s">
        <v>40</v>
      </c>
      <c r="D28" s="44" t="s">
        <v>74</v>
      </c>
    </row>
    <row r="29" spans="1:4" ht="12.75">
      <c r="A29" s="44" t="s">
        <v>71</v>
      </c>
      <c r="B29" s="45">
        <v>0.0001</v>
      </c>
      <c r="C29" s="44" t="s">
        <v>40</v>
      </c>
      <c r="D29" s="44" t="s">
        <v>75</v>
      </c>
    </row>
    <row r="30" spans="1:4" ht="12.75">
      <c r="A30" s="44" t="s">
        <v>43</v>
      </c>
      <c r="B30" s="44">
        <v>2.5</v>
      </c>
      <c r="C30" s="44" t="s">
        <v>1</v>
      </c>
      <c r="D30" s="44" t="s">
        <v>44</v>
      </c>
    </row>
    <row r="31" spans="1:4" ht="12.75">
      <c r="A31" s="44" t="s">
        <v>45</v>
      </c>
      <c r="B31" s="45">
        <v>3600</v>
      </c>
      <c r="C31" s="44" t="s">
        <v>20</v>
      </c>
      <c r="D31" s="44" t="s">
        <v>46</v>
      </c>
    </row>
    <row r="32" spans="1:4" ht="12.75">
      <c r="A32" s="44" t="s">
        <v>54</v>
      </c>
      <c r="B32" s="44">
        <v>1.1</v>
      </c>
      <c r="C32" s="44" t="s">
        <v>1</v>
      </c>
      <c r="D32" s="44" t="s">
        <v>55</v>
      </c>
    </row>
    <row r="33" spans="1:4" ht="12.75">
      <c r="A33" s="44" t="s">
        <v>153</v>
      </c>
      <c r="B33" s="45">
        <v>0.75</v>
      </c>
      <c r="C33" s="44" t="s">
        <v>1</v>
      </c>
      <c r="D33" s="44" t="s">
        <v>28</v>
      </c>
    </row>
    <row r="34" spans="1:4" ht="12.75">
      <c r="A34" s="44" t="s">
        <v>151</v>
      </c>
      <c r="B34" s="46">
        <v>2</v>
      </c>
      <c r="C34" s="44"/>
      <c r="D34" s="44" t="s">
        <v>152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1"/>
  <headerFooter alignWithMargins="0">
    <oddFooter xml:space="preserve">&amp;L&amp;F &amp;C&amp;P of &amp;N&amp;R&amp;A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39" sqref="A1:IV16384"/>
    </sheetView>
  </sheetViews>
  <sheetFormatPr defaultColWidth="9.140625" defaultRowHeight="12.75"/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</sheetData>
  <sheetProtection sheet="1" objects="1" scenarios="1"/>
  <printOptions/>
  <pageMargins left="0.75" right="0.75" top="1" bottom="1" header="0.5" footer="0.5"/>
  <pageSetup horizontalDpi="600" verticalDpi="600" orientation="landscape" r:id="rId2"/>
  <headerFooter alignWithMargins="0">
    <oddFooter>&amp;L&amp;F&amp;C&amp;P of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2:D59"/>
  <sheetViews>
    <sheetView zoomScalePageLayoutView="0" workbookViewId="0" topLeftCell="A1">
      <selection activeCell="C11" sqref="A1:IV16384"/>
    </sheetView>
  </sheetViews>
  <sheetFormatPr defaultColWidth="9.140625" defaultRowHeight="12.75"/>
  <cols>
    <col min="1" max="1" width="18.57421875" style="0" customWidth="1"/>
    <col min="2" max="2" width="26.140625" style="1" customWidth="1"/>
    <col min="3" max="3" width="23.7109375" style="0" customWidth="1"/>
    <col min="4" max="4" width="18.421875" style="0" customWidth="1"/>
    <col min="5" max="5" width="18.421875" style="20" customWidth="1"/>
  </cols>
  <sheetData>
    <row r="2" ht="12.75">
      <c r="A2" t="s">
        <v>52</v>
      </c>
    </row>
    <row r="4" ht="12.75">
      <c r="A4" t="s">
        <v>48</v>
      </c>
    </row>
    <row r="5" spans="1:4" ht="12.75" hidden="1">
      <c r="A5" s="20"/>
      <c r="B5" s="21"/>
      <c r="C5" s="20"/>
      <c r="D5" s="20"/>
    </row>
    <row r="6" spans="1:4" ht="12.75" hidden="1">
      <c r="A6" s="20" t="s">
        <v>2</v>
      </c>
      <c r="B6" s="21">
        <f>Po/η</f>
        <v>537.6344086021505</v>
      </c>
      <c r="C6" s="20" t="s">
        <v>0</v>
      </c>
      <c r="D6" s="20"/>
    </row>
    <row r="8" spans="1:4" ht="15.75">
      <c r="A8" t="s">
        <v>204</v>
      </c>
      <c r="B8" s="1">
        <f>(SQRT(2)*Pin)/Vmin</f>
        <v>9.504123403044995</v>
      </c>
      <c r="C8" t="s">
        <v>3</v>
      </c>
      <c r="D8" t="s">
        <v>7</v>
      </c>
    </row>
    <row r="9" spans="1:4" ht="12.75">
      <c r="A9" t="s">
        <v>203</v>
      </c>
      <c r="B9" s="1">
        <f>I_line_pk*dI_ratio</f>
        <v>1.900824680608999</v>
      </c>
      <c r="C9" t="s">
        <v>3</v>
      </c>
      <c r="D9" t="s">
        <v>6</v>
      </c>
    </row>
    <row r="10" spans="1:4" ht="15.75">
      <c r="A10" t="s">
        <v>205</v>
      </c>
      <c r="B10" s="1">
        <f>I_line_pk+(dI/2)</f>
        <v>10.454535743349494</v>
      </c>
      <c r="C10" t="s">
        <v>3</v>
      </c>
      <c r="D10" t="s">
        <v>29</v>
      </c>
    </row>
    <row r="13" ht="12.75">
      <c r="A13" t="s">
        <v>50</v>
      </c>
    </row>
    <row r="15" spans="1:4" ht="12.75">
      <c r="A15" t="s">
        <v>4</v>
      </c>
      <c r="B15" s="1">
        <f>(Vo-SQRT(2)*Vmin)/Vo</f>
        <v>0.717157287525381</v>
      </c>
      <c r="D15" t="s">
        <v>212</v>
      </c>
    </row>
    <row r="16" ht="12.75">
      <c r="B16" s="3"/>
    </row>
    <row r="17" spans="1:3" ht="12.75">
      <c r="A17" t="s">
        <v>164</v>
      </c>
      <c r="B17" s="4">
        <f>(SQRT(2)*Vmin*D)/(dI*fs)</f>
        <v>0.0004268520175351067</v>
      </c>
      <c r="C17" t="s">
        <v>23</v>
      </c>
    </row>
    <row r="18" spans="1:3" ht="12.75">
      <c r="A18" s="34" t="s">
        <v>166</v>
      </c>
      <c r="B18" s="35">
        <f>4.2*10^-4</f>
        <v>0.00042</v>
      </c>
      <c r="C18" t="s">
        <v>23</v>
      </c>
    </row>
    <row r="19" ht="12.75">
      <c r="B19" s="3"/>
    </row>
    <row r="21" ht="12.75">
      <c r="A21" t="s">
        <v>53</v>
      </c>
    </row>
    <row r="23" spans="1:3" ht="12.75">
      <c r="A23" t="s">
        <v>165</v>
      </c>
      <c r="B23" s="2">
        <f>(2*Po*Thld)/(Vo^2-Vo_min^2)</f>
        <v>0.00028571428571428574</v>
      </c>
      <c r="C23" t="s">
        <v>9</v>
      </c>
    </row>
    <row r="24" spans="1:3" ht="12.75">
      <c r="A24" s="22" t="s">
        <v>167</v>
      </c>
      <c r="B24" s="36">
        <f>0.00033</f>
        <v>0.00033</v>
      </c>
      <c r="C24" t="s">
        <v>9</v>
      </c>
    </row>
    <row r="25" spans="1:2" ht="12.75">
      <c r="A25" s="22"/>
      <c r="B25" s="36"/>
    </row>
    <row r="27" ht="12.75">
      <c r="A27" t="s">
        <v>206</v>
      </c>
    </row>
    <row r="28" ht="12.75"/>
    <row r="29" ht="12.75"/>
    <row r="30" ht="12.75"/>
    <row r="31" ht="12.75"/>
    <row r="32" ht="12.75"/>
    <row r="33" ht="12.75"/>
    <row r="34" ht="12.75"/>
    <row r="35" ht="12.75"/>
    <row r="37" spans="1:4" ht="15.75">
      <c r="A37" s="13"/>
      <c r="B37" s="5"/>
      <c r="C37" s="5"/>
      <c r="D37" s="5"/>
    </row>
    <row r="38" spans="1:4" ht="15.75">
      <c r="A38" s="13" t="s">
        <v>95</v>
      </c>
      <c r="B38" s="5"/>
      <c r="C38" s="5"/>
      <c r="D38" s="5"/>
    </row>
    <row r="39" spans="1:4" ht="16.5" thickBot="1">
      <c r="A39" s="13"/>
      <c r="B39" s="5"/>
      <c r="C39" s="5"/>
      <c r="D39" s="5"/>
    </row>
    <row r="40" spans="1:4" ht="16.5" thickBot="1">
      <c r="A40" s="14" t="s">
        <v>96</v>
      </c>
      <c r="B40" s="15" t="s">
        <v>97</v>
      </c>
      <c r="C40" s="15" t="s">
        <v>98</v>
      </c>
      <c r="D40" s="5"/>
    </row>
    <row r="41" spans="1:4" ht="49.5" customHeight="1" thickBot="1">
      <c r="A41" s="16" t="s">
        <v>99</v>
      </c>
      <c r="B41" s="17" t="s">
        <v>100</v>
      </c>
      <c r="C41" s="18" t="s">
        <v>101</v>
      </c>
      <c r="D41" s="5"/>
    </row>
    <row r="42" spans="1:4" ht="39.75" customHeight="1" thickBot="1">
      <c r="A42" s="16" t="s">
        <v>102</v>
      </c>
      <c r="B42" s="17" t="s">
        <v>100</v>
      </c>
      <c r="C42" s="18" t="s">
        <v>103</v>
      </c>
      <c r="D42" s="5"/>
    </row>
    <row r="43" spans="1:4" ht="46.5" customHeight="1" thickBot="1">
      <c r="A43" s="16" t="s">
        <v>104</v>
      </c>
      <c r="B43" s="17" t="s">
        <v>100</v>
      </c>
      <c r="C43" s="18" t="s">
        <v>105</v>
      </c>
      <c r="D43" s="5"/>
    </row>
    <row r="44" spans="1:4" ht="15.75">
      <c r="A44" s="13"/>
      <c r="B44" s="5"/>
      <c r="C44" s="5"/>
      <c r="D44" s="5"/>
    </row>
    <row r="45" spans="1:4" ht="15.75">
      <c r="A45" s="13" t="s">
        <v>106</v>
      </c>
      <c r="B45" s="5"/>
      <c r="C45" s="5"/>
      <c r="D45" s="5"/>
    </row>
    <row r="46" spans="1:4" ht="16.5" thickBot="1">
      <c r="A46" s="13"/>
      <c r="B46" s="5"/>
      <c r="C46" s="5"/>
      <c r="D46" s="5"/>
    </row>
    <row r="47" spans="1:4" ht="38.25" customHeight="1" thickBot="1">
      <c r="A47" s="14" t="s">
        <v>96</v>
      </c>
      <c r="B47" s="15" t="s">
        <v>107</v>
      </c>
      <c r="C47" s="5"/>
      <c r="D47" s="5"/>
    </row>
    <row r="48" spans="1:4" ht="16.5" thickBot="1">
      <c r="A48" s="16" t="s">
        <v>99</v>
      </c>
      <c r="B48" s="18" t="s">
        <v>108</v>
      </c>
      <c r="C48" s="5"/>
      <c r="D48" s="5"/>
    </row>
    <row r="49" spans="1:4" ht="16.5" thickBot="1">
      <c r="A49" s="16" t="s">
        <v>102</v>
      </c>
      <c r="B49" s="18" t="s">
        <v>109</v>
      </c>
      <c r="C49" s="5"/>
      <c r="D49" s="5"/>
    </row>
    <row r="50" spans="1:4" ht="52.5" customHeight="1" thickBot="1">
      <c r="A50" s="16" t="s">
        <v>104</v>
      </c>
      <c r="B50" s="18" t="s">
        <v>110</v>
      </c>
      <c r="C50" s="5"/>
      <c r="D50" s="5"/>
    </row>
    <row r="51" spans="1:4" ht="15.75">
      <c r="A51" s="13"/>
      <c r="B51" s="5"/>
      <c r="C51" s="5"/>
      <c r="D51" s="5"/>
    </row>
    <row r="52" spans="1:4" ht="15.75">
      <c r="A52" s="13" t="s">
        <v>111</v>
      </c>
      <c r="B52" s="5"/>
      <c r="C52" s="5"/>
      <c r="D52" s="5"/>
    </row>
    <row r="53" spans="1:4" ht="16.5" thickBot="1">
      <c r="A53" s="13"/>
      <c r="B53" s="5"/>
      <c r="C53" s="5"/>
      <c r="D53" s="5"/>
    </row>
    <row r="54" spans="1:4" ht="16.5" thickBot="1">
      <c r="A54" s="14" t="s">
        <v>96</v>
      </c>
      <c r="B54" s="15" t="s">
        <v>98</v>
      </c>
      <c r="C54" s="5"/>
      <c r="D54" s="5"/>
    </row>
    <row r="55" spans="1:4" ht="16.5" thickBot="1">
      <c r="A55" s="16" t="s">
        <v>99</v>
      </c>
      <c r="B55" s="18" t="s">
        <v>112</v>
      </c>
      <c r="C55" s="5"/>
      <c r="D55" s="5"/>
    </row>
    <row r="56" spans="1:4" ht="16.5" thickBot="1">
      <c r="A56" s="16" t="s">
        <v>102</v>
      </c>
      <c r="B56" s="18" t="s">
        <v>113</v>
      </c>
      <c r="C56" s="5"/>
      <c r="D56" s="5"/>
    </row>
    <row r="57" spans="1:4" ht="27.75" customHeight="1" thickBot="1">
      <c r="A57" s="16" t="s">
        <v>104</v>
      </c>
      <c r="B57" s="18" t="s">
        <v>114</v>
      </c>
      <c r="C57" s="5"/>
      <c r="D57" s="5"/>
    </row>
    <row r="58" spans="1:4" ht="15.75">
      <c r="A58" s="13"/>
      <c r="B58" s="5"/>
      <c r="C58" s="5"/>
      <c r="D58" s="5"/>
    </row>
    <row r="59" spans="1:4" ht="12.75">
      <c r="A59" s="5"/>
      <c r="B59" s="6"/>
      <c r="C59" s="5"/>
      <c r="D59" s="5"/>
    </row>
  </sheetData>
  <sheetProtection sheet="1" objects="1" scenarios="1"/>
  <printOptions/>
  <pageMargins left="0.75" right="0.75" top="1" bottom="1" header="0.5" footer="0.5"/>
  <pageSetup horizontalDpi="600" verticalDpi="600" orientation="landscape" r:id="rId3"/>
  <headerFooter alignWithMargins="0">
    <oddFooter>&amp;L&amp;F&amp;C&amp;P of &amp;N&amp;R&amp;A</oddFooter>
  </headerFooter>
  <rowBreaks count="2" manualBreakCount="2">
    <brk id="24" max="255" man="1"/>
    <brk id="43" max="255" man="1"/>
  </rowBreaks>
  <legacyDrawing r:id="rId2"/>
  <oleObjects>
    <oleObject progId="Word.Document.8" shapeId="410616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">
      <selection activeCell="J152" sqref="J152"/>
    </sheetView>
  </sheetViews>
  <sheetFormatPr defaultColWidth="9.140625" defaultRowHeight="12.75"/>
  <cols>
    <col min="1" max="1" width="18.8515625" style="8" customWidth="1"/>
    <col min="2" max="2" width="15.421875" style="8" customWidth="1"/>
    <col min="3" max="3" width="4.57421875" style="8" bestFit="1" customWidth="1"/>
    <col min="4" max="4" width="10.7109375" style="8" customWidth="1"/>
    <col min="5" max="5" width="8.7109375" style="8" customWidth="1"/>
    <col min="6" max="6" width="11.140625" style="8" bestFit="1" customWidth="1"/>
    <col min="7" max="7" width="10.8515625" style="8" bestFit="1" customWidth="1"/>
    <col min="8" max="8" width="9.28125" style="8" bestFit="1" customWidth="1"/>
    <col min="9" max="9" width="8.7109375" style="8" customWidth="1"/>
    <col min="10" max="10" width="8.7109375" style="7" customWidth="1"/>
  </cols>
  <sheetData>
    <row r="1" ht="12.75">
      <c r="A1" s="8" t="s">
        <v>18</v>
      </c>
    </row>
    <row r="3" spans="1:3" ht="12.75">
      <c r="A3" s="22" t="s">
        <v>168</v>
      </c>
      <c r="B3" s="23">
        <v>4.7E-10</v>
      </c>
      <c r="C3" s="8" t="s">
        <v>9</v>
      </c>
    </row>
    <row r="4" spans="1:3" ht="12.75">
      <c r="A4" s="8" t="s">
        <v>169</v>
      </c>
      <c r="B4" s="8">
        <f>1/(0.51*Ct*fs)</f>
        <v>41718.815185648724</v>
      </c>
      <c r="C4" s="8" t="s">
        <v>20</v>
      </c>
    </row>
    <row r="5" spans="1:4" ht="12.75">
      <c r="A5" s="22" t="s">
        <v>170</v>
      </c>
      <c r="B5" s="47">
        <f>41.2*10^3</f>
        <v>41200</v>
      </c>
      <c r="C5" s="8" t="s">
        <v>20</v>
      </c>
      <c r="D5"/>
    </row>
    <row r="6" ht="12.75">
      <c r="E6" s="8" t="s">
        <v>19</v>
      </c>
    </row>
    <row r="7" spans="1:9" ht="12.75">
      <c r="A7" s="8" t="s">
        <v>24</v>
      </c>
      <c r="E7" s="10"/>
      <c r="F7" s="10"/>
      <c r="G7" s="10"/>
      <c r="H7" s="10"/>
      <c r="I7" s="10"/>
    </row>
    <row r="8" spans="5:9" ht="12.75">
      <c r="E8" s="10"/>
      <c r="F8" s="10"/>
      <c r="G8" s="10"/>
      <c r="H8" s="10"/>
      <c r="I8" s="10"/>
    </row>
    <row r="9" spans="1:4" ht="15.75">
      <c r="A9" s="8" t="s">
        <v>213</v>
      </c>
      <c r="B9" s="11">
        <v>15</v>
      </c>
      <c r="C9" s="8" t="s">
        <v>5</v>
      </c>
      <c r="D9" s="8" t="s">
        <v>198</v>
      </c>
    </row>
    <row r="10" spans="1:4" ht="15.75">
      <c r="A10" s="8" t="s">
        <v>214</v>
      </c>
      <c r="B10" s="11">
        <v>23</v>
      </c>
      <c r="C10" s="8" t="s">
        <v>5</v>
      </c>
      <c r="D10" s="8" t="s">
        <v>199</v>
      </c>
    </row>
    <row r="11" spans="1:3" ht="12.75">
      <c r="A11" s="22" t="s">
        <v>171</v>
      </c>
      <c r="B11" s="22">
        <f>906000</f>
        <v>906000</v>
      </c>
      <c r="C11" s="8" t="s">
        <v>20</v>
      </c>
    </row>
    <row r="12" spans="1:3" ht="12.75">
      <c r="A12" s="22" t="s">
        <v>172</v>
      </c>
      <c r="B12" s="24">
        <v>100000</v>
      </c>
      <c r="C12" s="8" t="s">
        <v>20</v>
      </c>
    </row>
    <row r="13" spans="1:2" ht="12.75" hidden="1">
      <c r="A13" s="8" t="s">
        <v>144</v>
      </c>
      <c r="B13" s="9" t="e">
        <f>Vgm_in_max/R_4</f>
        <v>#NAME?</v>
      </c>
    </row>
    <row r="14" spans="1:4" ht="15.75">
      <c r="A14" s="8" t="s">
        <v>215</v>
      </c>
      <c r="B14" s="11">
        <f>(2/PI())*SQRT(2)*Vmin</f>
        <v>72.02530529256849</v>
      </c>
      <c r="C14" s="8" t="s">
        <v>1</v>
      </c>
      <c r="D14"/>
    </row>
    <row r="15" spans="1:4" ht="15.75">
      <c r="A15" s="8" t="s">
        <v>216</v>
      </c>
      <c r="B15" s="9">
        <f>(Vav-Vgm_in_max)/(R_2_S+R_3_S)</f>
        <v>7.050229154330864E-05</v>
      </c>
      <c r="C15" s="8" t="s">
        <v>3</v>
      </c>
      <c r="D15"/>
    </row>
    <row r="16" spans="1:3" ht="12.75">
      <c r="A16" s="8" t="s">
        <v>150</v>
      </c>
      <c r="B16" s="11">
        <f>Vgm_in_max/If</f>
        <v>15602.329738804083</v>
      </c>
      <c r="C16" s="8" t="s">
        <v>20</v>
      </c>
    </row>
    <row r="17" spans="1:6" ht="12.75">
      <c r="A17" s="22" t="s">
        <v>173</v>
      </c>
      <c r="B17" s="48">
        <v>15800</v>
      </c>
      <c r="C17" s="8" t="s">
        <v>20</v>
      </c>
      <c r="F17"/>
    </row>
    <row r="18" ht="12.75">
      <c r="F18" s="22"/>
    </row>
    <row r="19" spans="1:7" ht="12.75">
      <c r="A19" s="8" t="s">
        <v>174</v>
      </c>
      <c r="B19" s="8">
        <f>(R_2_S+R_3_S+R_4_S)/(2*f_1*PI()*R_2_S*(R_3_S+R_4_S))</f>
        <v>1.0333751504477835E-07</v>
      </c>
      <c r="C19" s="8" t="s">
        <v>9</v>
      </c>
      <c r="F19"/>
      <c r="G19"/>
    </row>
    <row r="20" spans="1:3" ht="12.75">
      <c r="A20" s="22" t="s">
        <v>175</v>
      </c>
      <c r="B20" s="47">
        <f>1*10^-7</f>
        <v>1E-07</v>
      </c>
      <c r="C20" s="8" t="s">
        <v>9</v>
      </c>
    </row>
    <row r="21" spans="1:10" ht="12.75">
      <c r="A21"/>
      <c r="B21"/>
      <c r="C21"/>
      <c r="D21"/>
      <c r="E21"/>
      <c r="F21"/>
      <c r="G21"/>
      <c r="H21"/>
      <c r="I21"/>
      <c r="J21"/>
    </row>
    <row r="23" spans="1:3" ht="12.75">
      <c r="A23" s="8" t="s">
        <v>176</v>
      </c>
      <c r="B23" s="9">
        <f>(1+(R_4_S*(R_2_S+R_3_S+R_4_S))/(R_2_S*(R_3_S+R_4_S)))/(2*PI()*f_2*R_4_S)</f>
        <v>5.053547995528559E-07</v>
      </c>
      <c r="C23" s="8" t="s">
        <v>9</v>
      </c>
    </row>
    <row r="24" spans="1:3" ht="12.75">
      <c r="A24" s="22" t="s">
        <v>177</v>
      </c>
      <c r="B24" s="23">
        <f>4.7*10^-7</f>
        <v>4.7E-07</v>
      </c>
      <c r="C24" s="8" t="s">
        <v>9</v>
      </c>
    </row>
    <row r="25" ht="12.75">
      <c r="B25" s="12"/>
    </row>
    <row r="27" ht="12.75">
      <c r="A27" s="8" t="s">
        <v>25</v>
      </c>
    </row>
    <row r="28" ht="12.75">
      <c r="F28"/>
    </row>
    <row r="29" spans="1:3" ht="12.75">
      <c r="A29" s="8" t="s">
        <v>179</v>
      </c>
      <c r="B29" s="8">
        <f>(SQRT(2)*Vmin*G*Rmo)/(Vgm_out_max)</f>
        <v>1086116.0159025372</v>
      </c>
      <c r="C29" s="8" t="s">
        <v>20</v>
      </c>
    </row>
    <row r="30" spans="1:3" ht="12.75">
      <c r="A30" s="22" t="s">
        <v>178</v>
      </c>
      <c r="B30" s="49">
        <v>906000</v>
      </c>
      <c r="C30" s="8" t="s">
        <v>20</v>
      </c>
    </row>
    <row r="32" ht="12.75">
      <c r="A32" s="8" t="s">
        <v>163</v>
      </c>
    </row>
    <row r="34" spans="1:6" ht="12.75">
      <c r="A34" s="8" t="s">
        <v>180</v>
      </c>
      <c r="B34" s="8">
        <f>Vgm_max/ILmax_peak</f>
        <v>0.07173919707310791</v>
      </c>
      <c r="F34"/>
    </row>
    <row r="35" spans="1:6" ht="12.75">
      <c r="A35" s="22" t="s">
        <v>181</v>
      </c>
      <c r="B35" s="50">
        <v>0.05</v>
      </c>
      <c r="C35" s="8" t="s">
        <v>20</v>
      </c>
      <c r="D35"/>
      <c r="E35"/>
      <c r="F35"/>
    </row>
    <row r="36" spans="1:6" ht="12.75" hidden="1">
      <c r="A36" s="22" t="s">
        <v>194</v>
      </c>
      <c r="B36" s="31">
        <f>(Po/η)/Vmin</f>
        <v>6.720430107526882</v>
      </c>
      <c r="C36" s="8" t="s">
        <v>3</v>
      </c>
      <c r="D36" t="s">
        <v>195</v>
      </c>
      <c r="E36"/>
      <c r="F36"/>
    </row>
    <row r="37" spans="1:6" ht="12.75">
      <c r="A37" s="22" t="s">
        <v>196</v>
      </c>
      <c r="B37" s="31">
        <f>(Irms^2)*R_5_S</f>
        <v>2.2582090415076888</v>
      </c>
      <c r="C37" s="8" t="s">
        <v>0</v>
      </c>
      <c r="D37" t="s">
        <v>197</v>
      </c>
      <c r="E37"/>
      <c r="F37"/>
    </row>
    <row r="38" spans="2:6" ht="12.75">
      <c r="B38" s="29"/>
      <c r="D38"/>
      <c r="E38"/>
      <c r="F38"/>
    </row>
    <row r="39" spans="1:6" ht="12.75">
      <c r="A39" s="30" t="s">
        <v>182</v>
      </c>
      <c r="B39" s="31">
        <v>100</v>
      </c>
      <c r="C39" s="8" t="s">
        <v>20</v>
      </c>
      <c r="D39"/>
      <c r="E39"/>
      <c r="F39"/>
    </row>
    <row r="40" spans="1:6" ht="12.75">
      <c r="A40" s="30" t="s">
        <v>183</v>
      </c>
      <c r="B40" s="32">
        <v>1E-07</v>
      </c>
      <c r="C40" s="8" t="s">
        <v>9</v>
      </c>
      <c r="D40"/>
      <c r="E40"/>
      <c r="F40"/>
    </row>
    <row r="41" spans="1:6" ht="12.75">
      <c r="A41" s="25" t="s">
        <v>156</v>
      </c>
      <c r="B41" s="29">
        <f>1/(2*PI()*R_17_S*C_19_S)</f>
        <v>15915.494309189537</v>
      </c>
      <c r="C41" s="25" t="s">
        <v>5</v>
      </c>
      <c r="D41"/>
      <c r="E41"/>
      <c r="F41"/>
    </row>
    <row r="43" ht="12.75">
      <c r="A43" s="8" t="s">
        <v>61</v>
      </c>
    </row>
    <row r="45" spans="1:4" ht="12.75">
      <c r="A45" s="22" t="s">
        <v>185</v>
      </c>
      <c r="B45" s="23">
        <v>2370</v>
      </c>
      <c r="C45" s="8" t="s">
        <v>20</v>
      </c>
      <c r="D45" s="8" t="s">
        <v>56</v>
      </c>
    </row>
    <row r="46" spans="1:5" ht="12.75">
      <c r="A46" s="8" t="s">
        <v>157</v>
      </c>
      <c r="B46" s="8">
        <f>(Vo-Vref_ea)/(Vref_ea/R_8_S)</f>
        <v>376830.00000000006</v>
      </c>
      <c r="C46" s="8" t="s">
        <v>20</v>
      </c>
      <c r="D46"/>
      <c r="E46"/>
    </row>
    <row r="47" spans="1:10" s="22" customFormat="1" ht="12.75">
      <c r="A47" s="22" t="s">
        <v>184</v>
      </c>
      <c r="B47" s="51">
        <f>3*127000</f>
        <v>381000</v>
      </c>
      <c r="C47" s="22" t="s">
        <v>20</v>
      </c>
      <c r="F47"/>
      <c r="J47" s="33"/>
    </row>
    <row r="48" spans="1:4" ht="12.75" hidden="1">
      <c r="A48" s="8" t="s">
        <v>63</v>
      </c>
      <c r="B48" s="9" t="e">
        <f>R_8/(R_7+R_8)</f>
        <v>#NAME?</v>
      </c>
      <c r="D48" s="8" t="s">
        <v>39</v>
      </c>
    </row>
    <row r="49" ht="12.75">
      <c r="A49" s="10"/>
    </row>
    <row r="51" ht="12.75">
      <c r="A51" s="8" t="s">
        <v>62</v>
      </c>
    </row>
    <row r="52" spans="1:10" ht="12.75">
      <c r="A52" s="37"/>
      <c r="B52" s="37"/>
      <c r="C52" s="37"/>
      <c r="D52" s="37"/>
      <c r="E52" s="37"/>
      <c r="F52" s="37"/>
      <c r="G52" s="37"/>
      <c r="H52" s="37"/>
      <c r="I52" s="37"/>
      <c r="J52" s="38"/>
    </row>
    <row r="53" spans="1:10" ht="12.75">
      <c r="A53" s="37"/>
      <c r="B53" s="37"/>
      <c r="C53" s="37"/>
      <c r="D53" s="37"/>
      <c r="E53" s="37"/>
      <c r="F53" s="37"/>
      <c r="G53" s="37"/>
      <c r="H53" s="37"/>
      <c r="I53" s="37"/>
      <c r="J53" s="38"/>
    </row>
    <row r="54" spans="1:10" ht="12.75">
      <c r="A54" s="37"/>
      <c r="B54" s="37"/>
      <c r="C54" s="37"/>
      <c r="D54" s="37"/>
      <c r="E54" s="37"/>
      <c r="F54" s="37"/>
      <c r="G54" s="37"/>
      <c r="H54" s="37"/>
      <c r="I54" s="37"/>
      <c r="J54" s="38"/>
    </row>
    <row r="55" spans="1:10" ht="12.75">
      <c r="A55" s="37"/>
      <c r="B55" s="37"/>
      <c r="C55" s="37"/>
      <c r="D55" s="37"/>
      <c r="E55" s="37"/>
      <c r="F55" s="37"/>
      <c r="G55" s="37"/>
      <c r="H55" s="37"/>
      <c r="I55" s="37"/>
      <c r="J55" s="38"/>
    </row>
    <row r="56" spans="1:10" ht="12.75">
      <c r="A56" s="37"/>
      <c r="B56" s="37"/>
      <c r="C56" s="37"/>
      <c r="D56" s="37"/>
      <c r="E56" s="37"/>
      <c r="F56" s="37"/>
      <c r="G56" s="37"/>
      <c r="H56" s="37"/>
      <c r="I56" s="37"/>
      <c r="J56" s="38"/>
    </row>
    <row r="57" spans="1:10" ht="12.75">
      <c r="A57" s="37"/>
      <c r="B57" s="37"/>
      <c r="C57" s="37"/>
      <c r="D57" s="37"/>
      <c r="E57" s="37"/>
      <c r="F57" s="37"/>
      <c r="G57" s="37"/>
      <c r="H57" s="37"/>
      <c r="I57" s="37"/>
      <c r="J57" s="38"/>
    </row>
    <row r="58" spans="1:10" ht="12.75">
      <c r="A58" s="37"/>
      <c r="B58" s="37"/>
      <c r="C58" s="37"/>
      <c r="D58" s="37"/>
      <c r="E58" s="37"/>
      <c r="F58" s="37"/>
      <c r="G58" s="37"/>
      <c r="H58" s="37"/>
      <c r="I58" s="37"/>
      <c r="J58" s="38"/>
    </row>
    <row r="59" spans="1:10" ht="12.75">
      <c r="A59" s="37"/>
      <c r="B59" s="37"/>
      <c r="C59" s="37"/>
      <c r="D59" s="37"/>
      <c r="E59" s="37"/>
      <c r="F59" s="37"/>
      <c r="G59" s="37"/>
      <c r="H59" s="37"/>
      <c r="I59" s="37"/>
      <c r="J59" s="38"/>
    </row>
    <row r="60" spans="1:10" ht="12.75">
      <c r="A60" s="37"/>
      <c r="B60" s="37"/>
      <c r="C60" s="37"/>
      <c r="D60" s="37"/>
      <c r="E60" s="37"/>
      <c r="F60" s="37"/>
      <c r="G60" s="37"/>
      <c r="H60" s="37"/>
      <c r="I60" s="37"/>
      <c r="J60" s="38"/>
    </row>
    <row r="61" spans="1:10" ht="12.75">
      <c r="A61" s="37"/>
      <c r="B61" s="37"/>
      <c r="C61" s="37"/>
      <c r="D61" s="37"/>
      <c r="E61" s="37"/>
      <c r="F61" s="37"/>
      <c r="G61" s="37"/>
      <c r="H61" s="37"/>
      <c r="I61" s="37"/>
      <c r="J61" s="38"/>
    </row>
    <row r="62" spans="1:10" ht="12.75">
      <c r="A62" s="37"/>
      <c r="B62" s="37"/>
      <c r="C62" s="37"/>
      <c r="D62" s="37"/>
      <c r="E62" s="37"/>
      <c r="F62" s="37"/>
      <c r="G62" s="37"/>
      <c r="H62" s="37"/>
      <c r="I62" s="37"/>
      <c r="J62" s="38"/>
    </row>
    <row r="63" spans="1:10" ht="12.75">
      <c r="A63" s="37"/>
      <c r="B63" s="37"/>
      <c r="C63" s="37"/>
      <c r="D63" s="37"/>
      <c r="E63" s="37"/>
      <c r="F63" s="37"/>
      <c r="G63" s="37"/>
      <c r="H63" s="37"/>
      <c r="I63" s="37"/>
      <c r="J63" s="38"/>
    </row>
    <row r="64" spans="1:10" ht="12.75">
      <c r="A64" s="37"/>
      <c r="B64" s="37"/>
      <c r="C64" s="37"/>
      <c r="D64" s="37"/>
      <c r="E64" s="37"/>
      <c r="F64" s="37"/>
      <c r="G64" s="37"/>
      <c r="H64" s="37"/>
      <c r="I64" s="37"/>
      <c r="J64" s="38"/>
    </row>
    <row r="65" spans="1:10" ht="12.75">
      <c r="A65" s="37"/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12.75">
      <c r="A66" s="37"/>
      <c r="B66" s="37"/>
      <c r="C66" s="37"/>
      <c r="D66" s="37"/>
      <c r="E66" s="37"/>
      <c r="F66" s="37"/>
      <c r="G66" s="37"/>
      <c r="H66" s="37"/>
      <c r="I66" s="37"/>
      <c r="J66" s="38"/>
    </row>
    <row r="67" spans="1:10" ht="12.75">
      <c r="A67" s="37"/>
      <c r="B67" s="37"/>
      <c r="C67" s="37"/>
      <c r="D67" s="37"/>
      <c r="E67" s="37"/>
      <c r="F67" s="37"/>
      <c r="G67" s="37"/>
      <c r="H67" s="37"/>
      <c r="I67" s="37"/>
      <c r="J67" s="38"/>
    </row>
    <row r="68" spans="1:10" s="20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39"/>
    </row>
    <row r="69" spans="1:10" s="20" customFormat="1" ht="12.75">
      <c r="A69" s="10" t="s">
        <v>158</v>
      </c>
      <c r="B69" s="40">
        <v>30</v>
      </c>
      <c r="C69" s="10" t="s">
        <v>5</v>
      </c>
      <c r="D69" s="20" t="s">
        <v>231</v>
      </c>
      <c r="H69" s="10"/>
      <c r="I69" s="10"/>
      <c r="J69" s="39"/>
    </row>
    <row r="70" spans="1:7" ht="12.75">
      <c r="A70" s="8" t="s">
        <v>217</v>
      </c>
      <c r="B70" s="9">
        <v>3</v>
      </c>
      <c r="C70" s="8" t="s">
        <v>5</v>
      </c>
      <c r="D70" t="s">
        <v>232</v>
      </c>
      <c r="E70"/>
      <c r="F70"/>
      <c r="G70"/>
    </row>
    <row r="71" spans="4:7" ht="12.75">
      <c r="D71"/>
      <c r="E71"/>
      <c r="F71"/>
      <c r="G71"/>
    </row>
    <row r="72" spans="2:7" ht="12.75">
      <c r="B72" s="9"/>
      <c r="C72"/>
      <c r="D72"/>
      <c r="E72"/>
      <c r="F72"/>
      <c r="G72"/>
    </row>
    <row r="73" spans="1:7" ht="15.75">
      <c r="A73" s="8" t="s">
        <v>219</v>
      </c>
      <c r="B73" s="8">
        <f>Pin/Vo</f>
        <v>1.3440860215053763</v>
      </c>
      <c r="C73" s="8" t="s">
        <v>3</v>
      </c>
      <c r="D73"/>
      <c r="E73"/>
      <c r="F73"/>
      <c r="G73"/>
    </row>
    <row r="74" spans="1:7" ht="15.75">
      <c r="A74" s="8" t="s">
        <v>220</v>
      </c>
      <c r="B74" s="8">
        <f>1/(2*PI()*2*f_ln*C_5_S)</f>
        <v>4.019064219492307</v>
      </c>
      <c r="C74" s="8" t="s">
        <v>20</v>
      </c>
      <c r="D74"/>
      <c r="E74"/>
      <c r="F74"/>
      <c r="G74"/>
    </row>
    <row r="75" spans="1:7" ht="15.75">
      <c r="A75" s="8" t="s">
        <v>218</v>
      </c>
      <c r="B75" s="8">
        <f>I_in_av*Zo_sh</f>
        <v>5.4019680369520255</v>
      </c>
      <c r="C75" s="8" t="s">
        <v>1</v>
      </c>
      <c r="D75"/>
      <c r="E75"/>
      <c r="F75"/>
      <c r="G75"/>
    </row>
    <row r="76" spans="1:7" ht="15.75">
      <c r="A76" s="8" t="s">
        <v>221</v>
      </c>
      <c r="B76" s="8">
        <f>Vea_ovh-Vea_ovl</f>
        <v>4.9</v>
      </c>
      <c r="C76" s="8" t="s">
        <v>1</v>
      </c>
      <c r="D76"/>
      <c r="E76"/>
      <c r="F76"/>
      <c r="G76"/>
    </row>
    <row r="77" spans="1:9" ht="15.75">
      <c r="A77" s="8" t="s">
        <v>222</v>
      </c>
      <c r="B77" s="8">
        <f>(dVea_ov*(THD/100))/Vr_sh</f>
        <v>0.045353841104590724</v>
      </c>
      <c r="D77"/>
      <c r="E77"/>
      <c r="F77"/>
      <c r="G77"/>
      <c r="I77"/>
    </row>
    <row r="78" spans="1:7" ht="15.75">
      <c r="A78" s="8" t="s">
        <v>223</v>
      </c>
      <c r="B78" s="8">
        <f>R_8_S/(R_7_S+R_8_S)</f>
        <v>0.00618201737225135</v>
      </c>
      <c r="D78"/>
      <c r="E78"/>
      <c r="F78"/>
      <c r="G78"/>
    </row>
    <row r="79" spans="1:7" ht="15.75">
      <c r="A79" s="8" t="s">
        <v>224</v>
      </c>
      <c r="B79" s="8">
        <f>Gvd_ea/Gvd</f>
        <v>7.336414373108416</v>
      </c>
      <c r="D79"/>
      <c r="E79"/>
      <c r="F79"/>
      <c r="G79"/>
    </row>
    <row r="80" spans="1:7" ht="15.75">
      <c r="A80" s="8" t="s">
        <v>225</v>
      </c>
      <c r="B80" s="8">
        <f>Gea_sh/g_ea</f>
        <v>112867.91343243717</v>
      </c>
      <c r="C80" s="8" t="s">
        <v>20</v>
      </c>
      <c r="D80"/>
      <c r="E80"/>
      <c r="F80"/>
      <c r="G80"/>
    </row>
    <row r="81" spans="4:7" ht="12.75">
      <c r="D81"/>
      <c r="E81"/>
      <c r="F81"/>
      <c r="G81"/>
    </row>
    <row r="82" spans="1:7" ht="12.75">
      <c r="A82" s="8" t="s">
        <v>186</v>
      </c>
      <c r="B82" s="8">
        <f>1/(2*PI()*120*Za)</f>
        <v>1.1750825829046448E-08</v>
      </c>
      <c r="C82" s="8" t="s">
        <v>9</v>
      </c>
      <c r="D82"/>
      <c r="E82"/>
      <c r="F82"/>
      <c r="G82"/>
    </row>
    <row r="83" spans="1:7" ht="12.75">
      <c r="A83" s="22" t="s">
        <v>187</v>
      </c>
      <c r="B83" s="47">
        <v>1E-08</v>
      </c>
      <c r="C83" s="8" t="s">
        <v>9</v>
      </c>
      <c r="D83"/>
      <c r="E83"/>
      <c r="F83"/>
      <c r="G83"/>
    </row>
    <row r="84" spans="1:7" ht="12.75">
      <c r="A84" s="22"/>
      <c r="B84" s="27"/>
      <c r="D84"/>
      <c r="E84"/>
      <c r="F84"/>
      <c r="G84"/>
    </row>
    <row r="85" spans="1:10" s="8" customFormat="1" ht="15.75">
      <c r="A85" s="8" t="s">
        <v>226</v>
      </c>
      <c r="B85" s="26">
        <f>(I_in_av*(1/(2*PI()*fc_vl*C_5_S)))/dVea_ov</f>
        <v>4.409769826083286</v>
      </c>
      <c r="D85"/>
      <c r="E85"/>
      <c r="F85"/>
      <c r="G85"/>
      <c r="J85" s="7"/>
    </row>
    <row r="86" spans="1:10" s="8" customFormat="1" ht="15.75">
      <c r="A86" s="8" t="s">
        <v>227</v>
      </c>
      <c r="B86" s="26">
        <f>20*LOG(Gbst_fc,10)</f>
        <v>12.888318429398852</v>
      </c>
      <c r="J86" s="7"/>
    </row>
    <row r="87" spans="1:10" s="8" customFormat="1" ht="15.75">
      <c r="A87" s="25" t="s">
        <v>228</v>
      </c>
      <c r="B87" s="26">
        <f>20*LOG(Gvd,10)</f>
        <v>-44.17739557697062</v>
      </c>
      <c r="J87" s="7"/>
    </row>
    <row r="88" spans="1:10" s="8" customFormat="1" ht="15.75">
      <c r="A88" s="25" t="s">
        <v>229</v>
      </c>
      <c r="B88" s="26">
        <f>-(Gbst_lg+Gdiv_lg)</f>
        <v>31.289077147571767</v>
      </c>
      <c r="J88" s="7"/>
    </row>
    <row r="89" spans="1:10" s="8" customFormat="1" ht="15.75">
      <c r="A89" s="25" t="s">
        <v>230</v>
      </c>
      <c r="B89" s="26">
        <f>10^(Gea_fc_lg/20)</f>
        <v>36.6820718655421</v>
      </c>
      <c r="J89" s="7"/>
    </row>
    <row r="90" spans="1:10" ht="12.75" hidden="1">
      <c r="A90" t="s">
        <v>115</v>
      </c>
      <c r="B90" s="2" t="e">
        <f>(I_in_av*(1/(2*PI()*fc*C_5)))/(dVea_ov)</f>
        <v>#NAME?</v>
      </c>
      <c r="C90"/>
      <c r="D90" t="s">
        <v>116</v>
      </c>
      <c r="E90"/>
      <c r="F90"/>
      <c r="G90"/>
      <c r="H90"/>
      <c r="I90"/>
      <c r="J90"/>
    </row>
    <row r="91" spans="1:10" ht="12.75" hidden="1">
      <c r="A91" t="s">
        <v>121</v>
      </c>
      <c r="B91" s="2">
        <f>20*LOG(Gbst_fc)</f>
        <v>12.888318429398854</v>
      </c>
      <c r="C91" t="s">
        <v>120</v>
      </c>
      <c r="D91" t="s">
        <v>117</v>
      </c>
      <c r="E91"/>
      <c r="F91"/>
      <c r="G91"/>
      <c r="H91"/>
      <c r="I91"/>
      <c r="J91"/>
    </row>
    <row r="92" spans="1:10" ht="12.75" hidden="1">
      <c r="A92" t="s">
        <v>122</v>
      </c>
      <c r="B92">
        <f>20*LOG(Gvd)</f>
        <v>-44.17739557697062</v>
      </c>
      <c r="C92" t="s">
        <v>120</v>
      </c>
      <c r="D92" t="s">
        <v>123</v>
      </c>
      <c r="E92"/>
      <c r="F92"/>
      <c r="G92"/>
      <c r="H92"/>
      <c r="I92"/>
      <c r="J92"/>
    </row>
    <row r="93" spans="1:10" ht="12.75" hidden="1">
      <c r="A93" t="s">
        <v>119</v>
      </c>
      <c r="B93">
        <f>-(Gbst_lg+Gdiv_lg)</f>
        <v>31.289077147571767</v>
      </c>
      <c r="C93" t="s">
        <v>120</v>
      </c>
      <c r="D93" t="s">
        <v>118</v>
      </c>
      <c r="E93"/>
      <c r="F93"/>
      <c r="G93"/>
      <c r="H93"/>
      <c r="I93"/>
      <c r="J93"/>
    </row>
    <row r="94" spans="1:4" ht="12.75" hidden="1">
      <c r="A94" s="8" t="s">
        <v>124</v>
      </c>
      <c r="B94" s="9">
        <f>10^((Gea_fc_lg)/20)</f>
        <v>36.6820718655421</v>
      </c>
      <c r="D94" t="s">
        <v>126</v>
      </c>
    </row>
    <row r="95" spans="2:4" ht="12.75" hidden="1">
      <c r="B95" s="9"/>
      <c r="D95"/>
    </row>
    <row r="96" spans="2:4" ht="12.75">
      <c r="B96" s="9"/>
      <c r="D96"/>
    </row>
    <row r="97" spans="1:5" ht="12.75">
      <c r="A97" s="8" t="s">
        <v>159</v>
      </c>
      <c r="B97" s="9">
        <f>0.9*Gea/g_ea</f>
        <v>507905.61044596764</v>
      </c>
      <c r="C97" s="8" t="s">
        <v>20</v>
      </c>
      <c r="D97"/>
      <c r="E97"/>
    </row>
    <row r="98" spans="1:5" ht="12.75">
      <c r="A98" s="22" t="s">
        <v>188</v>
      </c>
      <c r="B98" s="49">
        <v>511000</v>
      </c>
      <c r="C98" s="8" t="s">
        <v>20</v>
      </c>
      <c r="D98"/>
      <c r="E98"/>
    </row>
    <row r="100" spans="1:7" ht="12.75">
      <c r="A100" s="8" t="s">
        <v>235</v>
      </c>
      <c r="B100" s="8">
        <f>1/(2*PI()*fz_1*R_11_S)</f>
        <v>1.0381927142328463E-07</v>
      </c>
      <c r="C100" s="8" t="s">
        <v>9</v>
      </c>
      <c r="G100"/>
    </row>
    <row r="101" spans="1:4" ht="12.75">
      <c r="A101" s="22" t="s">
        <v>65</v>
      </c>
      <c r="B101" s="47">
        <v>1E-07</v>
      </c>
      <c r="C101" s="25" t="s">
        <v>9</v>
      </c>
      <c r="D101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A121" s="8" t="s">
        <v>42</v>
      </c>
    </row>
    <row r="122" spans="1:10" ht="12.75">
      <c r="A122" s="37"/>
      <c r="B122" s="37"/>
      <c r="C122" s="37"/>
      <c r="D122" s="37"/>
      <c r="E122" s="37"/>
      <c r="F122" s="37"/>
      <c r="G122" s="37"/>
      <c r="H122" s="37"/>
      <c r="I122" s="37"/>
      <c r="J122" s="38"/>
    </row>
    <row r="123" spans="1:10" ht="12.75">
      <c r="A123" s="37"/>
      <c r="B123" s="37"/>
      <c r="C123" s="37"/>
      <c r="D123" s="37"/>
      <c r="E123" s="37"/>
      <c r="F123" s="37"/>
      <c r="G123" s="37"/>
      <c r="H123" s="37"/>
      <c r="I123" s="37"/>
      <c r="J123" s="38"/>
    </row>
    <row r="124" spans="1:10" ht="12.75">
      <c r="A124" s="37"/>
      <c r="B124" s="37"/>
      <c r="C124" s="37"/>
      <c r="D124" s="37"/>
      <c r="E124" s="37"/>
      <c r="F124" s="37"/>
      <c r="G124" s="37"/>
      <c r="H124" s="37"/>
      <c r="I124" s="37"/>
      <c r="J124" s="38"/>
    </row>
    <row r="125" spans="1:10" ht="12.75">
      <c r="A125" s="37"/>
      <c r="B125" s="37"/>
      <c r="C125" s="37"/>
      <c r="D125" s="37"/>
      <c r="E125" s="37"/>
      <c r="F125" s="37"/>
      <c r="G125" s="37"/>
      <c r="H125" s="37"/>
      <c r="I125" s="37"/>
      <c r="J125" s="38"/>
    </row>
    <row r="126" spans="1:10" ht="12.75">
      <c r="A126" s="37"/>
      <c r="B126" s="37"/>
      <c r="C126" s="37"/>
      <c r="D126" s="37"/>
      <c r="E126" s="37"/>
      <c r="F126" s="37"/>
      <c r="G126" s="37"/>
      <c r="H126" s="37"/>
      <c r="I126" s="37"/>
      <c r="J126" s="38"/>
    </row>
    <row r="127" spans="1:10" ht="12.75">
      <c r="A127" s="37"/>
      <c r="B127" s="37"/>
      <c r="C127" s="37"/>
      <c r="D127" s="37"/>
      <c r="E127" s="37"/>
      <c r="F127" s="37"/>
      <c r="G127" s="37"/>
      <c r="H127" s="37"/>
      <c r="I127" s="37"/>
      <c r="J127" s="38"/>
    </row>
    <row r="128" spans="1:10" ht="12.75">
      <c r="A128" s="37"/>
      <c r="B128" s="37"/>
      <c r="C128" s="37"/>
      <c r="D128" s="37"/>
      <c r="E128" s="37"/>
      <c r="F128" s="37"/>
      <c r="G128" s="37"/>
      <c r="H128" s="37"/>
      <c r="I128" s="37"/>
      <c r="J128" s="38"/>
    </row>
    <row r="129" spans="1:10" ht="12.75">
      <c r="A129" s="37"/>
      <c r="B129" s="37"/>
      <c r="C129" s="37"/>
      <c r="D129" s="37"/>
      <c r="E129" s="37"/>
      <c r="F129" s="37"/>
      <c r="G129" s="37"/>
      <c r="H129" s="37"/>
      <c r="I129" s="37"/>
      <c r="J129" s="38"/>
    </row>
    <row r="130" spans="1:10" ht="12.75">
      <c r="A130" s="37"/>
      <c r="B130" s="37"/>
      <c r="C130" s="37"/>
      <c r="D130" s="37"/>
      <c r="E130" s="37"/>
      <c r="F130" s="37"/>
      <c r="G130" s="37"/>
      <c r="H130" s="37"/>
      <c r="I130" s="37"/>
      <c r="J130" s="38"/>
    </row>
    <row r="131" spans="1:10" ht="12.75">
      <c r="A131" s="37"/>
      <c r="B131" s="37"/>
      <c r="C131" s="37"/>
      <c r="D131" s="37"/>
      <c r="E131" s="37"/>
      <c r="F131" s="37"/>
      <c r="G131" s="37"/>
      <c r="H131" s="37"/>
      <c r="I131" s="37"/>
      <c r="J131" s="38"/>
    </row>
    <row r="132" spans="1:10" ht="12.75">
      <c r="A132" s="37"/>
      <c r="B132" s="37"/>
      <c r="C132" s="37"/>
      <c r="D132" s="37"/>
      <c r="E132" s="37"/>
      <c r="F132" s="37"/>
      <c r="G132" s="37"/>
      <c r="H132" s="37"/>
      <c r="I132" s="37"/>
      <c r="J132" s="38"/>
    </row>
    <row r="133" spans="1:10" ht="12.75">
      <c r="A133" s="37"/>
      <c r="B133" s="37"/>
      <c r="C133" s="37"/>
      <c r="D133" s="37"/>
      <c r="E133" s="37"/>
      <c r="F133" s="37"/>
      <c r="G133" s="37"/>
      <c r="H133" s="37"/>
      <c r="I133" s="37"/>
      <c r="J133" s="38"/>
    </row>
    <row r="134" spans="1:10" ht="12.75">
      <c r="A134" s="37"/>
      <c r="B134" s="37"/>
      <c r="C134" s="37"/>
      <c r="D134" s="37"/>
      <c r="E134" s="37"/>
      <c r="F134" s="37"/>
      <c r="G134" s="37"/>
      <c r="H134" s="37"/>
      <c r="I134" s="37"/>
      <c r="J134" s="38"/>
    </row>
    <row r="135" spans="1:10" ht="12.75">
      <c r="A135" s="37"/>
      <c r="B135" s="37"/>
      <c r="C135" s="37"/>
      <c r="D135" s="37"/>
      <c r="E135" s="37"/>
      <c r="F135" s="37"/>
      <c r="G135" s="37"/>
      <c r="H135" s="37"/>
      <c r="I135" s="37"/>
      <c r="J135" s="38"/>
    </row>
    <row r="136" spans="1:10" ht="12.75">
      <c r="A136" s="37"/>
      <c r="B136" s="37"/>
      <c r="C136" s="37"/>
      <c r="D136" s="37"/>
      <c r="E136" s="37"/>
      <c r="F136" s="37"/>
      <c r="G136" s="37"/>
      <c r="H136" s="37"/>
      <c r="I136" s="37"/>
      <c r="J136" s="38"/>
    </row>
    <row r="137" spans="1:10" s="20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39"/>
    </row>
    <row r="138" ht="12.75">
      <c r="A138" s="8" t="s">
        <v>66</v>
      </c>
    </row>
    <row r="140" spans="1:4" ht="12.75">
      <c r="A140" s="8" t="s">
        <v>67</v>
      </c>
      <c r="B140" s="9">
        <f>fs/10</f>
        <v>10000</v>
      </c>
      <c r="C140" s="8" t="s">
        <v>5</v>
      </c>
      <c r="D140" s="8" t="s">
        <v>147</v>
      </c>
    </row>
    <row r="141" spans="1:4" ht="12.75">
      <c r="A141" s="8" t="s">
        <v>160</v>
      </c>
      <c r="B141" s="8">
        <f>fc_cl*0.2</f>
        <v>2000</v>
      </c>
      <c r="C141" s="8" t="s">
        <v>5</v>
      </c>
      <c r="D141" s="8" t="s">
        <v>145</v>
      </c>
    </row>
    <row r="142" spans="1:4" ht="12.75">
      <c r="A142" s="8" t="s">
        <v>161</v>
      </c>
      <c r="B142" s="8">
        <f>fc_cl*10</f>
        <v>100000</v>
      </c>
      <c r="C142" s="8" t="s">
        <v>5</v>
      </c>
      <c r="D142" s="8" t="s">
        <v>146</v>
      </c>
    </row>
    <row r="144" spans="1:8" ht="15.75">
      <c r="A144" s="8" t="s">
        <v>233</v>
      </c>
      <c r="B144" s="9">
        <f>(Vo*R_5_S)/(Vos_ramp*2*PI()*fc_cl*L_1_S)</f>
        <v>0.3031522725559911</v>
      </c>
      <c r="D144" s="8" t="s">
        <v>68</v>
      </c>
      <c r="G144"/>
      <c r="H144"/>
    </row>
    <row r="145" spans="1:7" ht="15.75">
      <c r="A145" s="8" t="s">
        <v>234</v>
      </c>
      <c r="B145" s="9">
        <f>20*LOG(Gpwm_boost,10)</f>
        <v>-10.36678343528144</v>
      </c>
      <c r="G145"/>
    </row>
    <row r="146" spans="1:4" ht="12.75">
      <c r="A146" s="8" t="s">
        <v>69</v>
      </c>
      <c r="B146" s="9">
        <f>10^(ABS(Gpwm_boost_lg)/20)</f>
        <v>3.298672286269283</v>
      </c>
      <c r="D146" s="8" t="s">
        <v>70</v>
      </c>
    </row>
    <row r="148" spans="1:5" ht="12.75">
      <c r="A148" s="8" t="s">
        <v>162</v>
      </c>
      <c r="B148" s="11">
        <f>Gc_c/g_ca</f>
        <v>32986.72286269283</v>
      </c>
      <c r="C148" s="8" t="s">
        <v>20</v>
      </c>
      <c r="D148"/>
      <c r="E148"/>
    </row>
    <row r="149" spans="1:5" ht="12.75">
      <c r="A149" s="22" t="s">
        <v>189</v>
      </c>
      <c r="B149" s="49">
        <v>33200</v>
      </c>
      <c r="C149" s="8" t="s">
        <v>20</v>
      </c>
      <c r="D149"/>
      <c r="E149"/>
    </row>
    <row r="150" spans="1:5" ht="12.75">
      <c r="A150" s="10"/>
      <c r="D150"/>
      <c r="E150"/>
    </row>
    <row r="151" spans="1:5" ht="12.75">
      <c r="A151" s="8" t="s">
        <v>190</v>
      </c>
      <c r="B151" s="8">
        <f>1/(2*PI()*fcl_z*R_12_S)</f>
        <v>2.3969117935526407E-09</v>
      </c>
      <c r="C151" s="8" t="s">
        <v>9</v>
      </c>
      <c r="D151"/>
      <c r="E151"/>
    </row>
    <row r="152" spans="1:5" ht="12.75">
      <c r="A152" s="22" t="s">
        <v>191</v>
      </c>
      <c r="B152" s="52">
        <f>2.2*10^-9</f>
        <v>2.2000000000000003E-09</v>
      </c>
      <c r="C152" s="8" t="s">
        <v>9</v>
      </c>
      <c r="D152"/>
      <c r="E152"/>
    </row>
    <row r="154" spans="1:6" ht="12.75">
      <c r="A154" s="8" t="s">
        <v>192</v>
      </c>
      <c r="B154" s="8">
        <f>1/(2*PI()*fcl_p*R_12_S)</f>
        <v>4.793823587105282E-11</v>
      </c>
      <c r="C154" s="8" t="s">
        <v>9</v>
      </c>
      <c r="F154"/>
    </row>
    <row r="155" spans="1:4" ht="12.75">
      <c r="A155" s="22" t="s">
        <v>193</v>
      </c>
      <c r="B155" s="52">
        <f>47*10^-12</f>
        <v>4.7E-11</v>
      </c>
      <c r="C155" s="8" t="s">
        <v>9</v>
      </c>
      <c r="D155"/>
    </row>
    <row r="156" ht="12.75">
      <c r="A156"/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headerFooter alignWithMargins="0">
    <oddFooter>&amp;L&amp;F&amp;C&amp;P of &amp;N&amp;R&amp;A</oddFooter>
  </headerFooter>
  <rowBreaks count="1" manualBreakCount="1">
    <brk id="10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9"/>
  <sheetViews>
    <sheetView zoomScalePageLayoutView="0" workbookViewId="0" topLeftCell="A1">
      <selection activeCell="G6" sqref="A1:IV16384"/>
    </sheetView>
  </sheetViews>
  <sheetFormatPr defaultColWidth="9.140625" defaultRowHeight="12.75"/>
  <cols>
    <col min="2" max="2" width="10.00390625" style="0" customWidth="1"/>
  </cols>
  <sheetData>
    <row r="2" ht="12.75">
      <c r="B2" t="s">
        <v>77</v>
      </c>
    </row>
    <row r="5" spans="1:3" ht="12.75">
      <c r="A5" t="s">
        <v>76</v>
      </c>
      <c r="B5">
        <f>R_1_S</f>
        <v>906000</v>
      </c>
      <c r="C5" t="s">
        <v>20</v>
      </c>
    </row>
    <row r="6" spans="1:3" ht="12.75">
      <c r="A6" t="s">
        <v>78</v>
      </c>
      <c r="B6">
        <f>R_2_S</f>
        <v>906000</v>
      </c>
      <c r="C6" t="s">
        <v>20</v>
      </c>
    </row>
    <row r="7" spans="1:3" ht="12.75">
      <c r="A7" t="s">
        <v>79</v>
      </c>
      <c r="B7">
        <f>R_3_S</f>
        <v>100000</v>
      </c>
      <c r="C7" t="s">
        <v>20</v>
      </c>
    </row>
    <row r="8" spans="1:3" ht="12.75">
      <c r="A8" t="s">
        <v>80</v>
      </c>
      <c r="B8">
        <f>R_4_S</f>
        <v>15800</v>
      </c>
      <c r="C8" t="s">
        <v>20</v>
      </c>
    </row>
    <row r="9" spans="1:3" ht="12.75">
      <c r="A9" t="s">
        <v>81</v>
      </c>
      <c r="B9" s="28">
        <f>R_5_S</f>
        <v>0.05</v>
      </c>
      <c r="C9" t="s">
        <v>20</v>
      </c>
    </row>
    <row r="10" spans="1:3" ht="12.75">
      <c r="A10" t="s">
        <v>149</v>
      </c>
      <c r="B10">
        <f>R_6_S</f>
        <v>41200</v>
      </c>
      <c r="C10" t="s">
        <v>20</v>
      </c>
    </row>
    <row r="11" spans="1:3" ht="12.75">
      <c r="A11" t="s">
        <v>82</v>
      </c>
      <c r="B11">
        <f>R_7_S</f>
        <v>381000</v>
      </c>
      <c r="C11" t="s">
        <v>20</v>
      </c>
    </row>
    <row r="12" spans="1:3" ht="12.75">
      <c r="A12" t="s">
        <v>83</v>
      </c>
      <c r="B12">
        <f>R_8_S</f>
        <v>2370</v>
      </c>
      <c r="C12" t="s">
        <v>20</v>
      </c>
    </row>
    <row r="13" spans="1:3" ht="12.75">
      <c r="A13" t="s">
        <v>85</v>
      </c>
      <c r="B13">
        <f>R_11_S</f>
        <v>511000</v>
      </c>
      <c r="C13" t="s">
        <v>20</v>
      </c>
    </row>
    <row r="14" spans="1:3" ht="12.75">
      <c r="A14" t="s">
        <v>84</v>
      </c>
      <c r="B14">
        <f>R_12_S</f>
        <v>33200</v>
      </c>
      <c r="C14" t="s">
        <v>20</v>
      </c>
    </row>
    <row r="15" spans="1:3" ht="12.75">
      <c r="A15" t="s">
        <v>154</v>
      </c>
      <c r="B15">
        <f>R_17_S</f>
        <v>100</v>
      </c>
      <c r="C15" t="s">
        <v>20</v>
      </c>
    </row>
    <row r="17" ht="12.75">
      <c r="B17" t="s">
        <v>86</v>
      </c>
    </row>
    <row r="19" spans="1:3" ht="12.75">
      <c r="A19" t="s">
        <v>87</v>
      </c>
      <c r="B19" s="2">
        <f>C_5_S</f>
        <v>0.00033</v>
      </c>
      <c r="C19" t="s">
        <v>9</v>
      </c>
    </row>
    <row r="20" spans="1:3" ht="12.75">
      <c r="A20" t="s">
        <v>88</v>
      </c>
      <c r="B20" s="2">
        <f>C_6_S</f>
        <v>2.2000000000000003E-09</v>
      </c>
      <c r="C20" t="s">
        <v>9</v>
      </c>
    </row>
    <row r="21" spans="1:3" ht="12.75">
      <c r="A21" t="s">
        <v>89</v>
      </c>
      <c r="B21" s="2">
        <f>C_7_S</f>
        <v>4.7E-11</v>
      </c>
      <c r="C21" t="s">
        <v>9</v>
      </c>
    </row>
    <row r="22" spans="1:3" ht="12.75">
      <c r="A22" t="s">
        <v>90</v>
      </c>
      <c r="B22" s="2">
        <f>C_8_S</f>
        <v>1E-07</v>
      </c>
      <c r="C22" t="s">
        <v>9</v>
      </c>
    </row>
    <row r="23" spans="1:3" ht="12.75">
      <c r="A23" t="s">
        <v>91</v>
      </c>
      <c r="B23" s="2">
        <f>C_9_S</f>
        <v>1E-08</v>
      </c>
      <c r="C23" t="s">
        <v>9</v>
      </c>
    </row>
    <row r="24" spans="1:3" ht="12.75">
      <c r="A24" t="s">
        <v>148</v>
      </c>
      <c r="B24">
        <f>C_18_S</f>
        <v>4.7E-10</v>
      </c>
      <c r="C24" t="s">
        <v>9</v>
      </c>
    </row>
    <row r="25" spans="1:3" ht="12.75">
      <c r="A25" t="s">
        <v>155</v>
      </c>
      <c r="B25">
        <f>C_19_S</f>
        <v>1E-07</v>
      </c>
      <c r="C25" t="s">
        <v>9</v>
      </c>
    </row>
    <row r="27" ht="12.75">
      <c r="B27" t="s">
        <v>92</v>
      </c>
    </row>
    <row r="29" spans="1:2" ht="12.75">
      <c r="A29" t="s">
        <v>93</v>
      </c>
      <c r="B29" t="s">
        <v>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Footer>&amp;L&amp;F&amp;C&amp;P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02">
      <selection activeCell="L113" sqref="L113"/>
    </sheetView>
  </sheetViews>
  <sheetFormatPr defaultColWidth="9.140625" defaultRowHeight="12.75"/>
  <cols>
    <col min="1" max="1" width="10.00390625" style="0" customWidth="1"/>
    <col min="2" max="2" width="9.421875" style="0" customWidth="1"/>
    <col min="5" max="5" width="8.8515625" style="0" bestFit="1" customWidth="1"/>
    <col min="6" max="6" width="11.140625" style="0" bestFit="1" customWidth="1"/>
    <col min="11" max="11" width="10.8515625" style="0" bestFit="1" customWidth="1"/>
  </cols>
  <sheetData>
    <row r="1" spans="1:10" ht="12.75" hidden="1">
      <c r="A1" t="s">
        <v>127</v>
      </c>
      <c r="B1" t="s">
        <v>128</v>
      </c>
      <c r="C1" t="s">
        <v>121</v>
      </c>
      <c r="D1" s="19" t="s">
        <v>129</v>
      </c>
      <c r="E1" s="19" t="s">
        <v>130</v>
      </c>
      <c r="F1" t="s">
        <v>131</v>
      </c>
      <c r="G1" t="s">
        <v>41</v>
      </c>
      <c r="H1" t="s">
        <v>132</v>
      </c>
      <c r="I1" t="s">
        <v>133</v>
      </c>
      <c r="J1" t="s">
        <v>134</v>
      </c>
    </row>
    <row r="2" spans="1:10" ht="12.75" hidden="1">
      <c r="A2">
        <v>1</v>
      </c>
      <c r="B2">
        <f aca="true" t="shared" si="0" ref="B2:B33">(I_in_av*(1/(2*PI()*A2*C_5_S)))/(dVea_ov)</f>
        <v>132.29309478249854</v>
      </c>
      <c r="C2">
        <f aca="true" t="shared" si="1" ref="C2:C65">20*LOG(B2,10)+20*LOG(Gvd,10)</f>
        <v>-1.7466520531785221</v>
      </c>
      <c r="D2">
        <f aca="true" t="shared" si="2" ref="D2:D33">R_11_S+(1/(2*PI()*A2*C_8_S))</f>
        <v>2102549.4309189534</v>
      </c>
      <c r="E2">
        <f aca="true" t="shared" si="3" ref="E2:E33">1/(2*PI()*A2*C_9_S)</f>
        <v>15915494.309189534</v>
      </c>
      <c r="F2">
        <f>(1/D2)+(1/E2)</f>
        <v>5.384449279867261E-07</v>
      </c>
      <c r="G2">
        <f>1/F2</f>
        <v>1857200.1480988087</v>
      </c>
      <c r="H2">
        <f aca="true" t="shared" si="4" ref="H2:H65">G2*g_ea</f>
        <v>120.71800962642256</v>
      </c>
      <c r="I2">
        <f>20*LOG(H2,10)</f>
        <v>41.63544132537922</v>
      </c>
      <c r="J2">
        <f>C2+I2</f>
        <v>39.8887892722007</v>
      </c>
    </row>
    <row r="3" spans="1:10" ht="12.75" hidden="1">
      <c r="A3">
        <f>A2+1</f>
        <v>2</v>
      </c>
      <c r="B3">
        <f t="shared" si="0"/>
        <v>66.14654739124927</v>
      </c>
      <c r="C3">
        <f t="shared" si="1"/>
        <v>-7.767251966458147</v>
      </c>
      <c r="D3">
        <f t="shared" si="2"/>
        <v>1306774.7154594767</v>
      </c>
      <c r="E3">
        <f t="shared" si="3"/>
        <v>7957747.154594767</v>
      </c>
      <c r="F3">
        <f>(1/D3)+(1/E3)</f>
        <v>8.909065503536504E-07</v>
      </c>
      <c r="G3">
        <f>1/F3</f>
        <v>1122452.1804257073</v>
      </c>
      <c r="H3">
        <f t="shared" si="4"/>
        <v>72.95939172767096</v>
      </c>
      <c r="I3">
        <f>20*LOG(H3,10)</f>
        <v>37.261624091270896</v>
      </c>
      <c r="J3">
        <f>C3+I3</f>
        <v>29.49437212481275</v>
      </c>
    </row>
    <row r="4" spans="1:10" ht="12.75" hidden="1">
      <c r="A4">
        <f aca="true" t="shared" si="5" ref="A4:A67">A3+1</f>
        <v>3</v>
      </c>
      <c r="B4">
        <f t="shared" si="0"/>
        <v>44.09769826083285</v>
      </c>
      <c r="C4">
        <f t="shared" si="1"/>
        <v>-11.289077147571767</v>
      </c>
      <c r="D4">
        <f t="shared" si="2"/>
        <v>1041516.4769729845</v>
      </c>
      <c r="E4">
        <f t="shared" si="3"/>
        <v>5305164.769729844</v>
      </c>
      <c r="F4">
        <f aca="true" t="shared" si="6" ref="F4:F67">(1/D4)+(1/E4)</f>
        <v>1.1486339939969034E-06</v>
      </c>
      <c r="G4">
        <f aca="true" t="shared" si="7" ref="G4:G67">1/F4</f>
        <v>870599.3425462696</v>
      </c>
      <c r="H4">
        <f t="shared" si="4"/>
        <v>56.588957265507524</v>
      </c>
      <c r="I4">
        <f aca="true" t="shared" si="8" ref="I4:I67">20*LOG(H4,10)</f>
        <v>35.054633829931724</v>
      </c>
      <c r="J4">
        <f aca="true" t="shared" si="9" ref="J4:J67">C4+I4</f>
        <v>23.765556682359957</v>
      </c>
    </row>
    <row r="5" spans="1:10" ht="12.75" hidden="1">
      <c r="A5">
        <f t="shared" si="5"/>
        <v>4</v>
      </c>
      <c r="B5">
        <f t="shared" si="0"/>
        <v>33.073273695624636</v>
      </c>
      <c r="C5">
        <f t="shared" si="1"/>
        <v>-13.787851879737769</v>
      </c>
      <c r="D5">
        <f t="shared" si="2"/>
        <v>908887.3577297383</v>
      </c>
      <c r="E5">
        <f t="shared" si="3"/>
        <v>3978873.5772973835</v>
      </c>
      <c r="F5">
        <f t="shared" si="6"/>
        <v>1.3515737645940822E-06</v>
      </c>
      <c r="G5">
        <f t="shared" si="7"/>
        <v>739878.2265504611</v>
      </c>
      <c r="H5">
        <f t="shared" si="4"/>
        <v>48.09208472577997</v>
      </c>
      <c r="I5">
        <f t="shared" si="8"/>
        <v>33.64147207101602</v>
      </c>
      <c r="J5">
        <f t="shared" si="9"/>
        <v>19.85362019127825</v>
      </c>
    </row>
    <row r="6" spans="1:10" ht="12.75" hidden="1">
      <c r="A6">
        <f t="shared" si="5"/>
        <v>5</v>
      </c>
      <c r="B6">
        <f t="shared" si="0"/>
        <v>26.458618956499713</v>
      </c>
      <c r="C6">
        <f t="shared" si="1"/>
        <v>-15.726052139898894</v>
      </c>
      <c r="D6">
        <f t="shared" si="2"/>
        <v>829309.8861837906</v>
      </c>
      <c r="E6">
        <f t="shared" si="3"/>
        <v>3183098.8618379068</v>
      </c>
      <c r="F6">
        <f t="shared" si="6"/>
        <v>1.5199811380508252E-06</v>
      </c>
      <c r="G6">
        <f t="shared" si="7"/>
        <v>657902.9008757094</v>
      </c>
      <c r="H6">
        <f t="shared" si="4"/>
        <v>42.7636885569211</v>
      </c>
      <c r="I6">
        <f t="shared" si="8"/>
        <v>32.62150315937311</v>
      </c>
      <c r="J6">
        <f t="shared" si="9"/>
        <v>16.89545101947422</v>
      </c>
    </row>
    <row r="7" spans="1:10" ht="12.75" hidden="1">
      <c r="A7">
        <f t="shared" si="5"/>
        <v>6</v>
      </c>
      <c r="B7">
        <f t="shared" si="0"/>
        <v>22.048849130416425</v>
      </c>
      <c r="C7">
        <f t="shared" si="1"/>
        <v>-17.309677060851392</v>
      </c>
      <c r="D7">
        <f t="shared" si="2"/>
        <v>776258.2384864923</v>
      </c>
      <c r="E7">
        <f t="shared" si="3"/>
        <v>2652582.384864922</v>
      </c>
      <c r="F7">
        <f t="shared" si="6"/>
        <v>1.66522221269877E-06</v>
      </c>
      <c r="G7">
        <f t="shared" si="7"/>
        <v>600520.4544919764</v>
      </c>
      <c r="H7">
        <f t="shared" si="4"/>
        <v>39.03382954197846</v>
      </c>
      <c r="I7">
        <f t="shared" si="8"/>
        <v>31.82882322514455</v>
      </c>
      <c r="J7">
        <f t="shared" si="9"/>
        <v>14.519146164293158</v>
      </c>
    </row>
    <row r="8" spans="1:10" ht="12.75" hidden="1">
      <c r="A8">
        <f t="shared" si="5"/>
        <v>7</v>
      </c>
      <c r="B8">
        <f t="shared" si="0"/>
        <v>18.899013540356936</v>
      </c>
      <c r="C8">
        <f t="shared" si="1"/>
        <v>-18.648612853463657</v>
      </c>
      <c r="D8">
        <f t="shared" si="2"/>
        <v>738364.2044169933</v>
      </c>
      <c r="E8">
        <f t="shared" si="3"/>
        <v>2273642.0441699335</v>
      </c>
      <c r="F8">
        <f t="shared" si="6"/>
        <v>1.7941681496922318E-06</v>
      </c>
      <c r="G8">
        <f t="shared" si="7"/>
        <v>557361.3600105086</v>
      </c>
      <c r="H8">
        <f t="shared" si="4"/>
        <v>36.228488400683055</v>
      </c>
      <c r="I8">
        <f t="shared" si="8"/>
        <v>31.181004277744286</v>
      </c>
      <c r="J8">
        <f t="shared" si="9"/>
        <v>12.532391424280629</v>
      </c>
    </row>
    <row r="9" spans="1:10" ht="12.75" hidden="1">
      <c r="A9">
        <f t="shared" si="5"/>
        <v>8</v>
      </c>
      <c r="B9">
        <f t="shared" si="0"/>
        <v>16.536636847812318</v>
      </c>
      <c r="C9">
        <f t="shared" si="1"/>
        <v>-19.808451793017394</v>
      </c>
      <c r="D9">
        <f t="shared" si="2"/>
        <v>709943.6788648692</v>
      </c>
      <c r="E9">
        <f t="shared" si="3"/>
        <v>1989436.7886486917</v>
      </c>
      <c r="F9">
        <f t="shared" si="6"/>
        <v>1.9112172637792666E-06</v>
      </c>
      <c r="G9">
        <f t="shared" si="7"/>
        <v>523226.7513231785</v>
      </c>
      <c r="H9">
        <f t="shared" si="4"/>
        <v>34.0097388360066</v>
      </c>
      <c r="I9">
        <f t="shared" si="8"/>
        <v>30.632065939144475</v>
      </c>
      <c r="J9">
        <f t="shared" si="9"/>
        <v>10.823614146127081</v>
      </c>
    </row>
    <row r="10" spans="1:10" ht="12.75" hidden="1">
      <c r="A10">
        <f t="shared" si="5"/>
        <v>9</v>
      </c>
      <c r="B10">
        <f t="shared" si="0"/>
        <v>14.69923275361095</v>
      </c>
      <c r="C10">
        <f t="shared" si="1"/>
        <v>-20.83150224196502</v>
      </c>
      <c r="D10">
        <f t="shared" si="2"/>
        <v>687838.8256576615</v>
      </c>
      <c r="E10">
        <f t="shared" si="3"/>
        <v>1768388.256576615</v>
      </c>
      <c r="F10">
        <f t="shared" si="6"/>
        <v>2.0193156310261533E-06</v>
      </c>
      <c r="G10">
        <f t="shared" si="7"/>
        <v>495217.2828434112</v>
      </c>
      <c r="H10">
        <f t="shared" si="4"/>
        <v>32.18912338482173</v>
      </c>
      <c r="I10">
        <f t="shared" si="8"/>
        <v>30.15418299173115</v>
      </c>
      <c r="J10">
        <f t="shared" si="9"/>
        <v>9.322680749766132</v>
      </c>
    </row>
    <row r="11" spans="1:10" ht="12.75" hidden="1">
      <c r="A11">
        <f t="shared" si="5"/>
        <v>10</v>
      </c>
      <c r="B11">
        <f t="shared" si="0"/>
        <v>13.229309478249856</v>
      </c>
      <c r="C11">
        <f t="shared" si="1"/>
        <v>-21.746652053178515</v>
      </c>
      <c r="D11">
        <f t="shared" si="2"/>
        <v>670154.9430918953</v>
      </c>
      <c r="E11">
        <f t="shared" si="3"/>
        <v>1591549.4309189534</v>
      </c>
      <c r="F11">
        <f t="shared" si="6"/>
        <v>2.1205107622432502E-06</v>
      </c>
      <c r="G11">
        <f t="shared" si="7"/>
        <v>471584.4964361878</v>
      </c>
      <c r="H11">
        <f t="shared" si="4"/>
        <v>30.652992268352207</v>
      </c>
      <c r="I11">
        <f t="shared" si="8"/>
        <v>29.729457513273637</v>
      </c>
      <c r="J11">
        <f t="shared" si="9"/>
        <v>7.982805460095122</v>
      </c>
    </row>
    <row r="12" spans="1:10" ht="12.75" hidden="1">
      <c r="A12">
        <f t="shared" si="5"/>
        <v>11</v>
      </c>
      <c r="B12">
        <f t="shared" si="0"/>
        <v>12.026644980227141</v>
      </c>
      <c r="C12">
        <f t="shared" si="1"/>
        <v>-22.574505756343022</v>
      </c>
      <c r="D12">
        <f t="shared" si="2"/>
        <v>655686.311901723</v>
      </c>
      <c r="E12">
        <f t="shared" si="3"/>
        <v>1446863.1190172306</v>
      </c>
      <c r="F12">
        <f t="shared" si="6"/>
        <v>2.2162699140414154E-06</v>
      </c>
      <c r="G12">
        <f t="shared" si="7"/>
        <v>451208.5796339123</v>
      </c>
      <c r="H12">
        <f t="shared" si="4"/>
        <v>29.328557676204298</v>
      </c>
      <c r="I12">
        <f t="shared" si="8"/>
        <v>29.345814114252864</v>
      </c>
      <c r="J12">
        <f t="shared" si="9"/>
        <v>6.771308357909842</v>
      </c>
    </row>
    <row r="13" spans="1:10" ht="12.75" hidden="1">
      <c r="A13">
        <f t="shared" si="5"/>
        <v>12</v>
      </c>
      <c r="B13">
        <f t="shared" si="0"/>
        <v>11.024424565208212</v>
      </c>
      <c r="C13">
        <f t="shared" si="1"/>
        <v>-23.330276974131017</v>
      </c>
      <c r="D13">
        <f t="shared" si="2"/>
        <v>643629.1192432462</v>
      </c>
      <c r="E13">
        <f t="shared" si="3"/>
        <v>1326291.192432461</v>
      </c>
      <c r="F13">
        <f t="shared" si="6"/>
        <v>2.307672040666202E-06</v>
      </c>
      <c r="G13">
        <f t="shared" si="7"/>
        <v>433337.13906388095</v>
      </c>
      <c r="H13">
        <f t="shared" si="4"/>
        <v>28.16691403915226</v>
      </c>
      <c r="I13">
        <f t="shared" si="8"/>
        <v>28.994785367701454</v>
      </c>
      <c r="J13">
        <f t="shared" si="9"/>
        <v>5.664508393570436</v>
      </c>
    </row>
    <row r="14" spans="1:10" ht="12.75" hidden="1">
      <c r="A14">
        <f t="shared" si="5"/>
        <v>13</v>
      </c>
      <c r="B14">
        <f t="shared" si="0"/>
        <v>10.176391906346042</v>
      </c>
      <c r="C14">
        <f t="shared" si="1"/>
        <v>-24.025519099315254</v>
      </c>
      <c r="D14">
        <f t="shared" si="2"/>
        <v>633426.8793014579</v>
      </c>
      <c r="E14">
        <f t="shared" si="3"/>
        <v>1224268.7930145795</v>
      </c>
      <c r="F14">
        <f t="shared" si="6"/>
        <v>2.3955282757013996E-06</v>
      </c>
      <c r="G14">
        <f t="shared" si="7"/>
        <v>417444.4568838181</v>
      </c>
      <c r="H14">
        <f t="shared" si="4"/>
        <v>27.133889697448172</v>
      </c>
      <c r="I14">
        <f t="shared" si="8"/>
        <v>28.670241104168017</v>
      </c>
      <c r="J14">
        <f t="shared" si="9"/>
        <v>4.644722004852763</v>
      </c>
    </row>
    <row r="15" spans="1:10" ht="12.75" hidden="1">
      <c r="A15">
        <f t="shared" si="5"/>
        <v>14</v>
      </c>
      <c r="B15">
        <f t="shared" si="0"/>
        <v>9.449506770178468</v>
      </c>
      <c r="C15">
        <f t="shared" si="1"/>
        <v>-24.669212766743275</v>
      </c>
      <c r="D15">
        <f t="shared" si="2"/>
        <v>624682.1022084967</v>
      </c>
      <c r="E15">
        <f t="shared" si="3"/>
        <v>1136821.0220849668</v>
      </c>
      <c r="F15">
        <f t="shared" si="6"/>
        <v>2.4804601754997294E-06</v>
      </c>
      <c r="G15">
        <f t="shared" si="7"/>
        <v>403150.99991417263</v>
      </c>
      <c r="H15">
        <f t="shared" si="4"/>
        <v>26.20481499442122</v>
      </c>
      <c r="I15">
        <f t="shared" si="8"/>
        <v>28.367621958745445</v>
      </c>
      <c r="J15">
        <f t="shared" si="9"/>
        <v>3.6984091920021704</v>
      </c>
    </row>
    <row r="16" spans="1:10" ht="12.75" hidden="1">
      <c r="A16">
        <f t="shared" si="5"/>
        <v>15</v>
      </c>
      <c r="B16">
        <f t="shared" si="0"/>
        <v>8.819539652166572</v>
      </c>
      <c r="C16">
        <f t="shared" si="1"/>
        <v>-25.26847723429214</v>
      </c>
      <c r="D16">
        <f t="shared" si="2"/>
        <v>617103.2953945969</v>
      </c>
      <c r="E16">
        <f t="shared" si="3"/>
        <v>1061032.953945969</v>
      </c>
      <c r="F16">
        <f t="shared" si="6"/>
        <v>2.5629520464381614E-06</v>
      </c>
      <c r="G16">
        <f t="shared" si="7"/>
        <v>390175.0722920238</v>
      </c>
      <c r="H16">
        <f t="shared" si="4"/>
        <v>25.361379698981544</v>
      </c>
      <c r="I16">
        <f t="shared" si="8"/>
        <v>28.08345752311778</v>
      </c>
      <c r="J16">
        <f t="shared" si="9"/>
        <v>2.814980288825641</v>
      </c>
    </row>
    <row r="17" spans="1:10" ht="12.75" hidden="1">
      <c r="A17">
        <f t="shared" si="5"/>
        <v>16</v>
      </c>
      <c r="B17">
        <f t="shared" si="0"/>
        <v>8.268318423906159</v>
      </c>
      <c r="C17">
        <f t="shared" si="1"/>
        <v>-25.82905170629701</v>
      </c>
      <c r="D17">
        <f t="shared" si="2"/>
        <v>610471.8394324346</v>
      </c>
      <c r="E17">
        <f t="shared" si="3"/>
        <v>994718.3943243459</v>
      </c>
      <c r="F17">
        <f t="shared" si="6"/>
        <v>2.6433868468286726E-06</v>
      </c>
      <c r="G17">
        <f t="shared" si="7"/>
        <v>378302.55575332127</v>
      </c>
      <c r="H17">
        <f t="shared" si="4"/>
        <v>24.58966612396588</v>
      </c>
      <c r="I17">
        <f t="shared" si="8"/>
        <v>27.815052639431798</v>
      </c>
      <c r="J17">
        <f t="shared" si="9"/>
        <v>1.986000933134786</v>
      </c>
    </row>
    <row r="18" spans="1:10" ht="12.75" hidden="1">
      <c r="A18">
        <f t="shared" si="5"/>
        <v>17</v>
      </c>
      <c r="B18">
        <f t="shared" si="0"/>
        <v>7.781946751911678</v>
      </c>
      <c r="C18">
        <f t="shared" si="1"/>
        <v>-26.355630480743997</v>
      </c>
      <c r="D18">
        <f t="shared" si="2"/>
        <v>604620.5547599384</v>
      </c>
      <c r="E18">
        <f t="shared" si="3"/>
        <v>936205.5475993843</v>
      </c>
      <c r="F18">
        <f t="shared" si="6"/>
        <v>2.7220713796079187E-06</v>
      </c>
      <c r="G18">
        <f t="shared" si="7"/>
        <v>367367.2951750581</v>
      </c>
      <c r="H18">
        <f t="shared" si="4"/>
        <v>23.878874186378777</v>
      </c>
      <c r="I18">
        <f t="shared" si="8"/>
        <v>27.560276946492497</v>
      </c>
      <c r="J18">
        <f t="shared" si="9"/>
        <v>1.2046464657484997</v>
      </c>
    </row>
    <row r="19" spans="1:10" ht="12.75" hidden="1">
      <c r="A19">
        <f t="shared" si="5"/>
        <v>18</v>
      </c>
      <c r="B19">
        <f t="shared" si="0"/>
        <v>7.349616376805475</v>
      </c>
      <c r="C19">
        <f t="shared" si="1"/>
        <v>-26.85210215524464</v>
      </c>
      <c r="D19">
        <f t="shared" si="2"/>
        <v>599419.4128288308</v>
      </c>
      <c r="E19">
        <f t="shared" si="3"/>
        <v>884194.1282883075</v>
      </c>
      <c r="F19">
        <f t="shared" si="6"/>
        <v>2.7992543261749925E-06</v>
      </c>
      <c r="G19">
        <f t="shared" si="7"/>
        <v>357237.99393620586</v>
      </c>
      <c r="H19">
        <f t="shared" si="4"/>
        <v>23.220469605853378</v>
      </c>
      <c r="I19">
        <f t="shared" si="8"/>
        <v>27.31741997141758</v>
      </c>
      <c r="J19">
        <f t="shared" si="9"/>
        <v>0.4653178161729379</v>
      </c>
    </row>
    <row r="20" spans="1:10" ht="12.75" hidden="1">
      <c r="A20">
        <f t="shared" si="5"/>
        <v>19</v>
      </c>
      <c r="B20">
        <f t="shared" si="0"/>
        <v>6.962794462236768</v>
      </c>
      <c r="C20">
        <f t="shared" si="1"/>
        <v>-27.321724072235096</v>
      </c>
      <c r="D20">
        <f t="shared" si="2"/>
        <v>594765.7595220502</v>
      </c>
      <c r="E20">
        <f t="shared" si="3"/>
        <v>837657.5952205018</v>
      </c>
      <c r="F20">
        <f t="shared" si="6"/>
        <v>2.87513938739217E-06</v>
      </c>
      <c r="G20">
        <f t="shared" si="7"/>
        <v>347809.22427104565</v>
      </c>
      <c r="H20">
        <f t="shared" si="4"/>
        <v>22.607599577617965</v>
      </c>
      <c r="I20">
        <f t="shared" si="8"/>
        <v>27.085089048289422</v>
      </c>
      <c r="J20">
        <f t="shared" si="9"/>
        <v>-0.2366350239456736</v>
      </c>
    </row>
    <row r="21" spans="1:10" ht="12.75" hidden="1">
      <c r="A21">
        <f t="shared" si="5"/>
        <v>20</v>
      </c>
      <c r="B21">
        <f t="shared" si="0"/>
        <v>6.614654739124928</v>
      </c>
      <c r="C21">
        <f t="shared" si="1"/>
        <v>-27.76725196645814</v>
      </c>
      <c r="D21">
        <f t="shared" si="2"/>
        <v>590577.4715459477</v>
      </c>
      <c r="E21">
        <f t="shared" si="3"/>
        <v>795774.7154594767</v>
      </c>
      <c r="F21">
        <f t="shared" si="6"/>
        <v>2.949895013491406E-06</v>
      </c>
      <c r="G21">
        <f t="shared" si="7"/>
        <v>338995.11522494163</v>
      </c>
      <c r="H21">
        <f t="shared" si="4"/>
        <v>22.034682489621204</v>
      </c>
      <c r="I21">
        <f t="shared" si="8"/>
        <v>26.86213593785459</v>
      </c>
      <c r="J21">
        <f t="shared" si="9"/>
        <v>-0.9051160286035511</v>
      </c>
    </row>
    <row r="22" spans="1:10" ht="12.75" hidden="1">
      <c r="A22">
        <f t="shared" si="5"/>
        <v>21</v>
      </c>
      <c r="B22">
        <f t="shared" si="0"/>
        <v>6.299671180118978</v>
      </c>
      <c r="C22">
        <f t="shared" si="1"/>
        <v>-28.191037947856906</v>
      </c>
      <c r="D22">
        <f t="shared" si="2"/>
        <v>586788.0681389978</v>
      </c>
      <c r="E22">
        <f t="shared" si="3"/>
        <v>757880.6813899778</v>
      </c>
      <c r="F22">
        <f t="shared" si="6"/>
        <v>3.0236617130618943E-06</v>
      </c>
      <c r="G22">
        <f t="shared" si="7"/>
        <v>330724.82800576114</v>
      </c>
      <c r="H22">
        <f t="shared" si="4"/>
        <v>21.497113820374473</v>
      </c>
      <c r="I22">
        <f t="shared" si="8"/>
        <v>26.647603118288906</v>
      </c>
      <c r="J22">
        <f t="shared" si="9"/>
        <v>-1.5434348295679996</v>
      </c>
    </row>
    <row r="23" spans="1:10" ht="12.75" hidden="1">
      <c r="A23">
        <f t="shared" si="5"/>
        <v>22</v>
      </c>
      <c r="B23">
        <f t="shared" si="0"/>
        <v>6.013322490113571</v>
      </c>
      <c r="C23">
        <f t="shared" si="1"/>
        <v>-28.595105669622644</v>
      </c>
      <c r="D23">
        <f t="shared" si="2"/>
        <v>583343.1559508615</v>
      </c>
      <c r="E23">
        <f t="shared" si="3"/>
        <v>723431.5595086153</v>
      </c>
      <c r="F23">
        <f t="shared" si="6"/>
        <v>3.096557615883453E-06</v>
      </c>
      <c r="G23">
        <f t="shared" si="7"/>
        <v>322939.25191981235</v>
      </c>
      <c r="H23">
        <f t="shared" si="4"/>
        <v>20.9910513747878</v>
      </c>
      <c r="I23">
        <f t="shared" si="8"/>
        <v>26.44068383104161</v>
      </c>
      <c r="J23">
        <f t="shared" si="9"/>
        <v>-2.154421838581033</v>
      </c>
    </row>
    <row r="24" spans="1:10" ht="12.75" hidden="1">
      <c r="A24">
        <f t="shared" si="5"/>
        <v>23</v>
      </c>
      <c r="B24">
        <f t="shared" si="0"/>
        <v>5.75187368619559</v>
      </c>
      <c r="C24">
        <f t="shared" si="1"/>
        <v>-28.981208773530376</v>
      </c>
      <c r="D24">
        <f t="shared" si="2"/>
        <v>580197.8013443024</v>
      </c>
      <c r="E24">
        <f t="shared" si="3"/>
        <v>691978.0134430233</v>
      </c>
      <c r="F24">
        <f t="shared" si="6"/>
        <v>3.1686827576615233E-06</v>
      </c>
      <c r="G24">
        <f t="shared" si="7"/>
        <v>315588.5509781978</v>
      </c>
      <c r="H24">
        <f t="shared" si="4"/>
        <v>20.51325581358285</v>
      </c>
      <c r="I24">
        <f t="shared" si="8"/>
        <v>26.24069191985424</v>
      </c>
      <c r="J24">
        <f t="shared" si="9"/>
        <v>-2.7405168536761373</v>
      </c>
    </row>
    <row r="25" spans="1:10" ht="12.75" hidden="1">
      <c r="A25">
        <f t="shared" si="5"/>
        <v>24</v>
      </c>
      <c r="B25">
        <f t="shared" si="0"/>
        <v>5.512212282604106</v>
      </c>
      <c r="C25">
        <f t="shared" si="1"/>
        <v>-29.35087688741064</v>
      </c>
      <c r="D25">
        <f t="shared" si="2"/>
        <v>577314.559621623</v>
      </c>
      <c r="E25">
        <f t="shared" si="3"/>
        <v>663145.5962162305</v>
      </c>
      <c r="F25">
        <f t="shared" si="6"/>
        <v>3.240122416622391E-06</v>
      </c>
      <c r="G25">
        <f t="shared" si="7"/>
        <v>308630.3143578237</v>
      </c>
      <c r="H25">
        <f t="shared" si="4"/>
        <v>20.06097043325854</v>
      </c>
      <c r="I25">
        <f t="shared" si="8"/>
        <v>26.047038756754116</v>
      </c>
      <c r="J25">
        <f t="shared" si="9"/>
        <v>-3.3038381306565228</v>
      </c>
    </row>
    <row r="26" spans="1:10" ht="12.75" hidden="1">
      <c r="A26">
        <f t="shared" si="5"/>
        <v>25</v>
      </c>
      <c r="B26">
        <f t="shared" si="0"/>
        <v>5.291723791299942</v>
      </c>
      <c r="C26">
        <f t="shared" si="1"/>
        <v>-29.705452226619272</v>
      </c>
      <c r="D26">
        <f t="shared" si="2"/>
        <v>574661.9772367581</v>
      </c>
      <c r="E26">
        <f t="shared" si="3"/>
        <v>636619.7723675814</v>
      </c>
      <c r="F26">
        <f t="shared" si="6"/>
        <v>3.3109497380375627E-06</v>
      </c>
      <c r="G26">
        <f t="shared" si="7"/>
        <v>302028.1427143353</v>
      </c>
      <c r="H26">
        <f t="shared" si="4"/>
        <v>19.63182927643179</v>
      </c>
      <c r="I26">
        <f t="shared" si="8"/>
        <v>25.85921537319852</v>
      </c>
      <c r="J26">
        <f t="shared" si="9"/>
        <v>-3.846236853420752</v>
      </c>
    </row>
    <row r="27" spans="1:10" ht="12.75" hidden="1">
      <c r="A27">
        <f t="shared" si="5"/>
        <v>26</v>
      </c>
      <c r="B27">
        <f t="shared" si="0"/>
        <v>5.088195953173021</v>
      </c>
      <c r="C27">
        <f t="shared" si="1"/>
        <v>-30.04611901259488</v>
      </c>
      <c r="D27">
        <f t="shared" si="2"/>
        <v>572213.439650729</v>
      </c>
      <c r="E27">
        <f t="shared" si="3"/>
        <v>612134.3965072897</v>
      </c>
      <c r="F27">
        <f t="shared" si="6"/>
        <v>3.3812278178800638E-06</v>
      </c>
      <c r="G27">
        <f t="shared" si="7"/>
        <v>295750.55389996537</v>
      </c>
      <c r="H27">
        <f t="shared" si="4"/>
        <v>19.223786003497747</v>
      </c>
      <c r="I27">
        <f t="shared" si="8"/>
        <v>25.67677846634409</v>
      </c>
      <c r="J27">
        <f t="shared" si="9"/>
        <v>-4.36934054625079</v>
      </c>
    </row>
    <row r="28" spans="1:10" ht="12.75" hidden="1">
      <c r="A28">
        <f t="shared" si="5"/>
        <v>27</v>
      </c>
      <c r="B28">
        <f t="shared" si="0"/>
        <v>4.899744251203651</v>
      </c>
      <c r="C28">
        <f t="shared" si="1"/>
        <v>-30.373927336358264</v>
      </c>
      <c r="D28">
        <f t="shared" si="2"/>
        <v>569946.2752192206</v>
      </c>
      <c r="E28">
        <f t="shared" si="3"/>
        <v>589462.752192205</v>
      </c>
      <c r="F28">
        <f t="shared" si="6"/>
        <v>3.451011371335017E-06</v>
      </c>
      <c r="G28">
        <f t="shared" si="7"/>
        <v>289770.1260292144</v>
      </c>
      <c r="H28">
        <f t="shared" si="4"/>
        <v>18.835058191898934</v>
      </c>
      <c r="I28">
        <f t="shared" si="8"/>
        <v>25.499339326338216</v>
      </c>
      <c r="J28">
        <f t="shared" si="9"/>
        <v>-4.874588010020048</v>
      </c>
    </row>
    <row r="29" spans="1:10" ht="12.75" hidden="1">
      <c r="A29">
        <f t="shared" si="5"/>
        <v>28</v>
      </c>
      <c r="B29">
        <f t="shared" si="0"/>
        <v>4.724753385089234</v>
      </c>
      <c r="C29">
        <f t="shared" si="1"/>
        <v>-30.689812680022904</v>
      </c>
      <c r="D29">
        <f t="shared" si="2"/>
        <v>567841.0511042484</v>
      </c>
      <c r="E29">
        <f t="shared" si="3"/>
        <v>568410.5110424834</v>
      </c>
      <c r="F29">
        <f t="shared" si="6"/>
        <v>3.520348079561907E-06</v>
      </c>
      <c r="G29">
        <f t="shared" si="7"/>
        <v>284062.8191870294</v>
      </c>
      <c r="H29">
        <f t="shared" si="4"/>
        <v>18.464083247156907</v>
      </c>
      <c r="I29">
        <f t="shared" si="8"/>
        <v>25.3265549907989</v>
      </c>
      <c r="J29">
        <f t="shared" si="9"/>
        <v>-5.363257689224003</v>
      </c>
    </row>
    <row r="30" spans="1:10" ht="12.75" hidden="1">
      <c r="A30">
        <f t="shared" si="5"/>
        <v>29</v>
      </c>
      <c r="B30">
        <f t="shared" si="0"/>
        <v>4.561830854568916</v>
      </c>
      <c r="C30">
        <f t="shared" si="1"/>
        <v>-30.99461201115764</v>
      </c>
      <c r="D30">
        <f t="shared" si="2"/>
        <v>565881.0148592743</v>
      </c>
      <c r="E30">
        <f t="shared" si="3"/>
        <v>548810.1485927425</v>
      </c>
      <c r="F30">
        <f t="shared" si="6"/>
        <v>3.5892796848398366E-06</v>
      </c>
      <c r="G30">
        <f t="shared" si="7"/>
        <v>278607.433191605</v>
      </c>
      <c r="H30">
        <f t="shared" si="4"/>
        <v>18.109483157454324</v>
      </c>
      <c r="I30">
        <f t="shared" si="8"/>
        <v>25.158121115537234</v>
      </c>
      <c r="J30">
        <f t="shared" si="9"/>
        <v>-5.836490895620404</v>
      </c>
    </row>
    <row r="31" spans="1:10" ht="12.75" hidden="1">
      <c r="A31">
        <f t="shared" si="5"/>
        <v>30</v>
      </c>
      <c r="B31">
        <f t="shared" si="0"/>
        <v>4.409769826083286</v>
      </c>
      <c r="C31">
        <f t="shared" si="1"/>
        <v>-31.289077147571767</v>
      </c>
      <c r="D31">
        <f t="shared" si="2"/>
        <v>564051.6476972984</v>
      </c>
      <c r="E31">
        <f t="shared" si="3"/>
        <v>530516.4769729845</v>
      </c>
      <c r="F31">
        <f t="shared" si="6"/>
        <v>3.6578428872844377E-06</v>
      </c>
      <c r="G31">
        <f t="shared" si="7"/>
        <v>273385.17011658597</v>
      </c>
      <c r="H31">
        <f t="shared" si="4"/>
        <v>17.770036057578086</v>
      </c>
      <c r="I31">
        <f t="shared" si="8"/>
        <v>24.99376618085708</v>
      </c>
      <c r="J31">
        <f t="shared" si="9"/>
        <v>-6.295310966714688</v>
      </c>
    </row>
    <row r="32" spans="1:10" ht="12.75" hidden="1">
      <c r="A32">
        <f t="shared" si="5"/>
        <v>31</v>
      </c>
      <c r="B32">
        <f t="shared" si="0"/>
        <v>4.267519186532212</v>
      </c>
      <c r="C32">
        <f t="shared" si="1"/>
        <v>-31.57388592986397</v>
      </c>
      <c r="D32">
        <f t="shared" si="2"/>
        <v>562340.304223192</v>
      </c>
      <c r="E32">
        <f t="shared" si="3"/>
        <v>513403.0422319205</v>
      </c>
      <c r="F32">
        <f t="shared" si="6"/>
        <v>3.7260700838520887E-06</v>
      </c>
      <c r="G32">
        <f t="shared" si="7"/>
        <v>268379.2783001492</v>
      </c>
      <c r="H32">
        <f t="shared" si="4"/>
        <v>17.444653089509696</v>
      </c>
      <c r="I32">
        <f t="shared" si="8"/>
        <v>24.833246746752017</v>
      </c>
      <c r="J32">
        <f t="shared" si="9"/>
        <v>-6.740639183111952</v>
      </c>
    </row>
    <row r="33" spans="1:10" ht="12.75" hidden="1">
      <c r="A33">
        <f t="shared" si="5"/>
        <v>32</v>
      </c>
      <c r="B33">
        <f t="shared" si="0"/>
        <v>4.1341592119530794</v>
      </c>
      <c r="C33">
        <f t="shared" si="1"/>
        <v>-31.84965161957664</v>
      </c>
      <c r="D33">
        <f t="shared" si="2"/>
        <v>560735.9197162173</v>
      </c>
      <c r="E33">
        <f t="shared" si="3"/>
        <v>497359.19716217293</v>
      </c>
      <c r="F33">
        <f t="shared" si="6"/>
        <v>3.79398998107108E-06</v>
      </c>
      <c r="G33">
        <f t="shared" si="7"/>
        <v>263574.76034179993</v>
      </c>
      <c r="H33">
        <f t="shared" si="4"/>
        <v>17.132359422216993</v>
      </c>
      <c r="I33">
        <f t="shared" si="8"/>
        <v>24.67634353892226</v>
      </c>
      <c r="J33">
        <f t="shared" si="9"/>
        <v>-7.17330808065438</v>
      </c>
    </row>
    <row r="34" spans="1:10" ht="12.75" hidden="1">
      <c r="A34">
        <f t="shared" si="5"/>
        <v>33</v>
      </c>
      <c r="B34">
        <f aca="true" t="shared" si="10" ref="B34:B65">(I_in_av*(1/(2*PI()*A34*C_5_S)))/(dVea_ov)</f>
        <v>4.008881660075714</v>
      </c>
      <c r="C34">
        <f t="shared" si="1"/>
        <v>-32.11693085073627</v>
      </c>
      <c r="D34">
        <f aca="true" t="shared" si="11" ref="D34:D65">R_11_S+(1/(2*PI()*A34*C_8_S))</f>
        <v>559228.7706339076</v>
      </c>
      <c r="E34">
        <f aca="true" t="shared" si="12" ref="E34:E65">1/(2*PI()*A34*C_9_S)</f>
        <v>482287.70633907674</v>
      </c>
      <c r="F34">
        <f t="shared" si="6"/>
        <v>3.861628105974909E-06</v>
      </c>
      <c r="G34">
        <f t="shared" si="7"/>
        <v>258958.13179232582</v>
      </c>
      <c r="H34">
        <f t="shared" si="4"/>
        <v>16.832278566501177</v>
      </c>
      <c r="I34">
        <f t="shared" si="8"/>
        <v>24.52285819815781</v>
      </c>
      <c r="J34">
        <f t="shared" si="9"/>
        <v>-7.594072652578458</v>
      </c>
    </row>
    <row r="35" spans="1:10" ht="12.75" hidden="1">
      <c r="A35">
        <f t="shared" si="5"/>
        <v>34</v>
      </c>
      <c r="B35">
        <f t="shared" si="10"/>
        <v>3.890973375955839</v>
      </c>
      <c r="C35">
        <f t="shared" si="1"/>
        <v>-32.37623039402362</v>
      </c>
      <c r="D35">
        <f t="shared" si="11"/>
        <v>557810.2773799693</v>
      </c>
      <c r="E35">
        <f t="shared" si="12"/>
        <v>468102.77379969216</v>
      </c>
      <c r="F35">
        <f t="shared" si="6"/>
        <v>3.929007234437309E-06</v>
      </c>
      <c r="G35">
        <f t="shared" si="7"/>
        <v>254517.22033879493</v>
      </c>
      <c r="H35">
        <f t="shared" si="4"/>
        <v>16.54361932202167</v>
      </c>
      <c r="I35">
        <f t="shared" si="8"/>
        <v>24.372610563374305</v>
      </c>
      <c r="J35">
        <f t="shared" si="9"/>
        <v>-8.003619830649317</v>
      </c>
    </row>
    <row r="36" spans="1:10" ht="12.75" hidden="1">
      <c r="A36">
        <f t="shared" si="5"/>
        <v>35</v>
      </c>
      <c r="B36">
        <f t="shared" si="10"/>
        <v>3.779802708071387</v>
      </c>
      <c r="C36">
        <f t="shared" si="1"/>
        <v>-32.62801294018403</v>
      </c>
      <c r="D36">
        <f t="shared" si="11"/>
        <v>556472.8408833987</v>
      </c>
      <c r="E36">
        <f t="shared" si="12"/>
        <v>454728.40883398673</v>
      </c>
      <c r="F36">
        <f t="shared" si="6"/>
        <v>3.996147752078749E-06</v>
      </c>
      <c r="G36">
        <f t="shared" si="7"/>
        <v>250240.99759069516</v>
      </c>
      <c r="H36">
        <f t="shared" si="4"/>
        <v>16.265664843395182</v>
      </c>
      <c r="I36">
        <f t="shared" si="8"/>
        <v>24.22543638699235</v>
      </c>
      <c r="J36">
        <f t="shared" si="9"/>
        <v>-8.402576553191679</v>
      </c>
    </row>
    <row r="37" spans="1:10" ht="12.75" hidden="1">
      <c r="A37">
        <f t="shared" si="5"/>
        <v>36</v>
      </c>
      <c r="B37">
        <f t="shared" si="10"/>
        <v>3.6748081884027375</v>
      </c>
      <c r="C37">
        <f t="shared" si="1"/>
        <v>-32.87270206852426</v>
      </c>
      <c r="D37">
        <f t="shared" si="11"/>
        <v>555209.7064144154</v>
      </c>
      <c r="E37">
        <f t="shared" si="12"/>
        <v>442097.06414415373</v>
      </c>
      <c r="F37">
        <f t="shared" si="6"/>
        <v>4.063067959811493E-06</v>
      </c>
      <c r="G37">
        <f t="shared" si="7"/>
        <v>246119.4373048083</v>
      </c>
      <c r="H37">
        <f t="shared" si="4"/>
        <v>15.997763424812538</v>
      </c>
      <c r="I37">
        <f t="shared" si="8"/>
        <v>24.081185402921115</v>
      </c>
      <c r="J37">
        <f t="shared" si="9"/>
        <v>-8.791516665603147</v>
      </c>
    </row>
    <row r="38" spans="1:10" ht="12.75" hidden="1">
      <c r="A38">
        <f t="shared" si="5"/>
        <v>37</v>
      </c>
      <c r="B38">
        <f t="shared" si="10"/>
        <v>3.575489048175637</v>
      </c>
      <c r="C38">
        <f t="shared" si="1"/>
        <v>-33.110686534518415</v>
      </c>
      <c r="D38">
        <f t="shared" si="11"/>
        <v>554014.849484296</v>
      </c>
      <c r="E38">
        <f t="shared" si="12"/>
        <v>430148.4948429603</v>
      </c>
      <c r="F38">
        <f t="shared" si="6"/>
        <v>4.129784333683819E-06</v>
      </c>
      <c r="G38">
        <f t="shared" si="7"/>
        <v>242143.39519952307</v>
      </c>
      <c r="H38">
        <f t="shared" si="4"/>
        <v>15.739320687968998</v>
      </c>
      <c r="I38">
        <f t="shared" si="8"/>
        <v>23.9397196839259</v>
      </c>
      <c r="J38">
        <f t="shared" si="9"/>
        <v>-9.170966850592514</v>
      </c>
    </row>
    <row r="39" spans="1:10" ht="12.75" hidden="1">
      <c r="A39">
        <f t="shared" si="5"/>
        <v>38</v>
      </c>
      <c r="B39">
        <f t="shared" si="10"/>
        <v>3.481397231118384</v>
      </c>
      <c r="C39">
        <f t="shared" si="1"/>
        <v>-33.34232398551472</v>
      </c>
      <c r="D39">
        <f t="shared" si="11"/>
        <v>552882.8797610251</v>
      </c>
      <c r="E39">
        <f t="shared" si="12"/>
        <v>418828.7976102509</v>
      </c>
      <c r="F39">
        <f t="shared" si="6"/>
        <v>4.1963117468042154E-06</v>
      </c>
      <c r="G39">
        <f t="shared" si="7"/>
        <v>238304.50651374267</v>
      </c>
      <c r="H39">
        <f t="shared" si="4"/>
        <v>15.489792923393273</v>
      </c>
      <c r="I39">
        <f t="shared" si="8"/>
        <v>23.800912237910055</v>
      </c>
      <c r="J39">
        <f t="shared" si="9"/>
        <v>-9.541411747604663</v>
      </c>
    </row>
    <row r="40" spans="1:10" ht="12.75" hidden="1">
      <c r="A40">
        <f t="shared" si="5"/>
        <v>39</v>
      </c>
      <c r="B40">
        <f t="shared" si="10"/>
        <v>3.3921306354486815</v>
      </c>
      <c r="C40">
        <f t="shared" si="1"/>
        <v>-33.5679441937085</v>
      </c>
      <c r="D40">
        <f t="shared" si="11"/>
        <v>551808.9597671527</v>
      </c>
      <c r="E40">
        <f t="shared" si="12"/>
        <v>408089.59767152654</v>
      </c>
      <c r="F40">
        <f t="shared" si="6"/>
        <v>4.262663659648385E-06</v>
      </c>
      <c r="G40">
        <f t="shared" si="7"/>
        <v>234595.09824016635</v>
      </c>
      <c r="H40">
        <f t="shared" si="4"/>
        <v>15.248681385610812</v>
      </c>
      <c r="I40">
        <f t="shared" si="8"/>
        <v>23.66464580255751</v>
      </c>
      <c r="J40">
        <f t="shared" si="9"/>
        <v>-9.90329839115099</v>
      </c>
    </row>
    <row r="41" spans="1:10" ht="12.75" hidden="1">
      <c r="A41">
        <f t="shared" si="5"/>
        <v>40</v>
      </c>
      <c r="B41">
        <f t="shared" si="10"/>
        <v>3.307327369562464</v>
      </c>
      <c r="C41">
        <f t="shared" si="1"/>
        <v>-33.787851879737765</v>
      </c>
      <c r="D41">
        <f t="shared" si="11"/>
        <v>550788.7357729739</v>
      </c>
      <c r="E41">
        <f t="shared" si="12"/>
        <v>397887.35772973835</v>
      </c>
      <c r="F41">
        <f t="shared" si="6"/>
        <v>4.328852283882346E-06</v>
      </c>
      <c r="G41">
        <f t="shared" si="7"/>
        <v>231008.1135647222</v>
      </c>
      <c r="H41">
        <f t="shared" si="4"/>
        <v>15.015527381706942</v>
      </c>
      <c r="I41">
        <f t="shared" si="8"/>
        <v>23.530811805549057</v>
      </c>
      <c r="J41">
        <f t="shared" si="9"/>
        <v>-10.257040074188708</v>
      </c>
    </row>
    <row r="42" spans="1:10" ht="12.75" hidden="1">
      <c r="A42">
        <f t="shared" si="5"/>
        <v>41</v>
      </c>
      <c r="B42">
        <f t="shared" si="10"/>
        <v>3.2266608483536237</v>
      </c>
      <c r="C42">
        <f t="shared" si="1"/>
        <v>-34.002329187573224</v>
      </c>
      <c r="D42">
        <f t="shared" si="11"/>
        <v>549818.2788029013</v>
      </c>
      <c r="E42">
        <f t="shared" si="12"/>
        <v>388182.788029013</v>
      </c>
      <c r="F42">
        <f t="shared" si="6"/>
        <v>4.394888723904034E-06</v>
      </c>
      <c r="G42">
        <f t="shared" si="7"/>
        <v>227537.04651518178</v>
      </c>
      <c r="H42">
        <f t="shared" si="4"/>
        <v>14.789908023486815</v>
      </c>
      <c r="I42">
        <f t="shared" si="8"/>
        <v>23.39930946368856</v>
      </c>
      <c r="J42">
        <f t="shared" si="9"/>
        <v>-10.603019723884664</v>
      </c>
    </row>
    <row r="43" spans="1:10" ht="12.75" hidden="1">
      <c r="A43">
        <f t="shared" si="5"/>
        <v>42</v>
      </c>
      <c r="B43">
        <f t="shared" si="10"/>
        <v>3.149835590059489</v>
      </c>
      <c r="C43">
        <f t="shared" si="1"/>
        <v>-34.21163786113652</v>
      </c>
      <c r="D43">
        <f t="shared" si="11"/>
        <v>548894.0340694989</v>
      </c>
      <c r="E43">
        <f t="shared" si="12"/>
        <v>378940.3406949889</v>
      </c>
      <c r="F43">
        <f t="shared" si="6"/>
        <v>4.4607830995606404E-06</v>
      </c>
      <c r="G43">
        <f t="shared" si="7"/>
        <v>224175.88519345265</v>
      </c>
      <c r="H43">
        <f t="shared" si="4"/>
        <v>14.57143253757442</v>
      </c>
      <c r="I43">
        <f t="shared" si="8"/>
        <v>23.270044999134612</v>
      </c>
      <c r="J43">
        <f t="shared" si="9"/>
        <v>-10.941592862001912</v>
      </c>
    </row>
    <row r="44" spans="1:10" ht="12.75" hidden="1">
      <c r="A44">
        <f t="shared" si="5"/>
        <v>43</v>
      </c>
      <c r="B44">
        <f t="shared" si="10"/>
        <v>3.0765835995929898</v>
      </c>
      <c r="C44">
        <f t="shared" si="1"/>
        <v>-34.41602116477025</v>
      </c>
      <c r="D44">
        <f t="shared" si="11"/>
        <v>548012.7774632315</v>
      </c>
      <c r="E44">
        <f t="shared" si="12"/>
        <v>370127.77463231474</v>
      </c>
      <c r="F44">
        <f t="shared" si="6"/>
        <v>4.526544652899092E-06</v>
      </c>
      <c r="G44">
        <f t="shared" si="7"/>
        <v>220919.0622607766</v>
      </c>
      <c r="H44">
        <f t="shared" si="4"/>
        <v>14.359739046950478</v>
      </c>
      <c r="I44">
        <f t="shared" si="8"/>
        <v>23.142930954811995</v>
      </c>
      <c r="J44">
        <f t="shared" si="9"/>
        <v>-11.273090209958255</v>
      </c>
    </row>
    <row r="45" spans="1:10" ht="12.75" hidden="1">
      <c r="A45">
        <f t="shared" si="5"/>
        <v>44</v>
      </c>
      <c r="B45">
        <f t="shared" si="10"/>
        <v>3.0066612450567853</v>
      </c>
      <c r="C45">
        <f t="shared" si="1"/>
        <v>-34.615705582902265</v>
      </c>
      <c r="D45">
        <f t="shared" si="11"/>
        <v>547171.5779754308</v>
      </c>
      <c r="E45">
        <f t="shared" si="12"/>
        <v>361715.77975430764</v>
      </c>
      <c r="F45">
        <f t="shared" si="6"/>
        <v>4.5921818413219635E-06</v>
      </c>
      <c r="G45">
        <f t="shared" si="7"/>
        <v>217761.41158036707</v>
      </c>
      <c r="H45">
        <f t="shared" si="4"/>
        <v>14.154491752723859</v>
      </c>
      <c r="I45">
        <f t="shared" si="8"/>
        <v>23.017885594191565</v>
      </c>
      <c r="J45">
        <f t="shared" si="9"/>
        <v>-11.5978199887107</v>
      </c>
    </row>
    <row r="46" spans="1:10" ht="12.75" hidden="1">
      <c r="A46">
        <f t="shared" si="5"/>
        <v>45</v>
      </c>
      <c r="B46">
        <f t="shared" si="10"/>
        <v>2.93984655072219</v>
      </c>
      <c r="C46">
        <f t="shared" si="1"/>
        <v>-34.810902328685394</v>
      </c>
      <c r="D46">
        <f t="shared" si="11"/>
        <v>546367.7651315323</v>
      </c>
      <c r="E46">
        <f t="shared" si="12"/>
        <v>353677.651315323</v>
      </c>
      <c r="F46">
        <f t="shared" si="6"/>
        <v>4.6577024191266245E-06</v>
      </c>
      <c r="G46">
        <f t="shared" si="7"/>
        <v>214698.130111007</v>
      </c>
      <c r="H46">
        <f t="shared" si="4"/>
        <v>13.955378457215453</v>
      </c>
      <c r="I46">
        <f t="shared" si="8"/>
        <v>22.89483237314167</v>
      </c>
      <c r="J46">
        <f t="shared" si="9"/>
        <v>-11.916069955543723</v>
      </c>
    </row>
    <row r="47" spans="1:10" ht="12.75" hidden="1">
      <c r="A47">
        <f t="shared" si="5"/>
        <v>46</v>
      </c>
      <c r="B47">
        <f t="shared" si="10"/>
        <v>2.875936843097795</v>
      </c>
      <c r="C47">
        <f t="shared" si="1"/>
        <v>-35.001808686809994</v>
      </c>
      <c r="D47">
        <f t="shared" si="11"/>
        <v>545598.9006721511</v>
      </c>
      <c r="E47">
        <f t="shared" si="12"/>
        <v>345989.00672151166</v>
      </c>
      <c r="F47">
        <f t="shared" si="6"/>
        <v>4.7231135090832976E-06</v>
      </c>
      <c r="G47">
        <f t="shared" si="7"/>
        <v>211724.74429776907</v>
      </c>
      <c r="H47">
        <f t="shared" si="4"/>
        <v>13.762108379354988</v>
      </c>
      <c r="I47">
        <f t="shared" si="8"/>
        <v>22.773699473594316</v>
      </c>
      <c r="J47">
        <f t="shared" si="9"/>
        <v>-12.228109213215678</v>
      </c>
    </row>
    <row r="48" spans="1:10" ht="12.75" hidden="1">
      <c r="A48">
        <f t="shared" si="5"/>
        <v>47</v>
      </c>
      <c r="B48">
        <f t="shared" si="10"/>
        <v>2.8147466974999693</v>
      </c>
      <c r="C48">
        <f t="shared" si="1"/>
        <v>-35.18860921189287</v>
      </c>
      <c r="D48">
        <f t="shared" si="11"/>
        <v>544862.7538493394</v>
      </c>
      <c r="E48">
        <f t="shared" si="12"/>
        <v>338627.5384933943</v>
      </c>
      <c r="F48">
        <f t="shared" si="6"/>
        <v>4.788421665443382E-06</v>
      </c>
      <c r="G48">
        <f t="shared" si="7"/>
        <v>208837.08032997663</v>
      </c>
      <c r="H48">
        <f t="shared" si="4"/>
        <v>13.57441022144848</v>
      </c>
      <c r="I48">
        <f t="shared" si="8"/>
        <v>22.6544193904336</v>
      </c>
      <c r="J48">
        <f t="shared" si="9"/>
        <v>-12.534189821459268</v>
      </c>
    </row>
    <row r="49" spans="1:10" ht="12.75" hidden="1">
      <c r="A49">
        <f t="shared" si="5"/>
        <v>48</v>
      </c>
      <c r="B49">
        <f t="shared" si="10"/>
        <v>2.756106141302053</v>
      </c>
      <c r="C49">
        <f t="shared" si="1"/>
        <v>-35.37147680069026</v>
      </c>
      <c r="D49">
        <f t="shared" si="11"/>
        <v>544157.2798108115</v>
      </c>
      <c r="E49">
        <f t="shared" si="12"/>
        <v>331572.79810811527</v>
      </c>
      <c r="F49">
        <f t="shared" si="6"/>
        <v>4.8536329295516555E-06</v>
      </c>
      <c r="G49">
        <f t="shared" si="7"/>
        <v>206031.2377377028</v>
      </c>
      <c r="H49">
        <f t="shared" si="4"/>
        <v>13.39203045295068</v>
      </c>
      <c r="I49">
        <f t="shared" si="8"/>
        <v>22.53692856437766</v>
      </c>
      <c r="J49">
        <f t="shared" si="9"/>
        <v>-12.8345482363126</v>
      </c>
    </row>
    <row r="50" spans="1:10" ht="12.75" hidden="1">
      <c r="A50">
        <f t="shared" si="5"/>
        <v>49</v>
      </c>
      <c r="B50">
        <f t="shared" si="10"/>
        <v>2.699859077193848</v>
      </c>
      <c r="C50">
        <f t="shared" si="1"/>
        <v>-35.55057365374879</v>
      </c>
      <c r="D50">
        <f t="shared" si="11"/>
        <v>543480.6006309991</v>
      </c>
      <c r="E50">
        <f t="shared" si="12"/>
        <v>324806.0063099905</v>
      </c>
      <c r="F50">
        <f t="shared" si="6"/>
        <v>4.91875287905579E-06</v>
      </c>
      <c r="G50">
        <f t="shared" si="7"/>
        <v>203303.56588110627</v>
      </c>
      <c r="H50">
        <f t="shared" si="4"/>
        <v>13.214731782271906</v>
      </c>
      <c r="I50">
        <f t="shared" si="8"/>
        <v>22.42116705474785</v>
      </c>
      <c r="J50">
        <f t="shared" si="9"/>
        <v>-13.12940659900094</v>
      </c>
    </row>
    <row r="51" spans="1:10" ht="12.75" hidden="1">
      <c r="A51">
        <f t="shared" si="5"/>
        <v>50</v>
      </c>
      <c r="B51">
        <f t="shared" si="10"/>
        <v>2.645861895649971</v>
      </c>
      <c r="C51">
        <f t="shared" si="1"/>
        <v>-35.7260521398989</v>
      </c>
      <c r="D51">
        <f t="shared" si="11"/>
        <v>542830.9886183791</v>
      </c>
      <c r="E51">
        <f t="shared" si="12"/>
        <v>318309.8861837907</v>
      </c>
      <c r="F51">
        <f t="shared" si="6"/>
        <v>4.9837866715569945E-06</v>
      </c>
      <c r="G51">
        <f t="shared" si="7"/>
        <v>200650.64295530692</v>
      </c>
      <c r="H51">
        <f t="shared" si="4"/>
        <v>13.042291792094948</v>
      </c>
      <c r="I51">
        <f t="shared" si="8"/>
        <v>22.307078246947462</v>
      </c>
      <c r="J51">
        <f t="shared" si="9"/>
        <v>-13.418973892951435</v>
      </c>
    </row>
    <row r="52" spans="1:10" ht="12.75" hidden="1">
      <c r="A52">
        <f t="shared" si="5"/>
        <v>51</v>
      </c>
      <c r="B52">
        <f t="shared" si="10"/>
        <v>2.5939822506372265</v>
      </c>
      <c r="C52">
        <f t="shared" si="1"/>
        <v>-35.89805557513725</v>
      </c>
      <c r="D52">
        <f t="shared" si="11"/>
        <v>542206.8515866462</v>
      </c>
      <c r="E52">
        <f t="shared" si="12"/>
        <v>312068.51586646144</v>
      </c>
      <c r="F52">
        <f t="shared" si="6"/>
        <v>5.048739083420856E-06</v>
      </c>
      <c r="G52">
        <f t="shared" si="7"/>
        <v>198069.25719014055</v>
      </c>
      <c r="H52">
        <f t="shared" si="4"/>
        <v>12.874501717359134</v>
      </c>
      <c r="I52">
        <f t="shared" si="8"/>
        <v>22.194608590242822</v>
      </c>
      <c r="J52">
        <f t="shared" si="9"/>
        <v>-13.703446984894427</v>
      </c>
    </row>
    <row r="53" spans="1:10" ht="12.75" hidden="1">
      <c r="A53">
        <f t="shared" si="5"/>
        <v>52</v>
      </c>
      <c r="B53">
        <f t="shared" si="10"/>
        <v>2.5440979765865106</v>
      </c>
      <c r="C53">
        <f t="shared" si="1"/>
        <v>-36.0667189258745</v>
      </c>
      <c r="D53">
        <f t="shared" si="11"/>
        <v>541606.7198253645</v>
      </c>
      <c r="E53">
        <f t="shared" si="12"/>
        <v>306067.19825364486</v>
      </c>
      <c r="F53">
        <f t="shared" si="6"/>
        <v>5.113614544363073E-06</v>
      </c>
      <c r="G53">
        <f t="shared" si="7"/>
        <v>195556.38997122634</v>
      </c>
      <c r="H53">
        <f t="shared" si="4"/>
        <v>12.711165348129711</v>
      </c>
      <c r="I53">
        <f t="shared" si="8"/>
        <v>22.08370736208241</v>
      </c>
      <c r="J53">
        <f t="shared" si="9"/>
        <v>-13.983011563792086</v>
      </c>
    </row>
    <row r="54" spans="1:10" ht="12.75" hidden="1">
      <c r="A54">
        <f t="shared" si="5"/>
        <v>53</v>
      </c>
      <c r="B54">
        <f t="shared" si="10"/>
        <v>2.4960961279716707</v>
      </c>
      <c r="C54">
        <f t="shared" si="1"/>
        <v>-36.2321694451943</v>
      </c>
      <c r="D54">
        <f t="shared" si="11"/>
        <v>541029.2345456406</v>
      </c>
      <c r="E54">
        <f t="shared" si="12"/>
        <v>300292.3454564063</v>
      </c>
      <c r="F54">
        <f t="shared" si="6"/>
        <v>5.178417168337141E-06</v>
      </c>
      <c r="G54">
        <f t="shared" si="7"/>
        <v>193109.20064810332</v>
      </c>
      <c r="H54">
        <f t="shared" si="4"/>
        <v>12.552098042126714</v>
      </c>
      <c r="I54">
        <f t="shared" si="8"/>
        <v>21.97432645572728</v>
      </c>
      <c r="J54">
        <f t="shared" si="9"/>
        <v>-14.257842989467022</v>
      </c>
    </row>
    <row r="55" spans="1:10" ht="12.75" hidden="1">
      <c r="A55">
        <f t="shared" si="5"/>
        <v>54</v>
      </c>
      <c r="B55">
        <f t="shared" si="10"/>
        <v>2.4498721256018254</v>
      </c>
      <c r="C55">
        <f t="shared" si="1"/>
        <v>-36.39452724963789</v>
      </c>
      <c r="D55">
        <f t="shared" si="11"/>
        <v>540473.1376096102</v>
      </c>
      <c r="E55">
        <f t="shared" si="12"/>
        <v>294731.3760961025</v>
      </c>
      <c r="F55">
        <f t="shared" si="6"/>
        <v>5.2431507811772265E-06</v>
      </c>
      <c r="G55">
        <f t="shared" si="7"/>
        <v>190725.0128281593</v>
      </c>
      <c r="H55">
        <f t="shared" si="4"/>
        <v>12.397125833830353</v>
      </c>
      <c r="I55">
        <f t="shared" si="8"/>
        <v>21.866420188418015</v>
      </c>
      <c r="J55">
        <f t="shared" si="9"/>
        <v>-14.528107061219874</v>
      </c>
    </row>
    <row r="56" spans="1:10" ht="12.75" hidden="1">
      <c r="A56">
        <f t="shared" si="5"/>
        <v>55</v>
      </c>
      <c r="B56">
        <f t="shared" si="10"/>
        <v>2.405328996045428</v>
      </c>
      <c r="C56">
        <f t="shared" si="1"/>
        <v>-36.5539058430634</v>
      </c>
      <c r="D56">
        <f t="shared" si="11"/>
        <v>539937.2623803446</v>
      </c>
      <c r="E56">
        <f t="shared" si="12"/>
        <v>289372.623803446</v>
      </c>
      <c r="F56">
        <f t="shared" si="6"/>
        <v>5.307818945387072E-06</v>
      </c>
      <c r="G56">
        <f t="shared" si="7"/>
        <v>188401.30198281945</v>
      </c>
      <c r="H56">
        <f t="shared" si="4"/>
        <v>12.246084628883263</v>
      </c>
      <c r="I56">
        <f t="shared" si="8"/>
        <v>21.759945127684325</v>
      </c>
      <c r="J56">
        <f t="shared" si="9"/>
        <v>-14.793960715379072</v>
      </c>
    </row>
    <row r="57" spans="1:10" ht="12.75" hidden="1">
      <c r="A57">
        <f t="shared" si="5"/>
        <v>56</v>
      </c>
      <c r="B57">
        <f t="shared" si="10"/>
        <v>2.362376692544617</v>
      </c>
      <c r="C57">
        <f t="shared" si="1"/>
        <v>-36.71041259330252</v>
      </c>
      <c r="D57">
        <f t="shared" si="11"/>
        <v>539420.5255521241</v>
      </c>
      <c r="E57">
        <f t="shared" si="12"/>
        <v>284205.2555212417</v>
      </c>
      <c r="F57">
        <f t="shared" si="6"/>
        <v>5.372424982412867E-06</v>
      </c>
      <c r="G57">
        <f t="shared" si="7"/>
        <v>186135.68421589746</v>
      </c>
      <c r="H57">
        <f t="shared" si="4"/>
        <v>12.098819474033334</v>
      </c>
      <c r="I57">
        <f t="shared" si="8"/>
        <v>21.654859933725596</v>
      </c>
      <c r="J57">
        <f t="shared" si="9"/>
        <v>-15.055552659576925</v>
      </c>
    </row>
    <row r="58" spans="1:10" ht="12.75" hidden="1">
      <c r="A58">
        <f t="shared" si="5"/>
        <v>57</v>
      </c>
      <c r="B58">
        <f t="shared" si="10"/>
        <v>2.3209314874122553</v>
      </c>
      <c r="C58">
        <f t="shared" si="1"/>
        <v>-36.864149166628344</v>
      </c>
      <c r="D58">
        <f t="shared" si="11"/>
        <v>538921.9198406833</v>
      </c>
      <c r="E58">
        <f t="shared" si="12"/>
        <v>279219.198406834</v>
      </c>
      <c r="F58">
        <f t="shared" si="6"/>
        <v>5.436971992693112E-06</v>
      </c>
      <c r="G58">
        <f t="shared" si="7"/>
        <v>183925.90606387638</v>
      </c>
      <c r="H58">
        <f t="shared" si="4"/>
        <v>11.955183894151963</v>
      </c>
      <c r="I58">
        <f t="shared" si="8"/>
        <v>21.55112521606425</v>
      </c>
      <c r="J58">
        <f t="shared" si="9"/>
        <v>-15.313023950564094</v>
      </c>
    </row>
    <row r="59" spans="1:10" ht="12.75" hidden="1">
      <c r="A59">
        <f t="shared" si="5"/>
        <v>58</v>
      </c>
      <c r="B59">
        <f t="shared" si="10"/>
        <v>2.280915427284458</v>
      </c>
      <c r="C59">
        <f t="shared" si="1"/>
        <v>-37.01521192443726</v>
      </c>
      <c r="D59">
        <f t="shared" si="11"/>
        <v>538440.5074296371</v>
      </c>
      <c r="E59">
        <f t="shared" si="12"/>
        <v>274405.07429637125</v>
      </c>
      <c r="F59">
        <f t="shared" si="6"/>
        <v>5.50146287374002E-06</v>
      </c>
      <c r="G59">
        <f t="shared" si="7"/>
        <v>181769.83521478847</v>
      </c>
      <c r="H59">
        <f t="shared" si="4"/>
        <v>11.81503928896125</v>
      </c>
      <c r="I59">
        <f t="shared" si="8"/>
        <v>21.448703402906816</v>
      </c>
      <c r="J59">
        <f t="shared" si="9"/>
        <v>-15.566508521530444</v>
      </c>
    </row>
    <row r="60" spans="1:10" ht="12.75" hidden="1">
      <c r="A60">
        <f t="shared" si="5"/>
        <v>59</v>
      </c>
      <c r="B60">
        <f t="shared" si="10"/>
        <v>2.242255843771162</v>
      </c>
      <c r="C60">
        <f t="shared" si="1"/>
        <v>-37.1636922860214</v>
      </c>
      <c r="D60">
        <f t="shared" si="11"/>
        <v>537975.4140833721</v>
      </c>
      <c r="E60">
        <f t="shared" si="12"/>
        <v>269754.1408337209</v>
      </c>
      <c r="F60">
        <f t="shared" si="6"/>
        <v>5.5659003364743595E-06</v>
      </c>
      <c r="G60">
        <f t="shared" si="7"/>
        <v>179665.45204678166</v>
      </c>
      <c r="H60">
        <f t="shared" si="4"/>
        <v>11.678254383040807</v>
      </c>
      <c r="I60">
        <f t="shared" si="8"/>
        <v>21.347558621846492</v>
      </c>
      <c r="J60">
        <f t="shared" si="9"/>
        <v>-15.81613366417491</v>
      </c>
    </row>
    <row r="61" spans="1:10" ht="12.75" hidden="1">
      <c r="A61">
        <f t="shared" si="5"/>
        <v>60</v>
      </c>
      <c r="B61">
        <f t="shared" si="10"/>
        <v>2.204884913041643</v>
      </c>
      <c r="C61">
        <f t="shared" si="1"/>
        <v>-37.309677060851385</v>
      </c>
      <c r="D61">
        <f t="shared" si="11"/>
        <v>537525.8238486493</v>
      </c>
      <c r="E61">
        <f t="shared" si="12"/>
        <v>265258.23848649225</v>
      </c>
      <c r="F61">
        <f t="shared" si="6"/>
        <v>5.6302869200074176E-06</v>
      </c>
      <c r="G61">
        <f t="shared" si="7"/>
        <v>177610.841899809</v>
      </c>
      <c r="H61">
        <f t="shared" si="4"/>
        <v>11.544704723487584</v>
      </c>
      <c r="I61">
        <f t="shared" si="8"/>
        <v>21.24765659071153</v>
      </c>
      <c r="J61">
        <f t="shared" si="9"/>
        <v>-16.062020470139856</v>
      </c>
    </row>
    <row r="62" spans="1:10" ht="12.75" hidden="1">
      <c r="A62">
        <f t="shared" si="5"/>
        <v>61</v>
      </c>
      <c r="B62">
        <f t="shared" si="10"/>
        <v>2.1687392587294845</v>
      </c>
      <c r="C62">
        <f t="shared" si="1"/>
        <v>-37.45324875339386</v>
      </c>
      <c r="D62">
        <f t="shared" si="11"/>
        <v>537090.9742773599</v>
      </c>
      <c r="E62">
        <f t="shared" si="12"/>
        <v>260909.7427735989</v>
      </c>
      <c r="F62">
        <f t="shared" si="6"/>
        <v>5.694625005039627E-06</v>
      </c>
      <c r="G62">
        <f t="shared" si="7"/>
        <v>175604.1880044815</v>
      </c>
      <c r="H62">
        <f t="shared" si="4"/>
        <v>11.414272220291295</v>
      </c>
      <c r="I62">
        <f t="shared" si="8"/>
        <v>21.14896451751022</v>
      </c>
      <c r="J62">
        <f t="shared" si="9"/>
        <v>-16.30428423588364</v>
      </c>
    </row>
    <row r="63" spans="1:10" ht="12.75" hidden="1">
      <c r="A63">
        <f t="shared" si="5"/>
        <v>62</v>
      </c>
      <c r="B63">
        <f t="shared" si="10"/>
        <v>2.133759593266106</v>
      </c>
      <c r="C63">
        <f t="shared" si="1"/>
        <v>-37.594485843143595</v>
      </c>
      <c r="D63">
        <f t="shared" si="11"/>
        <v>536670.1521115961</v>
      </c>
      <c r="E63">
        <f t="shared" si="12"/>
        <v>256701.52111596026</v>
      </c>
      <c r="F63">
        <f t="shared" si="6"/>
        <v>5.758916826024571E-06</v>
      </c>
      <c r="G63">
        <f t="shared" si="7"/>
        <v>173643.7650012578</v>
      </c>
      <c r="H63">
        <f t="shared" si="4"/>
        <v>11.286844725081755</v>
      </c>
      <c r="I63">
        <f t="shared" si="8"/>
        <v>21.051451008549705</v>
      </c>
      <c r="J63">
        <f t="shared" si="9"/>
        <v>-16.54303483459389</v>
      </c>
    </row>
    <row r="64" spans="1:10" ht="12.75" hidden="1">
      <c r="A64">
        <f t="shared" si="5"/>
        <v>63</v>
      </c>
      <c r="B64">
        <f t="shared" si="10"/>
        <v>2.0998903933729927</v>
      </c>
      <c r="C64">
        <f t="shared" si="1"/>
        <v>-37.73346304225015</v>
      </c>
      <c r="D64">
        <f t="shared" si="11"/>
        <v>536262.6893796659</v>
      </c>
      <c r="E64">
        <f t="shared" si="12"/>
        <v>252626.89379665925</v>
      </c>
      <c r="F64">
        <f t="shared" si="6"/>
        <v>5.8231644822290954E-06</v>
      </c>
      <c r="G64">
        <f t="shared" si="7"/>
        <v>171727.93299103275</v>
      </c>
      <c r="H64">
        <f t="shared" si="4"/>
        <v>11.162315644417127</v>
      </c>
      <c r="I64">
        <f t="shared" si="8"/>
        <v>20.955085983914557</v>
      </c>
      <c r="J64">
        <f t="shared" si="9"/>
        <v>-16.778377058335593</v>
      </c>
    </row>
    <row r="65" spans="1:10" ht="12.75" hidden="1">
      <c r="A65">
        <f t="shared" si="5"/>
        <v>64</v>
      </c>
      <c r="B65">
        <f t="shared" si="10"/>
        <v>2.0670796059765397</v>
      </c>
      <c r="C65">
        <f t="shared" si="1"/>
        <v>-37.87025153285626</v>
      </c>
      <c r="D65">
        <f t="shared" si="11"/>
        <v>535867.9598581087</v>
      </c>
      <c r="E65">
        <f t="shared" si="12"/>
        <v>248679.59858108647</v>
      </c>
      <c r="F65">
        <f t="shared" si="6"/>
        <v>5.88736994780464E-06</v>
      </c>
      <c r="G65">
        <f t="shared" si="7"/>
        <v>169855.13206502222</v>
      </c>
      <c r="H65">
        <f t="shared" si="4"/>
        <v>11.040583584226443</v>
      </c>
      <c r="I65">
        <f t="shared" si="8"/>
        <v>20.859840599586022</v>
      </c>
      <c r="J65">
        <f t="shared" si="9"/>
        <v>-17.010410933270236</v>
      </c>
    </row>
    <row r="66" spans="1:10" ht="12.75" hidden="1">
      <c r="A66">
        <f t="shared" si="5"/>
        <v>65</v>
      </c>
      <c r="B66">
        <f aca="true" t="shared" si="13" ref="B66:B97">(I_in_av*(1/(2*PI()*A66*C_5_S)))/(dVea_ov)</f>
        <v>2.0352783812692086</v>
      </c>
      <c r="C66">
        <f aca="true" t="shared" si="14" ref="C66:C100">20*LOG(B66,10)+20*LOG(Gvd,10)</f>
        <v>-38.00491918603563</v>
      </c>
      <c r="D66">
        <f aca="true" t="shared" si="15" ref="D66:D100">R_11_S+(1/(2*PI()*A66*C_8_S))</f>
        <v>535485.3758602916</v>
      </c>
      <c r="E66">
        <f aca="true" t="shared" si="16" ref="E66:E100">1/(2*PI()*A66*C_9_S)</f>
        <v>244853.7586029159</v>
      </c>
      <c r="F66">
        <f t="shared" si="6"/>
        <v>5.951535080971435E-06</v>
      </c>
      <c r="G66">
        <f t="shared" si="7"/>
        <v>168023.87726777472</v>
      </c>
      <c r="H66">
        <f aca="true" t="shared" si="17" ref="H66:H100">G66*g_ea</f>
        <v>10.921552022405356</v>
      </c>
      <c r="I66">
        <f t="shared" si="8"/>
        <v>20.765687175564555</v>
      </c>
      <c r="J66">
        <f t="shared" si="9"/>
        <v>-17.239232010471074</v>
      </c>
    </row>
    <row r="67" spans="1:10" ht="12.75" hidden="1">
      <c r="A67">
        <f t="shared" si="5"/>
        <v>66</v>
      </c>
      <c r="B67">
        <f t="shared" si="13"/>
        <v>2.004440830037857</v>
      </c>
      <c r="C67">
        <f t="shared" si="14"/>
        <v>-38.13753076401589</v>
      </c>
      <c r="D67">
        <f t="shared" si="15"/>
        <v>535114.3853169539</v>
      </c>
      <c r="E67">
        <f t="shared" si="16"/>
        <v>241143.85316953837</v>
      </c>
      <c r="F67">
        <f t="shared" si="6"/>
        <v>6.0156616324053785E-06</v>
      </c>
      <c r="G67">
        <f t="shared" si="7"/>
        <v>166232.75395231086</v>
      </c>
      <c r="H67">
        <f t="shared" si="17"/>
        <v>10.805129006900204</v>
      </c>
      <c r="I67">
        <f t="shared" si="8"/>
        <v>20.67259912942994</v>
      </c>
      <c r="J67">
        <f t="shared" si="9"/>
        <v>-17.46493163458595</v>
      </c>
    </row>
    <row r="68" spans="1:10" ht="12.75" hidden="1">
      <c r="A68">
        <f aca="true" t="shared" si="18" ref="A68:A100">A67+1</f>
        <v>67</v>
      </c>
      <c r="B68">
        <f t="shared" si="13"/>
        <v>1.974523802723859</v>
      </c>
      <c r="C68">
        <f t="shared" si="14"/>
        <v>-38.268148107195046</v>
      </c>
      <c r="D68">
        <f t="shared" si="15"/>
        <v>534754.4691181934</v>
      </c>
      <c r="E68">
        <f t="shared" si="16"/>
        <v>237544.69118193336</v>
      </c>
      <c r="F68">
        <f aca="true" t="shared" si="19" ref="F68:F100">(1/D68)+(1/E68)</f>
        <v>6.079751252907227E-06</v>
      </c>
      <c r="G68">
        <f aca="true" t="shared" si="20" ref="G68:G100">1/F68</f>
        <v>164480.41349090033</v>
      </c>
      <c r="H68">
        <f t="shared" si="17"/>
        <v>10.691226876908521</v>
      </c>
      <c r="I68">
        <f aca="true" t="shared" si="21" ref="I68:I100">20*LOG(H68,10)</f>
        <v>20.58055091483567</v>
      </c>
      <c r="J68">
        <f aca="true" t="shared" si="22" ref="J68:J100">C68+I68</f>
        <v>-17.687597192359377</v>
      </c>
    </row>
    <row r="69" spans="1:10" ht="12.75" hidden="1">
      <c r="A69">
        <f t="shared" si="18"/>
        <v>68</v>
      </c>
      <c r="B69">
        <f t="shared" si="13"/>
        <v>1.9454866879779196</v>
      </c>
      <c r="C69">
        <f t="shared" si="14"/>
        <v>-38.39683030730325</v>
      </c>
      <c r="D69">
        <f t="shared" si="15"/>
        <v>534405.1386899846</v>
      </c>
      <c r="E69">
        <f t="shared" si="16"/>
        <v>234051.38689984608</v>
      </c>
      <c r="F69">
        <f t="shared" si="19"/>
        <v>6.14380550042472E-06</v>
      </c>
      <c r="G69">
        <f t="shared" si="20"/>
        <v>162765.5693089357</v>
      </c>
      <c r="H69">
        <f t="shared" si="17"/>
        <v>10.57976200508082</v>
      </c>
      <c r="I69">
        <f t="shared" si="21"/>
        <v>20.489517964488687</v>
      </c>
      <c r="J69">
        <f t="shared" si="22"/>
        <v>-17.90731234281456</v>
      </c>
    </row>
    <row r="70" spans="1:10" ht="12.75" hidden="1">
      <c r="A70">
        <f t="shared" si="18"/>
        <v>69</v>
      </c>
      <c r="B70">
        <f t="shared" si="13"/>
        <v>1.9172912287318626</v>
      </c>
      <c r="C70">
        <f t="shared" si="14"/>
        <v>-38.52363386792362</v>
      </c>
      <c r="D70">
        <f t="shared" si="15"/>
        <v>534065.9337814341</v>
      </c>
      <c r="E70">
        <f t="shared" si="16"/>
        <v>230659.33781434107</v>
      </c>
      <c r="F70">
        <f t="shared" si="19"/>
        <v>6.207825846490463E-06</v>
      </c>
      <c r="G70">
        <f t="shared" si="20"/>
        <v>161086.99321282358</v>
      </c>
      <c r="H70">
        <f t="shared" si="17"/>
        <v>10.470654558833532</v>
      </c>
      <c r="I70">
        <f t="shared" si="21"/>
        <v>20.399476637213674</v>
      </c>
      <c r="J70">
        <f t="shared" si="22"/>
        <v>-18.124157230709947</v>
      </c>
    </row>
    <row r="71" spans="1:10" ht="12.75" hidden="1">
      <c r="A71">
        <f t="shared" si="18"/>
        <v>70</v>
      </c>
      <c r="B71">
        <f t="shared" si="13"/>
        <v>1.8899013540356935</v>
      </c>
      <c r="C71">
        <f t="shared" si="14"/>
        <v>-38.64861285346365</v>
      </c>
      <c r="D71">
        <f t="shared" si="15"/>
        <v>533736.4204416993</v>
      </c>
      <c r="E71">
        <f t="shared" si="16"/>
        <v>227364.20441699337</v>
      </c>
      <c r="F71">
        <f t="shared" si="19"/>
        <v>6.271813682131494E-06</v>
      </c>
      <c r="G71">
        <f t="shared" si="20"/>
        <v>159443.51198585783</v>
      </c>
      <c r="H71">
        <f t="shared" si="17"/>
        <v>10.363828279080758</v>
      </c>
      <c r="I71">
        <f t="shared" si="21"/>
        <v>20.31040416874294</v>
      </c>
      <c r="J71">
        <f t="shared" si="22"/>
        <v>-18.338208684720712</v>
      </c>
    </row>
    <row r="72" spans="1:10" ht="12.75" hidden="1">
      <c r="A72">
        <f t="shared" si="18"/>
        <v>71</v>
      </c>
      <c r="B72">
        <f t="shared" si="13"/>
        <v>1.8632830251056136</v>
      </c>
      <c r="C72">
        <f t="shared" si="14"/>
        <v>-38.77181902756002</v>
      </c>
      <c r="D72">
        <f t="shared" si="15"/>
        <v>533416.1891678725</v>
      </c>
      <c r="E72">
        <f t="shared" si="16"/>
        <v>224161.8916787258</v>
      </c>
      <c r="F72">
        <f t="shared" si="19"/>
        <v>6.335770323300451E-06</v>
      </c>
      <c r="G72">
        <f t="shared" si="20"/>
        <v>157834.00422871968</v>
      </c>
      <c r="H72">
        <f t="shared" si="17"/>
        <v>10.259210274866778</v>
      </c>
      <c r="I72">
        <f t="shared" si="21"/>
        <v>20.2222786259101</v>
      </c>
      <c r="J72">
        <f t="shared" si="22"/>
        <v>-18.54954040164992</v>
      </c>
    </row>
    <row r="73" spans="1:10" ht="12.75" hidden="1">
      <c r="A73">
        <f t="shared" si="18"/>
        <v>72</v>
      </c>
      <c r="B73">
        <f t="shared" si="13"/>
        <v>1.8374040942013687</v>
      </c>
      <c r="C73">
        <f t="shared" si="14"/>
        <v>-38.89330198180389</v>
      </c>
      <c r="D73">
        <f t="shared" si="15"/>
        <v>533104.8532072076</v>
      </c>
      <c r="E73">
        <f t="shared" si="16"/>
        <v>221048.53207207687</v>
      </c>
      <c r="F73">
        <f t="shared" si="19"/>
        <v>6.399697015872874E-06</v>
      </c>
      <c r="G73">
        <f t="shared" si="20"/>
        <v>156257.39742361958</v>
      </c>
      <c r="H73">
        <f t="shared" si="17"/>
        <v>10.156730832535272</v>
      </c>
      <c r="I73">
        <f t="shared" si="21"/>
        <v>20.135078863958423</v>
      </c>
      <c r="J73">
        <f t="shared" si="22"/>
        <v>-18.758223117845464</v>
      </c>
    </row>
    <row r="74" spans="1:10" ht="12.75" hidden="1">
      <c r="A74">
        <f t="shared" si="18"/>
        <v>73</v>
      </c>
      <c r="B74">
        <f t="shared" si="13"/>
        <v>1.8122341751027198</v>
      </c>
      <c r="C74">
        <f t="shared" si="14"/>
        <v>-39.013109255587636</v>
      </c>
      <c r="D74">
        <f t="shared" si="15"/>
        <v>532802.0469988898</v>
      </c>
      <c r="E74">
        <f t="shared" si="16"/>
        <v>218020.4699888977</v>
      </c>
      <c r="F74">
        <f t="shared" si="19"/>
        <v>6.463594940250628E-06</v>
      </c>
      <c r="G74">
        <f t="shared" si="20"/>
        <v>154712.66520318564</v>
      </c>
      <c r="H74">
        <f t="shared" si="17"/>
        <v>10.056323238207066</v>
      </c>
      <c r="I74">
        <f t="shared" si="21"/>
        <v>20.048784486703475</v>
      </c>
      <c r="J74">
        <f t="shared" si="22"/>
        <v>-18.96432476888416</v>
      </c>
    </row>
    <row r="75" spans="1:10" ht="12.75" hidden="1">
      <c r="A75">
        <f t="shared" si="18"/>
        <v>74</v>
      </c>
      <c r="B75">
        <f t="shared" si="13"/>
        <v>1.7877445240878185</v>
      </c>
      <c r="C75">
        <f t="shared" si="14"/>
        <v>-39.13128644779804</v>
      </c>
      <c r="D75">
        <f t="shared" si="15"/>
        <v>532507.424742148</v>
      </c>
      <c r="E75">
        <f t="shared" si="16"/>
        <v>215074.24742148016</v>
      </c>
      <c r="F75">
        <f t="shared" si="19"/>
        <v>6.527465215607104E-06</v>
      </c>
      <c r="G75">
        <f t="shared" si="20"/>
        <v>153198.82480706446</v>
      </c>
      <c r="H75">
        <f t="shared" si="17"/>
        <v>9.957923612459188</v>
      </c>
      <c r="I75">
        <f t="shared" si="21"/>
        <v>19.96337580931562</v>
      </c>
      <c r="J75">
        <f t="shared" si="22"/>
        <v>-19.167910638482418</v>
      </c>
    </row>
    <row r="76" spans="1:10" ht="12.75" hidden="1">
      <c r="A76">
        <f t="shared" si="18"/>
        <v>75</v>
      </c>
      <c r="B76">
        <f t="shared" si="13"/>
        <v>1.7639079304333143</v>
      </c>
      <c r="C76">
        <f t="shared" si="14"/>
        <v>-39.24787732101252</v>
      </c>
      <c r="D76">
        <f t="shared" si="15"/>
        <v>532220.6590789193</v>
      </c>
      <c r="E76">
        <f t="shared" si="16"/>
        <v>212206.59078919378</v>
      </c>
      <c r="F76">
        <f t="shared" si="19"/>
        <v>6.591308903806372E-06</v>
      </c>
      <c r="G76">
        <f t="shared" si="20"/>
        <v>151714.93471084576</v>
      </c>
      <c r="H76">
        <f t="shared" si="17"/>
        <v>9.861470756204973</v>
      </c>
      <c r="I76">
        <f t="shared" si="21"/>
        <v>19.878833823510234</v>
      </c>
      <c r="J76">
        <f t="shared" si="22"/>
        <v>-19.369043497502282</v>
      </c>
    </row>
    <row r="77" spans="1:10" ht="12.75" hidden="1">
      <c r="A77">
        <f t="shared" si="18"/>
        <v>76</v>
      </c>
      <c r="B77">
        <f t="shared" si="13"/>
        <v>1.740698615559192</v>
      </c>
      <c r="C77">
        <f t="shared" si="14"/>
        <v>-39.36292389879434</v>
      </c>
      <c r="D77">
        <f t="shared" si="15"/>
        <v>531941.4398805125</v>
      </c>
      <c r="E77">
        <f t="shared" si="16"/>
        <v>209414.39880512544</v>
      </c>
      <c r="F77">
        <f t="shared" si="19"/>
        <v>6.655127013025096E-06</v>
      </c>
      <c r="G77">
        <f t="shared" si="20"/>
        <v>150260.09241339014</v>
      </c>
      <c r="H77">
        <f t="shared" si="17"/>
        <v>9.766906006870359</v>
      </c>
      <c r="I77">
        <f t="shared" si="21"/>
        <v>19.79514016495412</v>
      </c>
      <c r="J77">
        <f t="shared" si="22"/>
        <v>-19.567783733840223</v>
      </c>
    </row>
    <row r="78" spans="1:10" ht="12.75" hidden="1">
      <c r="A78">
        <f t="shared" si="18"/>
        <v>77</v>
      </c>
      <c r="B78">
        <f t="shared" si="13"/>
        <v>1.718092140032449</v>
      </c>
      <c r="C78">
        <f t="shared" si="14"/>
        <v>-39.476466556628154</v>
      </c>
      <c r="D78">
        <f t="shared" si="15"/>
        <v>531669.4731288176</v>
      </c>
      <c r="E78">
        <f t="shared" si="16"/>
        <v>206694.73128817577</v>
      </c>
      <c r="F78">
        <f t="shared" si="19"/>
        <v>6.718920501103205E-06</v>
      </c>
      <c r="G78">
        <f t="shared" si="20"/>
        <v>148833.43236994784</v>
      </c>
      <c r="H78">
        <f t="shared" si="17"/>
        <v>9.67417310404661</v>
      </c>
      <c r="I78">
        <f t="shared" si="21"/>
        <v>19.712277082714298</v>
      </c>
      <c r="J78">
        <f t="shared" si="22"/>
        <v>-19.764189473913856</v>
      </c>
    </row>
    <row r="79" spans="1:10" ht="12.75" hidden="1">
      <c r="A79">
        <f t="shared" si="18"/>
        <v>78</v>
      </c>
      <c r="B79">
        <f t="shared" si="13"/>
        <v>1.6960653177243408</v>
      </c>
      <c r="C79">
        <f t="shared" si="14"/>
        <v>-39.588544106988124</v>
      </c>
      <c r="D79">
        <f t="shared" si="15"/>
        <v>531404.4798835763</v>
      </c>
      <c r="E79">
        <f t="shared" si="16"/>
        <v>204044.79883576327</v>
      </c>
      <c r="F79">
        <f t="shared" si="19"/>
        <v>6.7826902786467E-06</v>
      </c>
      <c r="G79">
        <f t="shared" si="20"/>
        <v>147434.12405962351</v>
      </c>
      <c r="H79">
        <f t="shared" si="17"/>
        <v>9.583218063875528</v>
      </c>
      <c r="I79">
        <f t="shared" si="21"/>
        <v>19.63022741059168</v>
      </c>
      <c r="J79">
        <f t="shared" si="22"/>
        <v>-19.958316696396444</v>
      </c>
    </row>
    <row r="80" spans="1:10" ht="12.75" hidden="1">
      <c r="A80">
        <f t="shared" si="18"/>
        <v>79</v>
      </c>
      <c r="B80">
        <f t="shared" si="13"/>
        <v>1.6745961364873232</v>
      </c>
      <c r="C80">
        <f t="shared" si="14"/>
        <v>-39.699193878987344</v>
      </c>
      <c r="D80">
        <f t="shared" si="15"/>
        <v>531146.195328088</v>
      </c>
      <c r="E80">
        <f t="shared" si="16"/>
        <v>201461.95328088017</v>
      </c>
      <c r="F80">
        <f t="shared" si="19"/>
        <v>6.8464372119037644E-06</v>
      </c>
      <c r="G80">
        <f t="shared" si="20"/>
        <v>146061.37017678624</v>
      </c>
      <c r="H80">
        <f t="shared" si="17"/>
        <v>9.493989061491105</v>
      </c>
      <c r="I80">
        <f t="shared" si="21"/>
        <v>19.54897454019624</v>
      </c>
      <c r="J80">
        <f t="shared" si="22"/>
        <v>-20.150219338791103</v>
      </c>
    </row>
    <row r="81" spans="1:10" ht="12.75" hidden="1">
      <c r="A81">
        <f t="shared" si="18"/>
        <v>80</v>
      </c>
      <c r="B81">
        <f t="shared" si="13"/>
        <v>1.653663684781232</v>
      </c>
      <c r="C81">
        <f t="shared" si="14"/>
        <v>-39.80845179301739</v>
      </c>
      <c r="D81">
        <f t="shared" si="15"/>
        <v>530894.3678864869</v>
      </c>
      <c r="E81">
        <f t="shared" si="16"/>
        <v>198943.67886486917</v>
      </c>
      <c r="F81">
        <f t="shared" si="19"/>
        <v>6.910162125433225E-06</v>
      </c>
      <c r="G81">
        <f t="shared" si="20"/>
        <v>144714.40493696174</v>
      </c>
      <c r="H81">
        <f t="shared" si="17"/>
        <v>9.406436320902513</v>
      </c>
      <c r="I81">
        <f t="shared" si="21"/>
        <v>19.468502395633514</v>
      </c>
      <c r="J81">
        <f t="shared" si="22"/>
        <v>-20.339949397383876</v>
      </c>
    </row>
    <row r="82" spans="1:10" ht="12.75" hidden="1">
      <c r="A82">
        <f t="shared" si="18"/>
        <v>81</v>
      </c>
      <c r="B82">
        <f t="shared" si="13"/>
        <v>1.6332480837345502</v>
      </c>
      <c r="C82">
        <f t="shared" si="14"/>
        <v>-39.91635243075151</v>
      </c>
      <c r="D82">
        <f t="shared" si="15"/>
        <v>530648.7584064069</v>
      </c>
      <c r="E82">
        <f t="shared" si="16"/>
        <v>196487.58406406833</v>
      </c>
      <c r="F82">
        <f t="shared" si="19"/>
        <v>6.97386580458269E-06</v>
      </c>
      <c r="G82">
        <f t="shared" si="20"/>
        <v>143392.49248858166</v>
      </c>
      <c r="H82">
        <f t="shared" si="17"/>
        <v>9.320512011757806</v>
      </c>
      <c r="I82">
        <f t="shared" si="21"/>
        <v>19.38879540968331</v>
      </c>
      <c r="J82">
        <f t="shared" si="22"/>
        <v>-20.527557021068198</v>
      </c>
    </row>
    <row r="83" spans="1:10" ht="12.75" hidden="1">
      <c r="A83">
        <f t="shared" si="18"/>
        <v>82</v>
      </c>
      <c r="B83">
        <f t="shared" si="13"/>
        <v>1.6133304241768118</v>
      </c>
      <c r="C83">
        <f t="shared" si="14"/>
        <v>-40.02292910085285</v>
      </c>
      <c r="D83">
        <f t="shared" si="15"/>
        <v>530409.1394014506</v>
      </c>
      <c r="E83">
        <f t="shared" si="16"/>
        <v>194091.3940145065</v>
      </c>
      <c r="F83">
        <f t="shared" si="19"/>
        <v>7.037548997791988E-06</v>
      </c>
      <c r="G83">
        <f t="shared" si="20"/>
        <v>142094.92542272137</v>
      </c>
      <c r="H83">
        <f t="shared" si="17"/>
        <v>9.236170152476888</v>
      </c>
      <c r="I83">
        <f t="shared" si="21"/>
        <v>19.309838501362535</v>
      </c>
      <c r="J83">
        <f t="shared" si="22"/>
        <v>-20.713090599490315</v>
      </c>
    </row>
    <row r="84" spans="1:10" ht="12.75" hidden="1">
      <c r="A84">
        <f t="shared" si="18"/>
        <v>83</v>
      </c>
      <c r="B84">
        <f t="shared" si="13"/>
        <v>1.5938927082228738</v>
      </c>
      <c r="C84">
        <f t="shared" si="14"/>
        <v>-40.1282139007</v>
      </c>
      <c r="D84">
        <f t="shared" si="15"/>
        <v>530175.2943484212</v>
      </c>
      <c r="E84">
        <f t="shared" si="16"/>
        <v>191752.94348421122</v>
      </c>
      <c r="F84">
        <f t="shared" si="19"/>
        <v>7.101212418736105E-06</v>
      </c>
      <c r="G84">
        <f t="shared" si="20"/>
        <v>140821.02337363723</v>
      </c>
      <c r="H84">
        <f t="shared" si="17"/>
        <v>9.153366519286418</v>
      </c>
      <c r="I84">
        <f t="shared" si="21"/>
        <v>19.23161705477262</v>
      </c>
      <c r="J84">
        <f t="shared" si="22"/>
        <v>-20.896596845927377</v>
      </c>
    </row>
    <row r="85" spans="1:10" ht="12.75" hidden="1">
      <c r="A85">
        <f t="shared" si="18"/>
        <v>84</v>
      </c>
      <c r="B85">
        <f t="shared" si="13"/>
        <v>1.5749177950297446</v>
      </c>
      <c r="C85">
        <f t="shared" si="14"/>
        <v>-40.23223777441615</v>
      </c>
      <c r="D85">
        <f t="shared" si="15"/>
        <v>529947.0170347495</v>
      </c>
      <c r="E85">
        <f t="shared" si="16"/>
        <v>189470.17034749445</v>
      </c>
      <c r="F85">
        <f t="shared" si="19"/>
        <v>7.164856748320542E-06</v>
      </c>
      <c r="G85">
        <f t="shared" si="20"/>
        <v>139570.13170352668</v>
      </c>
      <c r="H85">
        <f t="shared" si="17"/>
        <v>9.072058560729234</v>
      </c>
      <c r="I85">
        <f t="shared" si="21"/>
        <v>19.154116899141258</v>
      </c>
      <c r="J85">
        <f t="shared" si="22"/>
        <v>-21.07812087527489</v>
      </c>
    </row>
    <row r="86" spans="1:10" ht="12.75" hidden="1">
      <c r="A86">
        <f t="shared" si="18"/>
        <v>85</v>
      </c>
      <c r="B86">
        <f t="shared" si="13"/>
        <v>1.556389350382336</v>
      </c>
      <c r="C86">
        <f t="shared" si="14"/>
        <v>-40.33503056746437</v>
      </c>
      <c r="D86">
        <f t="shared" si="15"/>
        <v>529724.1109519877</v>
      </c>
      <c r="E86">
        <f t="shared" si="16"/>
        <v>187241.10951987686</v>
      </c>
      <c r="F86">
        <f t="shared" si="19"/>
        <v>7.228482636540797E-06</v>
      </c>
      <c r="G86">
        <f t="shared" si="20"/>
        <v>138341.62026548793</v>
      </c>
      <c r="H86">
        <f t="shared" si="17"/>
        <v>8.992205317256715</v>
      </c>
      <c r="I86">
        <f t="shared" si="21"/>
        <v>19.077324289974904</v>
      </c>
      <c r="J86">
        <f t="shared" si="22"/>
        <v>-21.25770627748947</v>
      </c>
    </row>
    <row r="87" spans="1:10" ht="12.75" hidden="1">
      <c r="A87">
        <f t="shared" si="18"/>
        <v>86</v>
      </c>
      <c r="B87">
        <f t="shared" si="13"/>
        <v>1.5382917997964949</v>
      </c>
      <c r="C87">
        <f t="shared" si="14"/>
        <v>-40.43662107804987</v>
      </c>
      <c r="D87">
        <f t="shared" si="15"/>
        <v>529506.3887316157</v>
      </c>
      <c r="E87">
        <f t="shared" si="16"/>
        <v>185063.88731615737</v>
      </c>
      <c r="F87">
        <f t="shared" si="19"/>
        <v>7.292090704216646E-06</v>
      </c>
      <c r="G87">
        <f t="shared" si="20"/>
        <v>137134.88223915684</v>
      </c>
      <c r="H87">
        <f t="shared" si="17"/>
        <v>8.913767345545194</v>
      </c>
      <c r="I87">
        <f t="shared" si="21"/>
        <v>19.00122589124612</v>
      </c>
      <c r="J87">
        <f t="shared" si="22"/>
        <v>-21.43539518680375</v>
      </c>
    </row>
    <row r="88" spans="1:10" ht="12.75" hidden="1">
      <c r="A88">
        <f t="shared" si="18"/>
        <v>87</v>
      </c>
      <c r="B88">
        <f t="shared" si="13"/>
        <v>1.5206102848563054</v>
      </c>
      <c r="C88">
        <f t="shared" si="14"/>
        <v>-40.53703710555089</v>
      </c>
      <c r="D88">
        <f t="shared" si="15"/>
        <v>529293.6716197581</v>
      </c>
      <c r="E88">
        <f t="shared" si="16"/>
        <v>182936.71619758086</v>
      </c>
      <c r="F88">
        <f t="shared" si="19"/>
        <v>7.35568154461096E-06</v>
      </c>
      <c r="G88">
        <f t="shared" si="20"/>
        <v>135949.33303395065</v>
      </c>
      <c r="H88">
        <f t="shared" si="17"/>
        <v>8.83670664720679</v>
      </c>
      <c r="I88">
        <f t="shared" si="21"/>
        <v>18.925808758545525</v>
      </c>
      <c r="J88">
        <f t="shared" si="22"/>
        <v>-21.611228347005362</v>
      </c>
    </row>
    <row r="89" spans="1:10" ht="12.75" hidden="1">
      <c r="A89">
        <f t="shared" si="18"/>
        <v>88</v>
      </c>
      <c r="B89">
        <f t="shared" si="13"/>
        <v>1.5033306225283927</v>
      </c>
      <c r="C89">
        <f t="shared" si="14"/>
        <v>-40.63630549618189</v>
      </c>
      <c r="D89">
        <f t="shared" si="15"/>
        <v>529085.7889877154</v>
      </c>
      <c r="E89">
        <f t="shared" si="16"/>
        <v>180857.88987715382</v>
      </c>
      <c r="F89">
        <f t="shared" si="19"/>
        <v>7.419255724941913E-06</v>
      </c>
      <c r="G89">
        <f t="shared" si="20"/>
        <v>134784.4092552598</v>
      </c>
      <c r="H89">
        <f t="shared" si="17"/>
        <v>8.760986601591885</v>
      </c>
      <c r="I89">
        <f t="shared" si="21"/>
        <v>18.851060323134007</v>
      </c>
      <c r="J89">
        <f t="shared" si="22"/>
        <v>-21.785245173047883</v>
      </c>
    </row>
    <row r="90" spans="1:10" ht="12.75" hidden="1">
      <c r="A90">
        <f t="shared" si="18"/>
        <v>89</v>
      </c>
      <c r="B90">
        <f t="shared" si="13"/>
        <v>1.486439267219085</v>
      </c>
      <c r="C90">
        <f t="shared" si="14"/>
        <v>-40.73445218607677</v>
      </c>
      <c r="D90">
        <f t="shared" si="15"/>
        <v>528882.5778754939</v>
      </c>
      <c r="E90">
        <f t="shared" si="16"/>
        <v>178825.77875493857</v>
      </c>
      <c r="F90">
        <f t="shared" si="19"/>
        <v>7.482813787796694E-06</v>
      </c>
      <c r="G90">
        <f t="shared" si="20"/>
        <v>133639.56772930053</v>
      </c>
      <c r="H90">
        <f t="shared" si="17"/>
        <v>8.686571902404534</v>
      </c>
      <c r="I90">
        <f t="shared" si="21"/>
        <v>18.77696837683581</v>
      </c>
      <c r="J90">
        <f t="shared" si="22"/>
        <v>-21.957483809240962</v>
      </c>
    </row>
    <row r="91" spans="1:10" ht="12.75" hidden="1">
      <c r="A91">
        <f t="shared" si="18"/>
        <v>90</v>
      </c>
      <c r="B91">
        <f t="shared" si="13"/>
        <v>1.469923275361095</v>
      </c>
      <c r="C91">
        <f t="shared" si="14"/>
        <v>-40.83150224196501</v>
      </c>
      <c r="D91">
        <f t="shared" si="15"/>
        <v>528683.8825657661</v>
      </c>
      <c r="E91">
        <f t="shared" si="16"/>
        <v>176838.8256576615</v>
      </c>
      <c r="F91">
        <f t="shared" si="19"/>
        <v>7.5463562524541236E-06</v>
      </c>
      <c r="G91">
        <f t="shared" si="20"/>
        <v>132514.28458268102</v>
      </c>
      <c r="H91">
        <f t="shared" si="17"/>
        <v>8.613428497874265</v>
      </c>
      <c r="I91">
        <f t="shared" si="21"/>
        <v>18.70352105771788</v>
      </c>
      <c r="J91">
        <f t="shared" si="22"/>
        <v>-22.127981184247133</v>
      </c>
    </row>
    <row r="92" spans="1:10" ht="12.75" hidden="1">
      <c r="A92">
        <f t="shared" si="18"/>
        <v>91</v>
      </c>
      <c r="B92">
        <f t="shared" si="13"/>
        <v>1.4537702723351489</v>
      </c>
      <c r="C92">
        <f t="shared" si="14"/>
        <v>-40.927479899600385</v>
      </c>
      <c r="D92">
        <f t="shared" si="15"/>
        <v>528489.5541859226</v>
      </c>
      <c r="E92">
        <f t="shared" si="16"/>
        <v>174895.54185922566</v>
      </c>
      <c r="F92">
        <f t="shared" si="19"/>
        <v>7.609883616122959E-06</v>
      </c>
      <c r="G92">
        <f t="shared" si="20"/>
        <v>131408.05437304103</v>
      </c>
      <c r="H92">
        <f t="shared" si="17"/>
        <v>8.541523534247666</v>
      </c>
      <c r="I92">
        <f t="shared" si="21"/>
        <v>18.630706836505023</v>
      </c>
      <c r="J92">
        <f t="shared" si="22"/>
        <v>-22.296773063095362</v>
      </c>
    </row>
    <row r="93" spans="1:10" ht="12.75" hidden="1">
      <c r="A93">
        <f t="shared" si="18"/>
        <v>92</v>
      </c>
      <c r="B93">
        <f t="shared" si="13"/>
        <v>1.4379684215488975</v>
      </c>
      <c r="C93">
        <f t="shared" si="14"/>
        <v>-41.02240860008962</v>
      </c>
      <c r="D93">
        <f t="shared" si="15"/>
        <v>528299.4503360756</v>
      </c>
      <c r="E93">
        <f t="shared" si="16"/>
        <v>172994.50336075583</v>
      </c>
      <c r="F93">
        <f t="shared" si="19"/>
        <v>7.673396355102065E-06</v>
      </c>
      <c r="G93">
        <f t="shared" si="20"/>
        <v>130320.38926740659</v>
      </c>
      <c r="H93">
        <f t="shared" si="17"/>
        <v>8.470825302381428</v>
      </c>
      <c r="I93">
        <f t="shared" si="21"/>
        <v>18.558514503684183</v>
      </c>
      <c r="J93">
        <f t="shared" si="22"/>
        <v>-22.463894096405436</v>
      </c>
    </row>
    <row r="94" spans="1:10" ht="12.75" hidden="1">
      <c r="A94">
        <f t="shared" si="18"/>
        <v>93</v>
      </c>
      <c r="B94">
        <f t="shared" si="13"/>
        <v>1.422506395510737</v>
      </c>
      <c r="C94">
        <f t="shared" si="14"/>
        <v>-41.11631102425722</v>
      </c>
      <c r="D94">
        <f t="shared" si="15"/>
        <v>528113.434741064</v>
      </c>
      <c r="E94">
        <f t="shared" si="16"/>
        <v>171134.34741064016</v>
      </c>
      <c r="F94">
        <f t="shared" si="19"/>
        <v>7.736894925868181E-06</v>
      </c>
      <c r="G94">
        <f t="shared" si="20"/>
        <v>129250.81826515653</v>
      </c>
      <c r="H94">
        <f t="shared" si="17"/>
        <v>8.401303187235174</v>
      </c>
      <c r="I94">
        <f t="shared" si="21"/>
        <v>18.48693315725483</v>
      </c>
      <c r="J94">
        <f t="shared" si="22"/>
        <v>-22.629377867002393</v>
      </c>
    </row>
    <row r="95" spans="1:10" ht="12.75" hidden="1">
      <c r="A95">
        <f t="shared" si="18"/>
        <v>94</v>
      </c>
      <c r="B95">
        <f t="shared" si="13"/>
        <v>1.4073733487499847</v>
      </c>
      <c r="C95">
        <f t="shared" si="14"/>
        <v>-41.20920912517249</v>
      </c>
      <c r="D95">
        <f t="shared" si="15"/>
        <v>527931.3769246697</v>
      </c>
      <c r="E95">
        <f t="shared" si="16"/>
        <v>169313.76924669716</v>
      </c>
      <c r="F95">
        <f t="shared" si="19"/>
        <v>7.800379766096469E-06</v>
      </c>
      <c r="G95">
        <f t="shared" si="20"/>
        <v>128198.88646273287</v>
      </c>
      <c r="H95">
        <f t="shared" si="17"/>
        <v>8.332927620077635</v>
      </c>
      <c r="I95">
        <f t="shared" si="21"/>
        <v>18.415952191085502</v>
      </c>
      <c r="J95">
        <f t="shared" si="22"/>
        <v>-22.79325693408699</v>
      </c>
    </row>
    <row r="96" spans="1:10" ht="12.75" hidden="1">
      <c r="A96">
        <f t="shared" si="18"/>
        <v>95</v>
      </c>
      <c r="B96">
        <f t="shared" si="13"/>
        <v>1.392558892447353</v>
      </c>
      <c r="C96">
        <f t="shared" si="14"/>
        <v>-41.301124158955474</v>
      </c>
      <c r="D96">
        <f t="shared" si="15"/>
        <v>527753.15190441</v>
      </c>
      <c r="E96">
        <f t="shared" si="16"/>
        <v>167531.51904410037</v>
      </c>
      <c r="F96">
        <f t="shared" si="19"/>
        <v>7.863851295618668E-06</v>
      </c>
      <c r="G96">
        <f t="shared" si="20"/>
        <v>127164.15435743913</v>
      </c>
      <c r="H96">
        <f t="shared" si="17"/>
        <v>8.265670033233542</v>
      </c>
      <c r="I96">
        <f t="shared" si="21"/>
        <v>18.345561283839558</v>
      </c>
      <c r="J96">
        <f t="shared" si="22"/>
        <v>-22.955562875115916</v>
      </c>
    </row>
    <row r="97" spans="1:10" ht="12.75" hidden="1">
      <c r="A97">
        <f t="shared" si="18"/>
        <v>96</v>
      </c>
      <c r="B97">
        <f t="shared" si="13"/>
        <v>1.3780530706510266</v>
      </c>
      <c r="C97">
        <f t="shared" si="14"/>
        <v>-41.392076713969885</v>
      </c>
      <c r="D97">
        <f t="shared" si="15"/>
        <v>527578.6399054058</v>
      </c>
      <c r="E97">
        <f t="shared" si="16"/>
        <v>165786.39905405763</v>
      </c>
      <c r="F97">
        <f t="shared" si="19"/>
        <v>7.927309917323218E-06</v>
      </c>
      <c r="G97">
        <f t="shared" si="20"/>
        <v>126146.19718786847</v>
      </c>
      <c r="H97">
        <f t="shared" si="17"/>
        <v>8.19950281721145</v>
      </c>
      <c r="I97">
        <f t="shared" si="21"/>
        <v>18.275750388435846</v>
      </c>
      <c r="J97">
        <f t="shared" si="22"/>
        <v>-23.11632632553404</v>
      </c>
    </row>
    <row r="98" spans="1:10" ht="12.75" hidden="1">
      <c r="A98">
        <f t="shared" si="18"/>
        <v>97</v>
      </c>
      <c r="B98">
        <f>(I_in_av*(1/(2*PI()*A98*C_5_S)))/(dVea_ov)</f>
        <v>1.3638463379639028</v>
      </c>
      <c r="C98">
        <f t="shared" si="14"/>
        <v>-41.48208673850341</v>
      </c>
      <c r="D98">
        <f t="shared" si="15"/>
        <v>527407.726091948</v>
      </c>
      <c r="E98">
        <f t="shared" si="16"/>
        <v>164077.26091947974</v>
      </c>
      <c r="F98">
        <f t="shared" si="19"/>
        <v>7.990756018001472E-06</v>
      </c>
      <c r="G98">
        <f t="shared" si="20"/>
        <v>125144.6043086803</v>
      </c>
      <c r="H98">
        <f t="shared" si="17"/>
        <v>8.134399280064219</v>
      </c>
      <c r="I98">
        <f t="shared" si="21"/>
        <v>18.206509722012452</v>
      </c>
      <c r="J98">
        <f t="shared" si="22"/>
        <v>-23.27557701649096</v>
      </c>
    </row>
    <row r="99" spans="1:10" ht="12.75" hidden="1">
      <c r="A99">
        <f t="shared" si="18"/>
        <v>98</v>
      </c>
      <c r="B99">
        <f>(I_in_av*(1/(2*PI()*A99*C_5_S)))/(dVea_ov)</f>
        <v>1.349929538596924</v>
      </c>
      <c r="C99">
        <f t="shared" si="14"/>
        <v>-41.57117356702841</v>
      </c>
      <c r="D99">
        <f t="shared" si="15"/>
        <v>527240.3003154995</v>
      </c>
      <c r="E99">
        <f t="shared" si="16"/>
        <v>162403.00315499524</v>
      </c>
      <c r="F99">
        <f t="shared" si="19"/>
        <v>8.054189969143671E-06</v>
      </c>
      <c r="G99">
        <f t="shared" si="20"/>
        <v>124158.97859761071</v>
      </c>
      <c r="H99">
        <f t="shared" si="17"/>
        <v>8.070333608844695</v>
      </c>
      <c r="I99">
        <f t="shared" si="21"/>
        <v>18.137829756363914</v>
      </c>
      <c r="J99">
        <f t="shared" si="22"/>
        <v>-23.433343810664496</v>
      </c>
    </row>
    <row r="100" spans="1:10" ht="12.75" hidden="1">
      <c r="A100">
        <f t="shared" si="18"/>
        <v>99</v>
      </c>
      <c r="B100">
        <f>(I_in_av*(1/(2*PI()*A100*C_5_S)))/(dVea_ov)</f>
        <v>1.3362938866919045</v>
      </c>
      <c r="C100">
        <f t="shared" si="14"/>
        <v>-41.65935594512951</v>
      </c>
      <c r="D100">
        <f t="shared" si="15"/>
        <v>527076.2568779693</v>
      </c>
      <c r="E100">
        <f t="shared" si="16"/>
        <v>160762.56877969223</v>
      </c>
      <c r="F100">
        <f t="shared" si="19"/>
        <v>8.117612127688156E-06</v>
      </c>
      <c r="G100">
        <f t="shared" si="20"/>
        <v>123188.9358927517</v>
      </c>
      <c r="H100">
        <f t="shared" si="17"/>
        <v>8.00728083302886</v>
      </c>
      <c r="I100">
        <f t="shared" si="21"/>
        <v>18.069701208824473</v>
      </c>
      <c r="J100">
        <f t="shared" si="22"/>
        <v>-23.58965473630504</v>
      </c>
    </row>
    <row r="101" ht="12.75" hidden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3" width="12.7109375" style="0" customWidth="1"/>
    <col min="6" max="6" width="12.140625" style="0" bestFit="1" customWidth="1"/>
    <col min="9" max="9" width="9.28125" style="0" customWidth="1"/>
    <col min="10" max="10" width="10.421875" style="0" customWidth="1"/>
  </cols>
  <sheetData>
    <row r="1" spans="1:10" ht="12.75">
      <c r="A1" t="s">
        <v>127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</row>
    <row r="2" spans="1:10" ht="12.75">
      <c r="A2">
        <v>1000</v>
      </c>
      <c r="B2">
        <f aca="true" t="shared" si="0" ref="B2:B33">(Vo*R_5_S)/(Vos_ramp*2*PI()*A2*L_1_S)</f>
        <v>3.031522725559911</v>
      </c>
      <c r="C2">
        <f>20*LOG(B2,10)</f>
        <v>9.63321656471856</v>
      </c>
      <c r="D2">
        <f aca="true" t="shared" si="1" ref="D2:D33">R_12_S+(1/(2*PI()*A2*C_6_S))</f>
        <v>105543.15595086152</v>
      </c>
      <c r="E2">
        <f aca="true" t="shared" si="2" ref="E2:E33">1/(2*PI()*A2*C_7_S)</f>
        <v>3386275.3849339434</v>
      </c>
      <c r="F2">
        <f>(1/D2)+(1/E2)</f>
        <v>9.770106923816526E-06</v>
      </c>
      <c r="G2">
        <f>1/F2</f>
        <v>102353.02518156751</v>
      </c>
      <c r="H2">
        <f aca="true" t="shared" si="3" ref="H2:H65">g_ca*G2</f>
        <v>10.235302518156752</v>
      </c>
      <c r="I2">
        <f>20*LOG(H2)</f>
        <v>20.202013666935898</v>
      </c>
      <c r="J2">
        <f>C2+I2</f>
        <v>29.835230231654457</v>
      </c>
    </row>
    <row r="3" spans="1:10" ht="12.75">
      <c r="A3">
        <f>A2+1000</f>
        <v>2000</v>
      </c>
      <c r="B3">
        <f t="shared" si="0"/>
        <v>1.5157613627799555</v>
      </c>
      <c r="C3">
        <f>20*LOG(B3,10)</f>
        <v>3.6126166514389366</v>
      </c>
      <c r="D3">
        <f t="shared" si="1"/>
        <v>69371.57797543076</v>
      </c>
      <c r="E3">
        <f t="shared" si="2"/>
        <v>1693137.6924669717</v>
      </c>
      <c r="F3">
        <f>(1/D3)+(1/E3)</f>
        <v>1.5005744880691084E-05</v>
      </c>
      <c r="G3">
        <f>1/F3</f>
        <v>66641.14363871189</v>
      </c>
      <c r="H3">
        <f t="shared" si="3"/>
        <v>6.664114363871189</v>
      </c>
      <c r="I3">
        <f>20*LOG(H3)</f>
        <v>16.474848829115103</v>
      </c>
      <c r="J3">
        <f>C3+I3</f>
        <v>20.08746548055404</v>
      </c>
    </row>
    <row r="4" spans="1:10" ht="12.75">
      <c r="A4">
        <f aca="true" t="shared" si="4" ref="A4:A67">A3+1000</f>
        <v>3000</v>
      </c>
      <c r="B4">
        <f t="shared" si="0"/>
        <v>1.010507575186637</v>
      </c>
      <c r="C4">
        <f aca="true" t="shared" si="5" ref="C4:C67">20*LOG(B4,10)</f>
        <v>0.09079147032531251</v>
      </c>
      <c r="D4">
        <f t="shared" si="1"/>
        <v>57314.385316953834</v>
      </c>
      <c r="E4">
        <f t="shared" si="2"/>
        <v>1128758.4616446479</v>
      </c>
      <c r="F4">
        <f aca="true" t="shared" si="6" ref="F4:F67">(1/D4)+(1/E4)</f>
        <v>1.8333555836160758E-05</v>
      </c>
      <c r="G4">
        <f aca="true" t="shared" si="7" ref="G4:G67">1/F4</f>
        <v>54544.79256160548</v>
      </c>
      <c r="H4">
        <f t="shared" si="3"/>
        <v>5.454479256160548</v>
      </c>
      <c r="I4">
        <f aca="true" t="shared" si="8" ref="I4:I67">20*LOG(H4)</f>
        <v>14.735065888693343</v>
      </c>
      <c r="J4">
        <f aca="true" t="shared" si="9" ref="J4:J67">C4+I4</f>
        <v>14.825857359018656</v>
      </c>
    </row>
    <row r="5" spans="1:10" ht="12.75">
      <c r="A5">
        <f t="shared" si="4"/>
        <v>4000</v>
      </c>
      <c r="B5">
        <f t="shared" si="0"/>
        <v>0.7578806813899778</v>
      </c>
      <c r="C5">
        <f t="shared" si="5"/>
        <v>-2.4079832618406867</v>
      </c>
      <c r="D5">
        <f t="shared" si="1"/>
        <v>51285.78898771538</v>
      </c>
      <c r="E5">
        <f t="shared" si="2"/>
        <v>846568.8462334858</v>
      </c>
      <c r="F5">
        <f t="shared" si="6"/>
        <v>2.0679817678752533E-05</v>
      </c>
      <c r="G5">
        <f t="shared" si="7"/>
        <v>48356.3257439861</v>
      </c>
      <c r="H5">
        <f t="shared" si="3"/>
        <v>4.83563257439861</v>
      </c>
      <c r="I5">
        <f t="shared" si="8"/>
        <v>13.689065889376943</v>
      </c>
      <c r="J5">
        <f t="shared" si="9"/>
        <v>11.281082627536257</v>
      </c>
    </row>
    <row r="6" spans="1:10" ht="12.75">
      <c r="A6">
        <f t="shared" si="4"/>
        <v>5000</v>
      </c>
      <c r="B6">
        <f t="shared" si="0"/>
        <v>0.6063045451119822</v>
      </c>
      <c r="C6">
        <f t="shared" si="5"/>
        <v>-4.346183522001815</v>
      </c>
      <c r="D6">
        <f t="shared" si="1"/>
        <v>47668.6311901723</v>
      </c>
      <c r="E6">
        <f t="shared" si="2"/>
        <v>677255.0769867887</v>
      </c>
      <c r="F6">
        <f t="shared" si="6"/>
        <v>2.2454704937089312E-05</v>
      </c>
      <c r="G6">
        <f t="shared" si="7"/>
        <v>44534.09665376012</v>
      </c>
      <c r="H6">
        <f t="shared" si="3"/>
        <v>4.453409665376012</v>
      </c>
      <c r="I6">
        <f t="shared" si="8"/>
        <v>12.9738529469938</v>
      </c>
      <c r="J6">
        <f t="shared" si="9"/>
        <v>8.627669424991986</v>
      </c>
    </row>
    <row r="7" spans="1:10" ht="12.75">
      <c r="A7">
        <f t="shared" si="4"/>
        <v>6000</v>
      </c>
      <c r="B7">
        <f t="shared" si="0"/>
        <v>0.5052537875933185</v>
      </c>
      <c r="C7">
        <f t="shared" si="5"/>
        <v>-5.929808442954311</v>
      </c>
      <c r="D7">
        <f t="shared" si="1"/>
        <v>45257.19265847692</v>
      </c>
      <c r="E7">
        <f t="shared" si="2"/>
        <v>564379.2308223239</v>
      </c>
      <c r="F7">
        <f t="shared" si="6"/>
        <v>2.386779353803443E-05</v>
      </c>
      <c r="G7">
        <f t="shared" si="7"/>
        <v>41897.46314029631</v>
      </c>
      <c r="H7">
        <f t="shared" si="3"/>
        <v>4.189746314029631</v>
      </c>
      <c r="I7">
        <f t="shared" si="8"/>
        <v>12.443754551199467</v>
      </c>
      <c r="J7">
        <f t="shared" si="9"/>
        <v>6.513946108245156</v>
      </c>
    </row>
    <row r="8" spans="1:10" ht="12.75">
      <c r="A8">
        <f t="shared" si="4"/>
        <v>7000</v>
      </c>
      <c r="B8">
        <f t="shared" si="0"/>
        <v>0.4330746750799873</v>
      </c>
      <c r="C8">
        <f t="shared" si="5"/>
        <v>-7.268744235566574</v>
      </c>
      <c r="D8">
        <f t="shared" si="1"/>
        <v>43534.736564408784</v>
      </c>
      <c r="E8">
        <f t="shared" si="2"/>
        <v>483753.62641913485</v>
      </c>
      <c r="F8">
        <f t="shared" si="6"/>
        <v>2.50373310798441E-05</v>
      </c>
      <c r="G8">
        <f t="shared" si="7"/>
        <v>39940.35933027358</v>
      </c>
      <c r="H8">
        <f t="shared" si="3"/>
        <v>3.9940359330273583</v>
      </c>
      <c r="I8">
        <f t="shared" si="8"/>
        <v>12.028239355136844</v>
      </c>
      <c r="J8">
        <f t="shared" si="9"/>
        <v>4.7594951195702695</v>
      </c>
    </row>
    <row r="9" spans="1:10" ht="12.75">
      <c r="A9">
        <f t="shared" si="4"/>
        <v>8000</v>
      </c>
      <c r="B9">
        <f t="shared" si="0"/>
        <v>0.3789403406949889</v>
      </c>
      <c r="C9">
        <f t="shared" si="5"/>
        <v>-8.428583175120309</v>
      </c>
      <c r="D9">
        <f t="shared" si="1"/>
        <v>42242.89449385769</v>
      </c>
      <c r="E9">
        <f t="shared" si="2"/>
        <v>423284.4231167429</v>
      </c>
      <c r="F9">
        <f t="shared" si="6"/>
        <v>2.603509793463931E-05</v>
      </c>
      <c r="G9">
        <f t="shared" si="7"/>
        <v>38409.688433301984</v>
      </c>
      <c r="H9">
        <f t="shared" si="3"/>
        <v>3.8409688433301987</v>
      </c>
      <c r="I9">
        <f t="shared" si="8"/>
        <v>11.688815686523261</v>
      </c>
      <c r="J9">
        <f t="shared" si="9"/>
        <v>3.2602325114029522</v>
      </c>
    </row>
    <row r="10" spans="1:10" ht="12.75">
      <c r="A10">
        <f t="shared" si="4"/>
        <v>9000</v>
      </c>
      <c r="B10">
        <f t="shared" si="0"/>
        <v>0.33683585839554564</v>
      </c>
      <c r="C10">
        <f t="shared" si="5"/>
        <v>-9.451633624067936</v>
      </c>
      <c r="D10">
        <f t="shared" si="1"/>
        <v>41238.12843898461</v>
      </c>
      <c r="E10">
        <f t="shared" si="2"/>
        <v>376252.82054821594</v>
      </c>
      <c r="F10">
        <f t="shared" si="6"/>
        <v>2.6907190494478825E-05</v>
      </c>
      <c r="G10">
        <f t="shared" si="7"/>
        <v>37164.78687008193</v>
      </c>
      <c r="H10">
        <f t="shared" si="3"/>
        <v>3.7164786870081934</v>
      </c>
      <c r="I10">
        <f t="shared" si="8"/>
        <v>11.40263293171371</v>
      </c>
      <c r="J10">
        <f t="shared" si="9"/>
        <v>1.9509993076457732</v>
      </c>
    </row>
    <row r="11" spans="1:10" ht="12.75">
      <c r="A11">
        <f t="shared" si="4"/>
        <v>10000</v>
      </c>
      <c r="B11">
        <f t="shared" si="0"/>
        <v>0.3031522725559911</v>
      </c>
      <c r="C11">
        <f t="shared" si="5"/>
        <v>-10.36678343528144</v>
      </c>
      <c r="D11">
        <f t="shared" si="1"/>
        <v>40434.315595086155</v>
      </c>
      <c r="E11">
        <f t="shared" si="2"/>
        <v>338627.5384933943</v>
      </c>
      <c r="F11">
        <f t="shared" si="6"/>
        <v>2.7684565533561405E-05</v>
      </c>
      <c r="G11">
        <f t="shared" si="7"/>
        <v>36121.20980507068</v>
      </c>
      <c r="H11">
        <f t="shared" si="3"/>
        <v>3.612120980507068</v>
      </c>
      <c r="I11">
        <f t="shared" si="8"/>
        <v>11.155245753575482</v>
      </c>
      <c r="J11">
        <f t="shared" si="9"/>
        <v>0.7884623182940427</v>
      </c>
    </row>
    <row r="12" spans="1:10" ht="12.75">
      <c r="A12">
        <f t="shared" si="4"/>
        <v>11000</v>
      </c>
      <c r="B12">
        <f t="shared" si="0"/>
        <v>0.275592975050901</v>
      </c>
      <c r="C12">
        <f t="shared" si="5"/>
        <v>-11.19463713844594</v>
      </c>
      <c r="D12">
        <f t="shared" si="1"/>
        <v>39776.65054098741</v>
      </c>
      <c r="E12">
        <f t="shared" si="2"/>
        <v>307843.2168121767</v>
      </c>
      <c r="F12">
        <f t="shared" si="6"/>
        <v>2.838878404521786E-05</v>
      </c>
      <c r="G12">
        <f t="shared" si="7"/>
        <v>35225.17901461341</v>
      </c>
      <c r="H12">
        <f t="shared" si="3"/>
        <v>3.522517901461341</v>
      </c>
      <c r="I12">
        <f t="shared" si="8"/>
        <v>10.937064177493735</v>
      </c>
      <c r="J12">
        <f t="shared" si="9"/>
        <v>-0.2575729609522046</v>
      </c>
    </row>
    <row r="13" spans="1:10" ht="12.75">
      <c r="A13">
        <f t="shared" si="4"/>
        <v>12000</v>
      </c>
      <c r="B13">
        <f t="shared" si="0"/>
        <v>0.25262689379665926</v>
      </c>
      <c r="C13">
        <f t="shared" si="5"/>
        <v>-11.950408356233934</v>
      </c>
      <c r="D13">
        <f t="shared" si="1"/>
        <v>39228.59632923846</v>
      </c>
      <c r="E13">
        <f t="shared" si="2"/>
        <v>282189.61541116197</v>
      </c>
      <c r="F13">
        <f t="shared" si="6"/>
        <v>2.9035324512862175E-05</v>
      </c>
      <c r="G13">
        <f t="shared" si="7"/>
        <v>34440.80673377755</v>
      </c>
      <c r="H13">
        <f t="shared" si="3"/>
        <v>3.4440806733777554</v>
      </c>
      <c r="I13">
        <f t="shared" si="8"/>
        <v>10.7414663143574</v>
      </c>
      <c r="J13">
        <f t="shared" si="9"/>
        <v>-1.2089420418765346</v>
      </c>
    </row>
    <row r="14" spans="1:10" ht="12.75">
      <c r="A14">
        <f t="shared" si="4"/>
        <v>13000</v>
      </c>
      <c r="B14">
        <f t="shared" si="0"/>
        <v>0.23319405581230085</v>
      </c>
      <c r="C14">
        <f t="shared" si="5"/>
        <v>-12.645650481418171</v>
      </c>
      <c r="D14">
        <f t="shared" si="1"/>
        <v>38764.85815006627</v>
      </c>
      <c r="E14">
        <f t="shared" si="2"/>
        <v>260482.72191799563</v>
      </c>
      <c r="F14">
        <f t="shared" si="6"/>
        <v>2.9635586502329863E-05</v>
      </c>
      <c r="G14">
        <f t="shared" si="7"/>
        <v>33743.21611355263</v>
      </c>
      <c r="H14">
        <f t="shared" si="3"/>
        <v>3.3743216113552634</v>
      </c>
      <c r="I14">
        <f t="shared" si="8"/>
        <v>10.563729468917682</v>
      </c>
      <c r="J14">
        <f t="shared" si="9"/>
        <v>-2.081921012500489</v>
      </c>
    </row>
    <row r="15" spans="1:10" ht="12.75">
      <c r="A15">
        <f t="shared" si="4"/>
        <v>14000</v>
      </c>
      <c r="B15">
        <f t="shared" si="0"/>
        <v>0.21653733753999366</v>
      </c>
      <c r="C15">
        <f t="shared" si="5"/>
        <v>-13.289344148846197</v>
      </c>
      <c r="D15">
        <f t="shared" si="1"/>
        <v>38367.36828220439</v>
      </c>
      <c r="E15">
        <f t="shared" si="2"/>
        <v>241876.81320956742</v>
      </c>
      <c r="F15">
        <f t="shared" si="6"/>
        <v>3.0198151220279372E-05</v>
      </c>
      <c r="G15">
        <f t="shared" si="7"/>
        <v>33114.60998739739</v>
      </c>
      <c r="H15">
        <f t="shared" si="3"/>
        <v>3.3114609987397388</v>
      </c>
      <c r="I15">
        <f t="shared" si="8"/>
        <v>10.400392888809499</v>
      </c>
      <c r="J15">
        <f t="shared" si="9"/>
        <v>-2.8889512600366984</v>
      </c>
    </row>
    <row r="16" spans="1:10" ht="12.75">
      <c r="A16">
        <f t="shared" si="4"/>
        <v>15000</v>
      </c>
      <c r="B16">
        <f t="shared" si="0"/>
        <v>0.2021015150373274</v>
      </c>
      <c r="C16">
        <f t="shared" si="5"/>
        <v>-13.888608616395064</v>
      </c>
      <c r="D16">
        <f t="shared" si="1"/>
        <v>38022.87706339077</v>
      </c>
      <c r="E16">
        <f t="shared" si="2"/>
        <v>225751.69232892958</v>
      </c>
      <c r="F16">
        <f t="shared" si="6"/>
        <v>3.072960180565791E-05</v>
      </c>
      <c r="G16">
        <f t="shared" si="7"/>
        <v>32541.912073064377</v>
      </c>
      <c r="H16">
        <f t="shared" si="3"/>
        <v>3.254191207306438</v>
      </c>
      <c r="I16">
        <f t="shared" si="8"/>
        <v>10.24886134594691</v>
      </c>
      <c r="J16">
        <f t="shared" si="9"/>
        <v>-3.6397472704481544</v>
      </c>
    </row>
    <row r="17" spans="1:10" ht="12.75">
      <c r="A17">
        <f t="shared" si="4"/>
        <v>16000</v>
      </c>
      <c r="B17">
        <f t="shared" si="0"/>
        <v>0.18947017034749444</v>
      </c>
      <c r="C17">
        <f t="shared" si="5"/>
        <v>-14.449183088399932</v>
      </c>
      <c r="D17">
        <f t="shared" si="1"/>
        <v>37721.447246928845</v>
      </c>
      <c r="E17">
        <f t="shared" si="2"/>
        <v>211642.21155837146</v>
      </c>
      <c r="F17">
        <f t="shared" si="6"/>
        <v>3.123507288317875E-05</v>
      </c>
      <c r="G17">
        <f t="shared" si="7"/>
        <v>32015.292672441217</v>
      </c>
      <c r="H17">
        <f t="shared" si="3"/>
        <v>3.201529267244122</v>
      </c>
      <c r="I17">
        <f t="shared" si="8"/>
        <v>10.10714952688653</v>
      </c>
      <c r="J17">
        <f t="shared" si="9"/>
        <v>-4.342033561513402</v>
      </c>
    </row>
    <row r="18" spans="1:10" ht="12.75">
      <c r="A18">
        <f t="shared" si="4"/>
        <v>17000</v>
      </c>
      <c r="B18">
        <f t="shared" si="0"/>
        <v>0.17832486620940655</v>
      </c>
      <c r="C18">
        <f t="shared" si="5"/>
        <v>-14.975761862846916</v>
      </c>
      <c r="D18">
        <f t="shared" si="1"/>
        <v>37455.47976181538</v>
      </c>
      <c r="E18">
        <f t="shared" si="2"/>
        <v>199192.66970199667</v>
      </c>
      <c r="F18">
        <f t="shared" si="6"/>
        <v>3.171862819339165E-05</v>
      </c>
      <c r="G18">
        <f t="shared" si="7"/>
        <v>31527.21466713188</v>
      </c>
      <c r="H18">
        <f t="shared" si="3"/>
        <v>3.152721466713188</v>
      </c>
      <c r="I18">
        <f t="shared" si="8"/>
        <v>9.973712077103379</v>
      </c>
      <c r="J18">
        <f t="shared" si="9"/>
        <v>-5.002049785743537</v>
      </c>
    </row>
    <row r="19" spans="1:10" ht="12.75">
      <c r="A19">
        <f t="shared" si="4"/>
        <v>18000</v>
      </c>
      <c r="B19">
        <f t="shared" si="0"/>
        <v>0.16841792919777282</v>
      </c>
      <c r="C19">
        <f t="shared" si="5"/>
        <v>-15.47223353734756</v>
      </c>
      <c r="D19">
        <f t="shared" si="1"/>
        <v>37219.064219492306</v>
      </c>
      <c r="E19">
        <f t="shared" si="2"/>
        <v>188126.41027410797</v>
      </c>
      <c r="F19">
        <f t="shared" si="6"/>
        <v>3.218352593873436E-05</v>
      </c>
      <c r="G19">
        <f t="shared" si="7"/>
        <v>31071.79747500735</v>
      </c>
      <c r="H19">
        <f t="shared" si="3"/>
        <v>3.1071797475007354</v>
      </c>
      <c r="I19">
        <f t="shared" si="8"/>
        <v>9.847327550388933</v>
      </c>
      <c r="J19">
        <f t="shared" si="9"/>
        <v>-5.624905986958627</v>
      </c>
    </row>
    <row r="20" spans="1:10" ht="12.75">
      <c r="A20">
        <f t="shared" si="4"/>
        <v>19000</v>
      </c>
      <c r="B20">
        <f t="shared" si="0"/>
        <v>0.15955382766104798</v>
      </c>
      <c r="C20">
        <f t="shared" si="5"/>
        <v>-15.941855454338016</v>
      </c>
      <c r="D20">
        <f t="shared" si="1"/>
        <v>37007.534523729555</v>
      </c>
      <c r="E20">
        <f t="shared" si="2"/>
        <v>178225.02025968125</v>
      </c>
      <c r="F20">
        <f t="shared" si="6"/>
        <v>3.2632408957219816E-05</v>
      </c>
      <c r="G20">
        <f t="shared" si="7"/>
        <v>30644.381826391436</v>
      </c>
      <c r="H20">
        <f t="shared" si="3"/>
        <v>3.064438182639144</v>
      </c>
      <c r="I20">
        <f t="shared" si="8"/>
        <v>9.727017299473207</v>
      </c>
      <c r="J20">
        <f t="shared" si="9"/>
        <v>-6.214838154864809</v>
      </c>
    </row>
    <row r="21" spans="1:10" ht="12.75">
      <c r="A21">
        <f t="shared" si="4"/>
        <v>20000</v>
      </c>
      <c r="B21">
        <f t="shared" si="0"/>
        <v>0.15157613627799554</v>
      </c>
      <c r="C21">
        <f t="shared" si="5"/>
        <v>-16.387383348561062</v>
      </c>
      <c r="D21">
        <f t="shared" si="1"/>
        <v>36817.15779754308</v>
      </c>
      <c r="E21">
        <f t="shared" si="2"/>
        <v>169313.76924669716</v>
      </c>
      <c r="F21">
        <f t="shared" si="6"/>
        <v>3.306744344918827E-05</v>
      </c>
      <c r="G21">
        <f t="shared" si="7"/>
        <v>30241.225074947473</v>
      </c>
      <c r="H21">
        <f t="shared" si="3"/>
        <v>3.0241225074947473</v>
      </c>
      <c r="I21">
        <f t="shared" si="8"/>
        <v>9.611987609938469</v>
      </c>
      <c r="J21">
        <f t="shared" si="9"/>
        <v>-6.775395738622594</v>
      </c>
    </row>
    <row r="22" spans="1:10" ht="12.75">
      <c r="A22">
        <f t="shared" si="4"/>
        <v>21000</v>
      </c>
      <c r="B22">
        <f t="shared" si="0"/>
        <v>0.14435822502666243</v>
      </c>
      <c r="C22">
        <f t="shared" si="5"/>
        <v>-16.81116932995982</v>
      </c>
      <c r="D22">
        <f t="shared" si="1"/>
        <v>36644.912188136266</v>
      </c>
      <c r="E22">
        <f t="shared" si="2"/>
        <v>161251.20880637827</v>
      </c>
      <c r="F22">
        <f t="shared" si="6"/>
        <v>3.349042179396302E-05</v>
      </c>
      <c r="G22">
        <f t="shared" si="7"/>
        <v>29859.28353342686</v>
      </c>
      <c r="H22">
        <f t="shared" si="3"/>
        <v>2.985928353342686</v>
      </c>
      <c r="I22">
        <f t="shared" si="8"/>
        <v>9.501587654376095</v>
      </c>
      <c r="J22">
        <f t="shared" si="9"/>
        <v>-7.3095816755837255</v>
      </c>
    </row>
    <row r="23" spans="1:10" ht="12.75">
      <c r="A23">
        <f t="shared" si="4"/>
        <v>22000</v>
      </c>
      <c r="B23">
        <f t="shared" si="0"/>
        <v>0.1377964875254505</v>
      </c>
      <c r="C23">
        <f t="shared" si="5"/>
        <v>-17.21523705172556</v>
      </c>
      <c r="D23">
        <f t="shared" si="1"/>
        <v>36488.325270493704</v>
      </c>
      <c r="E23">
        <f t="shared" si="2"/>
        <v>153921.60840608834</v>
      </c>
      <c r="F23">
        <f t="shared" si="6"/>
        <v>3.390283985264432E-05</v>
      </c>
      <c r="G23">
        <f t="shared" si="7"/>
        <v>29496.054146095463</v>
      </c>
      <c r="H23">
        <f t="shared" si="3"/>
        <v>2.9496054146095463</v>
      </c>
      <c r="I23">
        <f t="shared" si="8"/>
        <v>9.395278436719062</v>
      </c>
      <c r="J23">
        <f t="shared" si="9"/>
        <v>-7.819958615006497</v>
      </c>
    </row>
    <row r="24" spans="1:10" ht="12.75">
      <c r="A24">
        <f t="shared" si="4"/>
        <v>23000</v>
      </c>
      <c r="B24">
        <f t="shared" si="0"/>
        <v>0.1318053358939092</v>
      </c>
      <c r="C24">
        <f t="shared" si="5"/>
        <v>-17.60134015563329</v>
      </c>
      <c r="D24">
        <f t="shared" si="1"/>
        <v>36345.354606559195</v>
      </c>
      <c r="E24">
        <f t="shared" si="2"/>
        <v>147229.36456234535</v>
      </c>
      <c r="F24">
        <f t="shared" si="6"/>
        <v>3.43059558501335E-05</v>
      </c>
      <c r="G24">
        <f t="shared" si="7"/>
        <v>29149.457440233622</v>
      </c>
      <c r="H24">
        <f t="shared" si="3"/>
        <v>2.9149457440233624</v>
      </c>
      <c r="I24">
        <f t="shared" si="8"/>
        <v>9.292609512668735</v>
      </c>
      <c r="J24">
        <f t="shared" si="9"/>
        <v>-8.308730642964557</v>
      </c>
    </row>
    <row r="25" spans="1:10" ht="12.75">
      <c r="A25">
        <f t="shared" si="4"/>
        <v>24000</v>
      </c>
      <c r="B25">
        <f t="shared" si="0"/>
        <v>0.12631344689832963</v>
      </c>
      <c r="C25">
        <f t="shared" si="5"/>
        <v>-17.971008269513554</v>
      </c>
      <c r="D25">
        <f t="shared" si="1"/>
        <v>36214.29816461923</v>
      </c>
      <c r="E25">
        <f t="shared" si="2"/>
        <v>141094.80770558098</v>
      </c>
      <c r="F25">
        <f t="shared" si="6"/>
        <v>3.4700835761912716E-05</v>
      </c>
      <c r="G25">
        <f t="shared" si="7"/>
        <v>28817.749718224073</v>
      </c>
      <c r="H25">
        <f t="shared" si="3"/>
        <v>2.8817749718224075</v>
      </c>
      <c r="I25">
        <f t="shared" si="8"/>
        <v>9.19320130394284</v>
      </c>
      <c r="J25">
        <f t="shared" si="9"/>
        <v>-8.777806965570713</v>
      </c>
    </row>
    <row r="26" spans="1:10" ht="12.75">
      <c r="A26">
        <f t="shared" si="4"/>
        <v>25000</v>
      </c>
      <c r="B26">
        <f t="shared" si="0"/>
        <v>0.12126090902239645</v>
      </c>
      <c r="C26">
        <f t="shared" si="5"/>
        <v>-18.32558360872219</v>
      </c>
      <c r="D26">
        <f t="shared" si="1"/>
        <v>36093.72623803446</v>
      </c>
      <c r="E26">
        <f t="shared" si="2"/>
        <v>135451.01539735775</v>
      </c>
      <c r="F26">
        <f t="shared" si="6"/>
        <v>3.5088388681303404E-05</v>
      </c>
      <c r="G26">
        <f t="shared" si="7"/>
        <v>28499.456303983625</v>
      </c>
      <c r="H26">
        <f t="shared" si="3"/>
        <v>2.849945630398363</v>
      </c>
      <c r="I26">
        <f t="shared" si="8"/>
        <v>9.096731497410872</v>
      </c>
      <c r="J26">
        <f t="shared" si="9"/>
        <v>-9.228852111311319</v>
      </c>
    </row>
    <row r="27" spans="1:10" ht="12.75">
      <c r="A27">
        <f t="shared" si="4"/>
        <v>26000</v>
      </c>
      <c r="B27">
        <f t="shared" si="0"/>
        <v>0.11659702790615042</v>
      </c>
      <c r="C27">
        <f t="shared" si="5"/>
        <v>-18.666250394697798</v>
      </c>
      <c r="D27">
        <f t="shared" si="1"/>
        <v>35982.429075033135</v>
      </c>
      <c r="E27">
        <f t="shared" si="2"/>
        <v>130241.36095899782</v>
      </c>
      <c r="F27">
        <f t="shared" si="6"/>
        <v>3.5469394656171074E-05</v>
      </c>
      <c r="G27">
        <f t="shared" si="7"/>
        <v>28193.3201762725</v>
      </c>
      <c r="H27">
        <f t="shared" si="3"/>
        <v>2.81933201762725</v>
      </c>
      <c r="I27">
        <f t="shared" si="8"/>
        <v>9.0029244683553</v>
      </c>
      <c r="J27">
        <f t="shared" si="9"/>
        <v>-9.663325926342498</v>
      </c>
    </row>
    <row r="28" spans="1:10" ht="12.75">
      <c r="A28">
        <f t="shared" si="4"/>
        <v>27000</v>
      </c>
      <c r="B28">
        <f t="shared" si="0"/>
        <v>0.1122786194651819</v>
      </c>
      <c r="C28">
        <f t="shared" si="5"/>
        <v>-18.994058718461183</v>
      </c>
      <c r="D28">
        <f t="shared" si="1"/>
        <v>35879.376146328206</v>
      </c>
      <c r="E28">
        <f t="shared" si="2"/>
        <v>125417.6068494053</v>
      </c>
      <c r="F28">
        <f t="shared" si="6"/>
        <v>3.5844526801644846E-05</v>
      </c>
      <c r="G28">
        <f t="shared" si="7"/>
        <v>27898.262000605115</v>
      </c>
      <c r="H28">
        <f t="shared" si="3"/>
        <v>2.7898262000605114</v>
      </c>
      <c r="I28">
        <f t="shared" si="8"/>
        <v>8.91154297080704</v>
      </c>
      <c r="J28">
        <f t="shared" si="9"/>
        <v>-10.082515747654142</v>
      </c>
    </row>
    <row r="29" spans="1:10" ht="12.75">
      <c r="A29">
        <f t="shared" si="4"/>
        <v>28000</v>
      </c>
      <c r="B29">
        <f t="shared" si="0"/>
        <v>0.10826866876999683</v>
      </c>
      <c r="C29">
        <f t="shared" si="5"/>
        <v>-19.309944062125822</v>
      </c>
      <c r="D29">
        <f t="shared" si="1"/>
        <v>35783.684141102196</v>
      </c>
      <c r="E29">
        <f t="shared" si="2"/>
        <v>120938.40660478371</v>
      </c>
      <c r="F29">
        <f t="shared" si="6"/>
        <v>3.6214369016525916E-05</v>
      </c>
      <c r="G29">
        <f t="shared" si="7"/>
        <v>27613.348710940238</v>
      </c>
      <c r="H29">
        <f t="shared" si="3"/>
        <v>2.7613348710940238</v>
      </c>
      <c r="I29">
        <f t="shared" si="8"/>
        <v>8.822381547124355</v>
      </c>
      <c r="J29">
        <f t="shared" si="9"/>
        <v>-10.487562515001468</v>
      </c>
    </row>
    <row r="30" spans="1:10" ht="12.75">
      <c r="A30">
        <f t="shared" si="4"/>
        <v>29000</v>
      </c>
      <c r="B30">
        <f t="shared" si="0"/>
        <v>0.10453526639861763</v>
      </c>
      <c r="C30">
        <f t="shared" si="5"/>
        <v>-19.614743393260557</v>
      </c>
      <c r="D30">
        <f t="shared" si="1"/>
        <v>35694.59158451247</v>
      </c>
      <c r="E30">
        <f t="shared" si="2"/>
        <v>116768.1167218601</v>
      </c>
      <c r="F30">
        <f t="shared" si="6"/>
        <v>3.6579430290400895E-05</v>
      </c>
      <c r="G30">
        <f t="shared" si="7"/>
        <v>27337.768578162304</v>
      </c>
      <c r="H30">
        <f t="shared" si="3"/>
        <v>2.7337768578162307</v>
      </c>
      <c r="I30">
        <f t="shared" si="8"/>
        <v>8.735261255301342</v>
      </c>
      <c r="J30">
        <f t="shared" si="9"/>
        <v>-10.879482137959215</v>
      </c>
    </row>
    <row r="31" spans="1:10" ht="12.75">
      <c r="A31">
        <f t="shared" si="4"/>
        <v>30000</v>
      </c>
      <c r="B31">
        <f t="shared" si="0"/>
        <v>0.1010507575186637</v>
      </c>
      <c r="C31">
        <f t="shared" si="5"/>
        <v>-19.909208529674686</v>
      </c>
      <c r="D31">
        <f t="shared" si="1"/>
        <v>35611.438531695385</v>
      </c>
      <c r="E31">
        <f t="shared" si="2"/>
        <v>112875.84616446479</v>
      </c>
      <c r="F31">
        <f t="shared" si="6"/>
        <v>3.69401563430945E-05</v>
      </c>
      <c r="G31">
        <f t="shared" si="7"/>
        <v>27070.81125245258</v>
      </c>
      <c r="H31">
        <f t="shared" si="3"/>
        <v>2.707081125245258</v>
      </c>
      <c r="I31">
        <f t="shared" si="8"/>
        <v>8.65002541624823</v>
      </c>
      <c r="J31">
        <f t="shared" si="9"/>
        <v>-11.259183113426456</v>
      </c>
    </row>
    <row r="32" spans="1:10" ht="12.75">
      <c r="A32">
        <f t="shared" si="4"/>
        <v>31000</v>
      </c>
      <c r="B32">
        <f t="shared" si="0"/>
        <v>0.09779105566322294</v>
      </c>
      <c r="C32">
        <f t="shared" si="5"/>
        <v>-20.194017311966892</v>
      </c>
      <c r="D32">
        <f t="shared" si="1"/>
        <v>35533.65019196327</v>
      </c>
      <c r="E32">
        <f t="shared" si="2"/>
        <v>109234.68983657882</v>
      </c>
      <c r="F32">
        <f t="shared" si="6"/>
        <v>3.7296939159276E-05</v>
      </c>
      <c r="G32">
        <f t="shared" si="7"/>
        <v>26811.851657035862</v>
      </c>
      <c r="H32">
        <f t="shared" si="3"/>
        <v>2.6811851657035866</v>
      </c>
      <c r="I32">
        <f t="shared" si="8"/>
        <v>8.566536157810638</v>
      </c>
      <c r="J32">
        <f t="shared" si="9"/>
        <v>-11.627481154156253</v>
      </c>
    </row>
    <row r="33" spans="1:10" ht="12.75">
      <c r="A33">
        <f t="shared" si="4"/>
        <v>32000</v>
      </c>
      <c r="B33">
        <f t="shared" si="0"/>
        <v>0.09473508517374722</v>
      </c>
      <c r="C33">
        <f t="shared" si="5"/>
        <v>-20.469783001679556</v>
      </c>
      <c r="D33">
        <f t="shared" si="1"/>
        <v>35460.72362346442</v>
      </c>
      <c r="E33">
        <f t="shared" si="2"/>
        <v>105821.10577918573</v>
      </c>
      <c r="F33">
        <f t="shared" si="6"/>
        <v>3.765012484930045E-05</v>
      </c>
      <c r="G33">
        <f t="shared" si="7"/>
        <v>26560.33689138166</v>
      </c>
      <c r="H33">
        <f t="shared" si="3"/>
        <v>2.656033689138166</v>
      </c>
      <c r="I33">
        <f t="shared" si="8"/>
        <v>8.484671586464893</v>
      </c>
      <c r="J33">
        <f t="shared" si="9"/>
        <v>-11.985111415214663</v>
      </c>
    </row>
    <row r="34" spans="1:10" ht="12.75">
      <c r="A34">
        <f t="shared" si="4"/>
        <v>33000</v>
      </c>
      <c r="B34">
        <f aca="true" t="shared" si="10" ref="B34:B65">(Vo*R_5_S)/(Vos_ramp*2*PI()*A34*L_1_S)</f>
        <v>0.09186432501696701</v>
      </c>
      <c r="C34">
        <f t="shared" si="5"/>
        <v>-20.73706223283919</v>
      </c>
      <c r="D34">
        <f aca="true" t="shared" si="11" ref="D34:D65">R_12_S+(1/(2*PI()*A34*C_6_S))</f>
        <v>35392.216846995805</v>
      </c>
      <c r="E34">
        <f aca="true" t="shared" si="12" ref="E34:E65">1/(2*PI()*A34*C_7_S)</f>
        <v>102614.40560405889</v>
      </c>
      <c r="F34">
        <f t="shared" si="6"/>
        <v>3.800002016933437E-05</v>
      </c>
      <c r="G34">
        <f t="shared" si="7"/>
        <v>26315.77550600854</v>
      </c>
      <c r="H34">
        <f t="shared" si="3"/>
        <v>2.6315775506008543</v>
      </c>
      <c r="I34">
        <f t="shared" si="8"/>
        <v>8.404323457438378</v>
      </c>
      <c r="J34">
        <f t="shared" si="9"/>
        <v>-12.332738775400811</v>
      </c>
    </row>
    <row r="35" spans="1:10" ht="12.75">
      <c r="A35">
        <f t="shared" si="4"/>
        <v>34000</v>
      </c>
      <c r="B35">
        <f t="shared" si="10"/>
        <v>0.08916243310470327</v>
      </c>
      <c r="C35">
        <f t="shared" si="5"/>
        <v>-20.996361776126538</v>
      </c>
      <c r="D35">
        <f t="shared" si="11"/>
        <v>35327.73988090769</v>
      </c>
      <c r="E35">
        <f t="shared" si="12"/>
        <v>99596.33485099833</v>
      </c>
      <c r="F35">
        <f t="shared" si="6"/>
        <v>3.834689796017067E-05</v>
      </c>
      <c r="G35">
        <f t="shared" si="7"/>
        <v>26077.728661094265</v>
      </c>
      <c r="H35">
        <f t="shared" si="3"/>
        <v>2.6077728661094266</v>
      </c>
      <c r="I35">
        <f t="shared" si="8"/>
        <v>8.325395243566916</v>
      </c>
      <c r="J35">
        <f t="shared" si="9"/>
        <v>-12.670966532559621</v>
      </c>
    </row>
    <row r="36" spans="1:10" ht="12.75">
      <c r="A36">
        <f t="shared" si="4"/>
        <v>35000</v>
      </c>
      <c r="B36">
        <f t="shared" si="10"/>
        <v>0.08661493501599747</v>
      </c>
      <c r="C36">
        <f t="shared" si="5"/>
        <v>-21.248144322286947</v>
      </c>
      <c r="D36">
        <f t="shared" si="11"/>
        <v>35266.947312881755</v>
      </c>
      <c r="E36">
        <f t="shared" si="12"/>
        <v>96750.72528382696</v>
      </c>
      <c r="F36">
        <f t="shared" si="6"/>
        <v>3.8691001708320076E-05</v>
      </c>
      <c r="G36">
        <f t="shared" si="7"/>
        <v>25845.802792564064</v>
      </c>
      <c r="H36">
        <f t="shared" si="3"/>
        <v>2.5845802792564063</v>
      </c>
      <c r="I36">
        <f t="shared" si="8"/>
        <v>8.247800525366106</v>
      </c>
      <c r="J36">
        <f t="shared" si="9"/>
        <v>-13.000343796920841</v>
      </c>
    </row>
    <row r="37" spans="1:10" ht="12.75">
      <c r="A37">
        <f t="shared" si="4"/>
        <v>36000</v>
      </c>
      <c r="B37">
        <f t="shared" si="10"/>
        <v>0.08420896459888641</v>
      </c>
      <c r="C37">
        <f t="shared" si="5"/>
        <v>-21.492833450627185</v>
      </c>
      <c r="D37">
        <f t="shared" si="11"/>
        <v>35209.53210974616</v>
      </c>
      <c r="E37">
        <f t="shared" si="12"/>
        <v>94063.20513705398</v>
      </c>
      <c r="F37">
        <f t="shared" si="6"/>
        <v>3.903254939030695E-05</v>
      </c>
      <c r="G37">
        <f t="shared" si="7"/>
        <v>25619.643492933938</v>
      </c>
      <c r="H37">
        <f t="shared" si="3"/>
        <v>2.561964349293394</v>
      </c>
      <c r="I37">
        <f t="shared" si="8"/>
        <v>8.171461641562267</v>
      </c>
      <c r="J37">
        <f t="shared" si="9"/>
        <v>-13.321371809064917</v>
      </c>
    </row>
    <row r="38" spans="1:10" ht="12.75">
      <c r="A38">
        <f t="shared" si="4"/>
        <v>37000</v>
      </c>
      <c r="B38">
        <f t="shared" si="10"/>
        <v>0.08193304663675435</v>
      </c>
      <c r="C38">
        <f t="shared" si="5"/>
        <v>-21.73081791662134</v>
      </c>
      <c r="D38">
        <f t="shared" si="11"/>
        <v>35155.22043110437</v>
      </c>
      <c r="E38">
        <f t="shared" si="12"/>
        <v>91520.95634956604</v>
      </c>
      <c r="F38">
        <f t="shared" si="6"/>
        <v>3.937173672823725E-05</v>
      </c>
      <c r="G38">
        <f t="shared" si="7"/>
        <v>25398.930377455363</v>
      </c>
      <c r="H38">
        <f t="shared" si="3"/>
        <v>2.539893037745536</v>
      </c>
      <c r="I38">
        <f t="shared" si="8"/>
        <v>8.096308552123096</v>
      </c>
      <c r="J38">
        <f t="shared" si="9"/>
        <v>-13.634509364498244</v>
      </c>
    </row>
    <row r="39" spans="1:10" ht="12.75">
      <c r="A39">
        <f t="shared" si="4"/>
        <v>38000</v>
      </c>
      <c r="B39">
        <f t="shared" si="10"/>
        <v>0.07977691383052399</v>
      </c>
      <c r="C39">
        <f t="shared" si="5"/>
        <v>-21.962455367617643</v>
      </c>
      <c r="D39">
        <f t="shared" si="11"/>
        <v>35103.76726186478</v>
      </c>
      <c r="E39">
        <f t="shared" si="12"/>
        <v>89112.51012984062</v>
      </c>
      <c r="F39">
        <f t="shared" si="6"/>
        <v>3.970873995920697E-05</v>
      </c>
      <c r="G39">
        <f t="shared" si="7"/>
        <v>25183.372754393768</v>
      </c>
      <c r="H39">
        <f t="shared" si="3"/>
        <v>2.518337275439377</v>
      </c>
      <c r="I39">
        <f t="shared" si="8"/>
        <v>8.02227787566802</v>
      </c>
      <c r="J39">
        <f t="shared" si="9"/>
        <v>-13.940177491949623</v>
      </c>
    </row>
    <row r="40" spans="1:10" ht="12.75">
      <c r="A40">
        <f t="shared" si="4"/>
        <v>39000</v>
      </c>
      <c r="B40">
        <f t="shared" si="10"/>
        <v>0.07773135193743362</v>
      </c>
      <c r="C40">
        <f t="shared" si="5"/>
        <v>-22.18807557581142</v>
      </c>
      <c r="D40">
        <f t="shared" si="11"/>
        <v>35054.95271668876</v>
      </c>
      <c r="E40">
        <f t="shared" si="12"/>
        <v>86827.57397266521</v>
      </c>
      <c r="F40">
        <f t="shared" si="6"/>
        <v>4.0043718201193134E-05</v>
      </c>
      <c r="G40">
        <f t="shared" si="7"/>
        <v>24972.7059554176</v>
      </c>
      <c r="H40">
        <f t="shared" si="3"/>
        <v>2.4972705955417602</v>
      </c>
      <c r="I40">
        <f t="shared" si="8"/>
        <v>7.9493120707630816</v>
      </c>
      <c r="J40">
        <f t="shared" si="9"/>
        <v>-14.23876350504834</v>
      </c>
    </row>
    <row r="41" spans="1:10" ht="12.75">
      <c r="A41">
        <f t="shared" si="4"/>
        <v>40000</v>
      </c>
      <c r="B41">
        <f t="shared" si="10"/>
        <v>0.07578806813899777</v>
      </c>
      <c r="C41">
        <f t="shared" si="5"/>
        <v>-22.407983261840684</v>
      </c>
      <c r="D41">
        <f t="shared" si="11"/>
        <v>35008.578898771535</v>
      </c>
      <c r="E41">
        <f t="shared" si="12"/>
        <v>84656.88462334858</v>
      </c>
      <c r="F41">
        <f t="shared" si="6"/>
        <v>4.037681548239477E-05</v>
      </c>
      <c r="G41">
        <f t="shared" si="7"/>
        <v>24766.688210862576</v>
      </c>
      <c r="H41">
        <f t="shared" si="3"/>
        <v>2.4766688210862577</v>
      </c>
      <c r="I41">
        <f t="shared" si="8"/>
        <v>7.877358736555537</v>
      </c>
      <c r="J41">
        <f t="shared" si="9"/>
        <v>-14.530624525285148</v>
      </c>
    </row>
    <row r="42" spans="1:10" ht="12.75">
      <c r="A42">
        <f t="shared" si="4"/>
        <v>41000</v>
      </c>
      <c r="B42">
        <f t="shared" si="10"/>
        <v>0.07393957867219295</v>
      </c>
      <c r="C42">
        <f t="shared" si="5"/>
        <v>-22.62246056967615</v>
      </c>
      <c r="D42">
        <f t="shared" si="11"/>
        <v>34964.46721831369</v>
      </c>
      <c r="E42">
        <f t="shared" si="12"/>
        <v>82592.08255936447</v>
      </c>
      <c r="F42">
        <f t="shared" si="6"/>
        <v>4.070816248858394E-05</v>
      </c>
      <c r="G42">
        <f t="shared" si="7"/>
        <v>24565.097977105615</v>
      </c>
      <c r="H42">
        <f t="shared" si="3"/>
        <v>2.4565097977105617</v>
      </c>
      <c r="I42">
        <f t="shared" si="8"/>
        <v>7.806370012878212</v>
      </c>
      <c r="J42">
        <f t="shared" si="9"/>
        <v>-14.816090556797938</v>
      </c>
    </row>
    <row r="43" spans="1:10" ht="12.75">
      <c r="A43">
        <f t="shared" si="4"/>
        <v>42000</v>
      </c>
      <c r="B43">
        <f t="shared" si="10"/>
        <v>0.07217911251333121</v>
      </c>
      <c r="C43">
        <f t="shared" si="5"/>
        <v>-22.831769243239446</v>
      </c>
      <c r="D43">
        <f t="shared" si="11"/>
        <v>34922.45609406813</v>
      </c>
      <c r="E43">
        <f t="shared" si="12"/>
        <v>80625.60440318914</v>
      </c>
      <c r="F43">
        <f t="shared" si="6"/>
        <v>4.103787807314717E-05</v>
      </c>
      <c r="G43">
        <f t="shared" si="7"/>
        <v>24367.731640938386</v>
      </c>
      <c r="H43">
        <f t="shared" si="3"/>
        <v>2.4367731640938386</v>
      </c>
      <c r="I43">
        <f t="shared" si="8"/>
        <v>7.736302063649767</v>
      </c>
      <c r="J43">
        <f t="shared" si="9"/>
        <v>-15.09546717958968</v>
      </c>
    </row>
    <row r="44" spans="1:10" ht="12.75">
      <c r="A44">
        <f t="shared" si="4"/>
        <v>43000</v>
      </c>
      <c r="B44">
        <f t="shared" si="10"/>
        <v>0.07050052850139328</v>
      </c>
      <c r="C44">
        <f t="shared" si="5"/>
        <v>-23.03615254687317</v>
      </c>
      <c r="D44">
        <f t="shared" si="11"/>
        <v>34882.39897560143</v>
      </c>
      <c r="E44">
        <f t="shared" si="12"/>
        <v>78750.59034730101</v>
      </c>
      <c r="F44">
        <f t="shared" si="6"/>
        <v>4.1366070566585734E-05</v>
      </c>
      <c r="G44">
        <f t="shared" si="7"/>
        <v>24174.401539791645</v>
      </c>
      <c r="H44">
        <f t="shared" si="3"/>
        <v>2.4174401539791646</v>
      </c>
      <c r="I44">
        <f t="shared" si="8"/>
        <v>7.667114630336993</v>
      </c>
      <c r="J44">
        <f t="shared" si="9"/>
        <v>-15.369037916536175</v>
      </c>
    </row>
    <row r="45" spans="1:10" ht="12.75">
      <c r="A45">
        <f t="shared" si="4"/>
        <v>44000</v>
      </c>
      <c r="B45">
        <f t="shared" si="10"/>
        <v>0.06889824376272526</v>
      </c>
      <c r="C45">
        <f t="shared" si="5"/>
        <v>-23.235836965005184</v>
      </c>
      <c r="D45">
        <f t="shared" si="11"/>
        <v>34844.16263524685</v>
      </c>
      <c r="E45">
        <f t="shared" si="12"/>
        <v>76960.80420304417</v>
      </c>
      <c r="F45">
        <f t="shared" si="6"/>
        <v>4.1692838915873625E-05</v>
      </c>
      <c r="G45">
        <f t="shared" si="7"/>
        <v>23984.934247767716</v>
      </c>
      <c r="H45">
        <f t="shared" si="3"/>
        <v>2.3984934247767717</v>
      </c>
      <c r="I45">
        <f t="shared" si="8"/>
        <v>7.598770644597172</v>
      </c>
      <c r="J45">
        <f t="shared" si="9"/>
        <v>-15.637066320408012</v>
      </c>
    </row>
    <row r="46" spans="1:10" ht="12.75">
      <c r="A46">
        <f t="shared" si="4"/>
        <v>45000</v>
      </c>
      <c r="B46">
        <f t="shared" si="10"/>
        <v>0.06736717167910913</v>
      </c>
      <c r="C46">
        <f t="shared" si="5"/>
        <v>-23.43103371078831</v>
      </c>
      <c r="D46">
        <f t="shared" si="11"/>
        <v>34807.62568779692</v>
      </c>
      <c r="E46">
        <f t="shared" si="12"/>
        <v>75250.56410964318</v>
      </c>
      <c r="F46">
        <f t="shared" si="6"/>
        <v>4.201827367891757E-05</v>
      </c>
      <c r="G46">
        <f t="shared" si="7"/>
        <v>23799.169086324084</v>
      </c>
      <c r="H46">
        <f t="shared" si="3"/>
        <v>2.3799169086324086</v>
      </c>
      <c r="I46">
        <f t="shared" si="8"/>
        <v>7.531235891110248</v>
      </c>
      <c r="J46">
        <f t="shared" si="9"/>
        <v>-15.89979781967806</v>
      </c>
    </row>
    <row r="47" spans="1:10" ht="12.75">
      <c r="A47">
        <f t="shared" si="4"/>
        <v>46000</v>
      </c>
      <c r="B47">
        <f t="shared" si="10"/>
        <v>0.0659026679469546</v>
      </c>
      <c r="C47">
        <f t="shared" si="5"/>
        <v>-23.621940068912917</v>
      </c>
      <c r="D47">
        <f t="shared" si="11"/>
        <v>34772.6773032796</v>
      </c>
      <c r="E47">
        <f t="shared" si="12"/>
        <v>73614.68228117267</v>
      </c>
      <c r="F47">
        <f t="shared" si="6"/>
        <v>4.234245789517131E-05</v>
      </c>
      <c r="G47">
        <f t="shared" si="7"/>
        <v>23616.956825598896</v>
      </c>
      <c r="H47">
        <f t="shared" si="3"/>
        <v>2.3616956825598896</v>
      </c>
      <c r="I47">
        <f t="shared" si="8"/>
        <v>7.464478713140016</v>
      </c>
      <c r="J47">
        <f t="shared" si="9"/>
        <v>-16.157461355772902</v>
      </c>
    </row>
    <row r="48" spans="1:10" ht="12.75">
      <c r="A48">
        <f t="shared" si="4"/>
        <v>47000</v>
      </c>
      <c r="B48">
        <f t="shared" si="10"/>
        <v>0.0645004835225513</v>
      </c>
      <c r="C48">
        <f t="shared" si="5"/>
        <v>-23.808740593995786</v>
      </c>
      <c r="D48">
        <f t="shared" si="11"/>
        <v>34739.216084060885</v>
      </c>
      <c r="E48">
        <f t="shared" si="12"/>
        <v>72048.41244540305</v>
      </c>
      <c r="F48">
        <f t="shared" si="6"/>
        <v>4.2665467850032125E-05</v>
      </c>
      <c r="G48">
        <f t="shared" si="7"/>
        <v>23438.15854814884</v>
      </c>
      <c r="H48">
        <f t="shared" si="3"/>
        <v>2.343815854814884</v>
      </c>
      <c r="I48">
        <f t="shared" si="8"/>
        <v>7.398469754606321</v>
      </c>
      <c r="J48">
        <f t="shared" si="9"/>
        <v>-16.410270839389465</v>
      </c>
    </row>
    <row r="49" spans="1:10" ht="12.75">
      <c r="A49">
        <f t="shared" si="4"/>
        <v>48000</v>
      </c>
      <c r="B49">
        <f t="shared" si="10"/>
        <v>0.06315672344916481</v>
      </c>
      <c r="C49">
        <f t="shared" si="5"/>
        <v>-23.99160818279318</v>
      </c>
      <c r="D49">
        <f t="shared" si="11"/>
        <v>34707.14908230962</v>
      </c>
      <c r="E49">
        <f t="shared" si="12"/>
        <v>70547.40385279049</v>
      </c>
      <c r="F49">
        <f t="shared" si="6"/>
        <v>4.2987373747837E-05</v>
      </c>
      <c r="G49">
        <f t="shared" si="7"/>
        <v>23262.644651566254</v>
      </c>
      <c r="H49">
        <f t="shared" si="3"/>
        <v>2.3262644651566253</v>
      </c>
      <c r="I49">
        <f t="shared" si="8"/>
        <v>7.333181733464661</v>
      </c>
      <c r="J49">
        <f t="shared" si="9"/>
        <v>-16.658426449328516</v>
      </c>
    </row>
    <row r="50" spans="1:10" ht="12.75">
      <c r="A50">
        <f t="shared" si="4"/>
        <v>49000</v>
      </c>
      <c r="B50">
        <f t="shared" si="10"/>
        <v>0.06186781072571248</v>
      </c>
      <c r="C50">
        <f t="shared" si="5"/>
        <v>-24.17070503585171</v>
      </c>
      <c r="D50">
        <f t="shared" si="11"/>
        <v>34676.39093777268</v>
      </c>
      <c r="E50">
        <f t="shared" si="12"/>
        <v>69107.66091701927</v>
      </c>
      <c r="F50">
        <f t="shared" si="6"/>
        <v>4.3308240305959755E-05</v>
      </c>
      <c r="G50">
        <f t="shared" si="7"/>
        <v>23090.293970276773</v>
      </c>
      <c r="H50">
        <f t="shared" si="3"/>
        <v>2.309029397027677</v>
      </c>
      <c r="I50">
        <f t="shared" si="8"/>
        <v>7.268589242021603</v>
      </c>
      <c r="J50">
        <f t="shared" si="9"/>
        <v>-16.902115793830106</v>
      </c>
    </row>
    <row r="51" spans="1:10" ht="12.75">
      <c r="A51">
        <f t="shared" si="4"/>
        <v>50000</v>
      </c>
      <c r="B51">
        <f t="shared" si="10"/>
        <v>0.06063045451119822</v>
      </c>
      <c r="C51">
        <f t="shared" si="5"/>
        <v>-24.346183522001816</v>
      </c>
      <c r="D51">
        <f t="shared" si="11"/>
        <v>34646.86311901723</v>
      </c>
      <c r="E51">
        <f t="shared" si="12"/>
        <v>67725.50769867888</v>
      </c>
      <c r="F51">
        <f t="shared" si="6"/>
        <v>4.362812728059359E-05</v>
      </c>
      <c r="G51">
        <f t="shared" si="7"/>
        <v>22920.992999963448</v>
      </c>
      <c r="H51">
        <f t="shared" si="3"/>
        <v>2.292099299996345</v>
      </c>
      <c r="I51">
        <f t="shared" si="8"/>
        <v>7.204668570499511</v>
      </c>
      <c r="J51">
        <f t="shared" si="9"/>
        <v>-17.141514951502305</v>
      </c>
    </row>
    <row r="52" spans="1:10" ht="12.75">
      <c r="A52">
        <f t="shared" si="4"/>
        <v>51000</v>
      </c>
      <c r="B52">
        <f t="shared" si="10"/>
        <v>0.059441622069802184</v>
      </c>
      <c r="C52">
        <f t="shared" si="5"/>
        <v>-24.518186957240165</v>
      </c>
      <c r="D52">
        <f t="shared" si="11"/>
        <v>34618.49325393846</v>
      </c>
      <c r="E52">
        <f t="shared" si="12"/>
        <v>66397.55656733223</v>
      </c>
      <c r="F52">
        <f t="shared" si="6"/>
        <v>4.3947089933211544E-05</v>
      </c>
      <c r="G52">
        <f t="shared" si="7"/>
        <v>22754.63521065324</v>
      </c>
      <c r="H52">
        <f t="shared" si="3"/>
        <v>2.275463521065324</v>
      </c>
      <c r="I52">
        <f t="shared" si="8"/>
        <v>7.141397550730682</v>
      </c>
      <c r="J52">
        <f t="shared" si="9"/>
        <v>-17.37678940650948</v>
      </c>
    </row>
    <row r="53" spans="1:10" ht="12.75">
      <c r="A53">
        <f t="shared" si="4"/>
        <v>52000</v>
      </c>
      <c r="B53">
        <f t="shared" si="10"/>
        <v>0.05829851395307521</v>
      </c>
      <c r="C53">
        <f t="shared" si="5"/>
        <v>-24.68685030797742</v>
      </c>
      <c r="D53">
        <f t="shared" si="11"/>
        <v>34591.21453751657</v>
      </c>
      <c r="E53">
        <f t="shared" si="12"/>
        <v>65120.68047949891</v>
      </c>
      <c r="F53">
        <f t="shared" si="6"/>
        <v>4.426517944536917E-05</v>
      </c>
      <c r="G53">
        <f t="shared" si="7"/>
        <v>22591.12043664415</v>
      </c>
      <c r="H53">
        <f t="shared" si="3"/>
        <v>2.259112043664415</v>
      </c>
      <c r="I53">
        <f t="shared" si="8"/>
        <v>7.078755417331478</v>
      </c>
      <c r="J53">
        <f t="shared" si="9"/>
        <v>-17.60809489064594</v>
      </c>
    </row>
    <row r="54" spans="1:10" ht="12.75">
      <c r="A54">
        <f t="shared" si="4"/>
        <v>53000</v>
      </c>
      <c r="B54">
        <f t="shared" si="10"/>
        <v>0.05719854199169643</v>
      </c>
      <c r="C54">
        <f t="shared" si="5"/>
        <v>-24.852300827297217</v>
      </c>
      <c r="D54">
        <f t="shared" si="11"/>
        <v>34564.96520662003</v>
      </c>
      <c r="E54">
        <f t="shared" si="12"/>
        <v>63891.988394980064</v>
      </c>
      <c r="F54">
        <f t="shared" si="6"/>
        <v>4.4582443288402894E-05</v>
      </c>
      <c r="G54">
        <f t="shared" si="7"/>
        <v>22430.354333229807</v>
      </c>
      <c r="H54">
        <f t="shared" si="3"/>
        <v>2.243035433322981</v>
      </c>
      <c r="I54">
        <f t="shared" si="8"/>
        <v>7.016722684098937</v>
      </c>
      <c r="J54">
        <f t="shared" si="9"/>
        <v>-17.83557814319828</v>
      </c>
    </row>
    <row r="55" spans="1:10" ht="12.75">
      <c r="A55">
        <f t="shared" si="4"/>
        <v>54000</v>
      </c>
      <c r="B55">
        <f t="shared" si="10"/>
        <v>0.05613930973259095</v>
      </c>
      <c r="C55">
        <f t="shared" si="5"/>
        <v>-25.014658631740808</v>
      </c>
      <c r="D55">
        <f t="shared" si="11"/>
        <v>34539.6880731641</v>
      </c>
      <c r="E55">
        <f t="shared" si="12"/>
        <v>62708.80342470265</v>
      </c>
      <c r="F55">
        <f t="shared" si="6"/>
        <v>4.4898925553643983E-05</v>
      </c>
      <c r="G55">
        <f t="shared" si="7"/>
        <v>22272.24789166119</v>
      </c>
      <c r="H55">
        <f t="shared" si="3"/>
        <v>2.227224789166119</v>
      </c>
      <c r="I55">
        <f t="shared" si="8"/>
        <v>6.955281033700457</v>
      </c>
      <c r="J55">
        <f t="shared" si="9"/>
        <v>-18.05937759804035</v>
      </c>
    </row>
    <row r="56" spans="1:10" ht="12.75">
      <c r="A56">
        <f t="shared" si="4"/>
        <v>55000</v>
      </c>
      <c r="B56">
        <f t="shared" si="10"/>
        <v>0.0551185950101802</v>
      </c>
      <c r="C56">
        <f t="shared" si="5"/>
        <v>-25.174037225166312</v>
      </c>
      <c r="D56">
        <f t="shared" si="11"/>
        <v>34515.33010819748</v>
      </c>
      <c r="E56">
        <f t="shared" si="12"/>
        <v>61568.643362435345</v>
      </c>
      <c r="F56">
        <f t="shared" si="6"/>
        <v>4.5214667247981976E-05</v>
      </c>
      <c r="G56">
        <f t="shared" si="7"/>
        <v>22116.717005025224</v>
      </c>
      <c r="H56">
        <f t="shared" si="3"/>
        <v>2.2116717005025226</v>
      </c>
      <c r="I56">
        <f t="shared" si="8"/>
        <v>6.894413219002248</v>
      </c>
      <c r="J56">
        <f t="shared" si="9"/>
        <v>-18.279624006164063</v>
      </c>
    </row>
    <row r="57" spans="1:10" ht="12.75">
      <c r="A57">
        <f t="shared" si="4"/>
        <v>56000</v>
      </c>
      <c r="B57">
        <f t="shared" si="10"/>
        <v>0.054134334384998414</v>
      </c>
      <c r="C57">
        <f t="shared" si="5"/>
        <v>-25.330543975405444</v>
      </c>
      <c r="D57">
        <f t="shared" si="11"/>
        <v>34491.8420705511</v>
      </c>
      <c r="E57">
        <f t="shared" si="12"/>
        <v>60469.203302391856</v>
      </c>
      <c r="F57">
        <f t="shared" si="6"/>
        <v>4.5529706558946744E-05</v>
      </c>
      <c r="G57">
        <f t="shared" si="7"/>
        <v>21963.682078761314</v>
      </c>
      <c r="H57">
        <f t="shared" si="3"/>
        <v>2.1963682078761315</v>
      </c>
      <c r="I57">
        <f t="shared" si="8"/>
        <v>6.834102974614096</v>
      </c>
      <c r="J57">
        <f t="shared" si="9"/>
        <v>-18.49644100079135</v>
      </c>
    </row>
    <row r="58" spans="1:10" ht="12.75">
      <c r="A58">
        <f t="shared" si="4"/>
        <v>57000</v>
      </c>
      <c r="B58">
        <f t="shared" si="10"/>
        <v>0.05318460922034931</v>
      </c>
      <c r="C58">
        <f t="shared" si="5"/>
        <v>-25.48428054873127</v>
      </c>
      <c r="D58">
        <f t="shared" si="11"/>
        <v>34469.17817457652</v>
      </c>
      <c r="E58">
        <f t="shared" si="12"/>
        <v>59408.34008656042</v>
      </c>
      <c r="F58">
        <f t="shared" si="6"/>
        <v>4.584407909291452E-05</v>
      </c>
      <c r="G58">
        <f t="shared" si="7"/>
        <v>21813.067680414068</v>
      </c>
      <c r="H58">
        <f t="shared" si="3"/>
        <v>2.1813067680414067</v>
      </c>
      <c r="I58">
        <f t="shared" si="8"/>
        <v>6.774334937423915</v>
      </c>
      <c r="J58">
        <f t="shared" si="9"/>
        <v>-18.709945611307354</v>
      </c>
    </row>
    <row r="59" spans="1:10" ht="12.75">
      <c r="A59">
        <f t="shared" si="4"/>
        <v>58000</v>
      </c>
      <c r="B59">
        <f t="shared" si="10"/>
        <v>0.05226763319930881</v>
      </c>
      <c r="C59">
        <f t="shared" si="5"/>
        <v>-25.635343306540182</v>
      </c>
      <c r="D59">
        <f t="shared" si="11"/>
        <v>34447.295792256235</v>
      </c>
      <c r="E59">
        <f t="shared" si="12"/>
        <v>58384.05836093005</v>
      </c>
      <c r="F59">
        <f t="shared" si="6"/>
        <v>4.615781808956415E-05</v>
      </c>
      <c r="G59">
        <f t="shared" si="7"/>
        <v>21664.802223961506</v>
      </c>
      <c r="H59">
        <f t="shared" si="3"/>
        <v>2.166480222396151</v>
      </c>
      <c r="I59">
        <f t="shared" si="8"/>
        <v>6.715094575061485</v>
      </c>
      <c r="J59">
        <f t="shared" si="9"/>
        <v>-18.920248731478697</v>
      </c>
    </row>
    <row r="60" spans="1:10" ht="12.75">
      <c r="A60">
        <f t="shared" si="4"/>
        <v>59000</v>
      </c>
      <c r="B60">
        <f t="shared" si="10"/>
        <v>0.05138174111118494</v>
      </c>
      <c r="C60">
        <f t="shared" si="5"/>
        <v>-25.78382366812432</v>
      </c>
      <c r="D60">
        <f t="shared" si="11"/>
        <v>34426.15518560782</v>
      </c>
      <c r="E60">
        <f t="shared" si="12"/>
        <v>57394.498049727845</v>
      </c>
      <c r="F60">
        <f t="shared" si="6"/>
        <v>4.6470954615301135E-05</v>
      </c>
      <c r="G60">
        <f t="shared" si="7"/>
        <v>21518.817684686375</v>
      </c>
      <c r="H60">
        <f t="shared" si="3"/>
        <v>2.1518817684686375</v>
      </c>
      <c r="I60">
        <f t="shared" si="8"/>
        <v>6.656368121371906</v>
      </c>
      <c r="J60">
        <f t="shared" si="9"/>
        <v>-19.127455546752415</v>
      </c>
    </row>
    <row r="61" spans="1:10" ht="12.75">
      <c r="A61">
        <f t="shared" si="4"/>
        <v>60000</v>
      </c>
      <c r="B61">
        <f t="shared" si="10"/>
        <v>0.05052537875933185</v>
      </c>
      <c r="C61">
        <f t="shared" si="5"/>
        <v>-25.929808442954307</v>
      </c>
      <c r="D61">
        <f t="shared" si="11"/>
        <v>34405.71926584769</v>
      </c>
      <c r="E61">
        <f t="shared" si="12"/>
        <v>56437.923082232395</v>
      </c>
      <c r="F61">
        <f t="shared" si="6"/>
        <v>4.678351773801697E-05</v>
      </c>
      <c r="G61">
        <f t="shared" si="7"/>
        <v>21375.049341092737</v>
      </c>
      <c r="H61">
        <f t="shared" si="3"/>
        <v>2.137504934109274</v>
      </c>
      <c r="I61">
        <f t="shared" si="8"/>
        <v>6.5981425180997135</v>
      </c>
      <c r="J61">
        <f t="shared" si="9"/>
        <v>-19.331665924854594</v>
      </c>
    </row>
    <row r="62" spans="1:10" ht="12.75">
      <c r="A62">
        <f t="shared" si="4"/>
        <v>61000</v>
      </c>
      <c r="B62">
        <f t="shared" si="10"/>
        <v>0.04969709386163789</v>
      </c>
      <c r="C62">
        <f t="shared" si="5"/>
        <v>-26.073380135496773</v>
      </c>
      <c r="D62">
        <f t="shared" si="11"/>
        <v>34385.95337624363</v>
      </c>
      <c r="E62">
        <f t="shared" si="12"/>
        <v>55512.7112284253</v>
      </c>
      <c r="F62">
        <f t="shared" si="6"/>
        <v>4.709553468525203E-05</v>
      </c>
      <c r="G62">
        <f t="shared" si="7"/>
        <v>21233.435540825278</v>
      </c>
      <c r="H62">
        <f t="shared" si="3"/>
        <v>2.123343554082528</v>
      </c>
      <c r="I62">
        <f t="shared" si="8"/>
        <v>6.54040536208732</v>
      </c>
      <c r="J62">
        <f t="shared" si="9"/>
        <v>-19.532974773409453</v>
      </c>
    </row>
    <row r="63" spans="1:10" ht="12.75">
      <c r="A63">
        <f t="shared" si="4"/>
        <v>62000</v>
      </c>
      <c r="B63">
        <f t="shared" si="10"/>
        <v>0.04889552783161147</v>
      </c>
      <c r="C63">
        <f t="shared" si="5"/>
        <v>-26.214617225246513</v>
      </c>
      <c r="D63">
        <f t="shared" si="11"/>
        <v>34366.825095981636</v>
      </c>
      <c r="E63">
        <f t="shared" si="12"/>
        <v>54617.34491828941</v>
      </c>
      <c r="F63">
        <f t="shared" si="6"/>
        <v>4.740703098757187E-05</v>
      </c>
      <c r="G63">
        <f t="shared" si="7"/>
        <v>21093.917487938823</v>
      </c>
      <c r="H63">
        <f t="shared" si="3"/>
        <v>2.1093917487938825</v>
      </c>
      <c r="I63">
        <f t="shared" si="8"/>
        <v>6.483144857379796</v>
      </c>
      <c r="J63">
        <f t="shared" si="9"/>
        <v>-19.73147236786672</v>
      </c>
    </row>
    <row r="64" spans="1:10" ht="12.75">
      <c r="A64">
        <f t="shared" si="4"/>
        <v>63000</v>
      </c>
      <c r="B64">
        <f t="shared" si="10"/>
        <v>0.04811940834222081</v>
      </c>
      <c r="C64">
        <f t="shared" si="5"/>
        <v>-26.35359442435307</v>
      </c>
      <c r="D64">
        <f t="shared" si="11"/>
        <v>34348.304062712086</v>
      </c>
      <c r="E64">
        <f t="shared" si="12"/>
        <v>53750.402935459424</v>
      </c>
      <c r="F64">
        <f t="shared" si="6"/>
        <v>4.7718030608745335E-05</v>
      </c>
      <c r="G64">
        <f t="shared" si="7"/>
        <v>20956.439049199336</v>
      </c>
      <c r="H64">
        <f t="shared" si="3"/>
        <v>2.0956439049199336</v>
      </c>
      <c r="I64">
        <f t="shared" si="8"/>
        <v>6.426349771703657</v>
      </c>
      <c r="J64">
        <f t="shared" si="9"/>
        <v>-19.927244652649414</v>
      </c>
    </row>
    <row r="65" spans="1:10" ht="12.75">
      <c r="A65">
        <f t="shared" si="4"/>
        <v>64000</v>
      </c>
      <c r="B65">
        <f t="shared" si="10"/>
        <v>0.04736754258687361</v>
      </c>
      <c r="C65">
        <f t="shared" si="5"/>
        <v>-26.49038291495918</v>
      </c>
      <c r="D65">
        <f t="shared" si="11"/>
        <v>34330.36181173221</v>
      </c>
      <c r="E65">
        <f t="shared" si="12"/>
        <v>52910.552889592866</v>
      </c>
      <c r="F65">
        <f t="shared" si="6"/>
        <v>4.802855606412015E-05</v>
      </c>
      <c r="G65">
        <f t="shared" si="7"/>
        <v>20820.94657738529</v>
      </c>
      <c r="H65">
        <f t="shared" si="3"/>
        <v>2.082094657738529</v>
      </c>
      <c r="I65">
        <f t="shared" si="8"/>
        <v>6.370009396852757</v>
      </c>
      <c r="J65">
        <f t="shared" si="9"/>
        <v>-20.120373518106422</v>
      </c>
    </row>
    <row r="66" spans="1:10" ht="12.75">
      <c r="A66">
        <f t="shared" si="4"/>
        <v>65000</v>
      </c>
      <c r="B66">
        <f aca="true" t="shared" si="13" ref="B66:B97">(Vo*R_5_S)/(Vos_ramp*2*PI()*A66*L_1_S)</f>
        <v>0.04663881116246017</v>
      </c>
      <c r="C66">
        <f t="shared" si="5"/>
        <v>-26.625050568138544</v>
      </c>
      <c r="D66">
        <f aca="true" t="shared" si="14" ref="D66:D97">R_12_S+(1/(2*PI()*A66*C_6_S))</f>
        <v>34312.97163001326</v>
      </c>
      <c r="E66">
        <f aca="true" t="shared" si="15" ref="E66:E97">1/(2*PI()*A66*C_7_S)</f>
        <v>52096.54438359913</v>
      </c>
      <c r="F66">
        <f t="shared" si="6"/>
        <v>4.8338628528426066E-05</v>
      </c>
      <c r="G66">
        <f t="shared" si="7"/>
        <v>20687.388749805737</v>
      </c>
      <c r="H66">
        <f aca="true" t="shared" si="16" ref="H66:H119">g_ca*G66</f>
        <v>2.068738874980574</v>
      </c>
      <c r="I66">
        <f t="shared" si="8"/>
        <v>6.314113512570728</v>
      </c>
      <c r="J66">
        <f t="shared" si="9"/>
        <v>-20.310937055567816</v>
      </c>
    </row>
    <row r="67" spans="1:10" ht="12.75">
      <c r="A67">
        <f t="shared" si="4"/>
        <v>66000</v>
      </c>
      <c r="B67">
        <f t="shared" si="13"/>
        <v>0.045932162508483504</v>
      </c>
      <c r="C67">
        <f t="shared" si="5"/>
        <v>-26.757662146118804</v>
      </c>
      <c r="D67">
        <f t="shared" si="14"/>
        <v>34296.1084234979</v>
      </c>
      <c r="E67">
        <f t="shared" si="15"/>
        <v>51307.202802029446</v>
      </c>
      <c r="F67">
        <f t="shared" si="6"/>
        <v>4.8648267934090854E-05</v>
      </c>
      <c r="G67">
        <f t="shared" si="7"/>
        <v>20555.71642046557</v>
      </c>
      <c r="H67">
        <f t="shared" si="16"/>
        <v>2.0555716420465573</v>
      </c>
      <c r="I67">
        <f t="shared" si="8"/>
        <v>6.258652353568316</v>
      </c>
      <c r="J67">
        <f t="shared" si="9"/>
        <v>-20.49900979255049</v>
      </c>
    </row>
    <row r="68" spans="1:10" ht="12.75">
      <c r="A68">
        <f aca="true" t="shared" si="17" ref="A68:A119">A67+1000</f>
        <v>67000</v>
      </c>
      <c r="B68">
        <f t="shared" si="13"/>
        <v>0.04524660784417778</v>
      </c>
      <c r="C68">
        <f aca="true" t="shared" si="18" ref="C68:C119">20*LOG(B68,10)</f>
        <v>-26.888279489297965</v>
      </c>
      <c r="D68">
        <f t="shared" si="14"/>
        <v>34279.74859628151</v>
      </c>
      <c r="E68">
        <f t="shared" si="15"/>
        <v>50541.4236557305</v>
      </c>
      <c r="F68">
        <f aca="true" t="shared" si="19" ref="F68:F119">(1/D68)+(1/E68)</f>
        <v>4.8957493061029247E-05</v>
      </c>
      <c r="G68">
        <f aca="true" t="shared" si="20" ref="G68:G119">1/F68</f>
        <v>20425.88248449372</v>
      </c>
      <c r="H68">
        <f t="shared" si="16"/>
        <v>2.042588248449372</v>
      </c>
      <c r="I68">
        <f aca="true" t="shared" si="21" ref="I68:I119">20*LOG(H68)</f>
        <v>6.203616579356314</v>
      </c>
      <c r="J68">
        <f aca="true" t="shared" si="22" ref="J68:J119">C68+I68</f>
        <v>-20.68466290994165</v>
      </c>
    </row>
    <row r="69" spans="1:10" ht="12.75">
      <c r="A69">
        <f t="shared" si="17"/>
        <v>68000</v>
      </c>
      <c r="B69">
        <f t="shared" si="13"/>
        <v>0.04458121655235164</v>
      </c>
      <c r="C69">
        <f t="shared" si="18"/>
        <v>-27.016961689406163</v>
      </c>
      <c r="D69">
        <f t="shared" si="14"/>
        <v>34263.86994045385</v>
      </c>
      <c r="E69">
        <f t="shared" si="15"/>
        <v>49798.16742549917</v>
      </c>
      <c r="F69">
        <f t="shared" si="19"/>
        <v>4.926632161875532E-05</v>
      </c>
      <c r="G69">
        <f t="shared" si="20"/>
        <v>20297.841753611</v>
      </c>
      <c r="H69">
        <f t="shared" si="16"/>
        <v>2.0297841753611</v>
      </c>
      <c r="I69">
        <f t="shared" si="21"/>
        <v>6.148997246611692</v>
      </c>
      <c r="J69">
        <f t="shared" si="22"/>
        <v>-20.86796444279447</v>
      </c>
    </row>
    <row r="70" spans="1:10" ht="12.75">
      <c r="A70">
        <f t="shared" si="17"/>
        <v>69000</v>
      </c>
      <c r="B70">
        <f t="shared" si="13"/>
        <v>0.0439351119646364</v>
      </c>
      <c r="C70">
        <f t="shared" si="18"/>
        <v>-27.143765250026544</v>
      </c>
      <c r="D70">
        <f t="shared" si="14"/>
        <v>34248.45153551973</v>
      </c>
      <c r="E70">
        <f t="shared" si="15"/>
        <v>49076.45485411512</v>
      </c>
      <c r="F70">
        <f t="shared" si="19"/>
        <v>4.9574770321573304E-05</v>
      </c>
      <c r="G70">
        <f t="shared" si="20"/>
        <v>20171.55084155444</v>
      </c>
      <c r="H70">
        <f t="shared" si="16"/>
        <v>2.017155084155444</v>
      </c>
      <c r="I70">
        <f t="shared" si="21"/>
        <v>6.094785783826627</v>
      </c>
      <c r="J70">
        <f t="shared" si="22"/>
        <v>-21.048979466199917</v>
      </c>
    </row>
    <row r="71" spans="1:10" ht="12.75">
      <c r="A71">
        <f t="shared" si="17"/>
        <v>70000</v>
      </c>
      <c r="B71">
        <f t="shared" si="13"/>
        <v>0.043307467507998736</v>
      </c>
      <c r="C71">
        <f t="shared" si="18"/>
        <v>-27.268744235566572</v>
      </c>
      <c r="D71">
        <f t="shared" si="14"/>
        <v>34233.47365644088</v>
      </c>
      <c r="E71">
        <f t="shared" si="15"/>
        <v>48375.36264191348</v>
      </c>
      <c r="F71">
        <f t="shared" si="19"/>
        <v>4.9882854957517835E-05</v>
      </c>
      <c r="G71">
        <f t="shared" si="20"/>
        <v>20046.968058497027</v>
      </c>
      <c r="H71">
        <f t="shared" si="16"/>
        <v>2.0046968058497026</v>
      </c>
      <c r="I71">
        <f t="shared" si="21"/>
        <v>6.040973968018313</v>
      </c>
      <c r="J71">
        <f t="shared" si="22"/>
        <v>-21.22777026754826</v>
      </c>
    </row>
    <row r="72" spans="1:10" ht="12.75">
      <c r="A72">
        <f t="shared" si="17"/>
        <v>71000</v>
      </c>
      <c r="B72">
        <f t="shared" si="13"/>
        <v>0.04269750317690015</v>
      </c>
      <c r="C72">
        <f t="shared" si="18"/>
        <v>-27.391950409662943</v>
      </c>
      <c r="D72">
        <f t="shared" si="14"/>
        <v>34218.917689448754</v>
      </c>
      <c r="E72">
        <f t="shared" si="15"/>
        <v>47694.01950611189</v>
      </c>
      <c r="F72">
        <f t="shared" si="19"/>
        <v>5.0190590451642026E-05</v>
      </c>
      <c r="G72">
        <f t="shared" si="20"/>
        <v>19924.05331360839</v>
      </c>
      <c r="H72">
        <f t="shared" si="16"/>
        <v>1.9924053313608392</v>
      </c>
      <c r="I72">
        <f t="shared" si="21"/>
        <v>5.9875539033018335</v>
      </c>
      <c r="J72">
        <f t="shared" si="22"/>
        <v>-21.40439650636111</v>
      </c>
    </row>
    <row r="73" spans="1:10" ht="12.75">
      <c r="A73">
        <f t="shared" si="17"/>
        <v>72000</v>
      </c>
      <c r="B73">
        <f t="shared" si="13"/>
        <v>0.042104482299443205</v>
      </c>
      <c r="C73">
        <f t="shared" si="18"/>
        <v>-27.513433363906806</v>
      </c>
      <c r="D73">
        <f t="shared" si="14"/>
        <v>34204.76605487308</v>
      </c>
      <c r="E73">
        <f t="shared" si="15"/>
        <v>47031.60256852699</v>
      </c>
      <c r="F73">
        <f t="shared" si="19"/>
        <v>5.049799092418624E-05</v>
      </c>
      <c r="G73">
        <f t="shared" si="20"/>
        <v>19802.768024995734</v>
      </c>
      <c r="H73">
        <f t="shared" si="16"/>
        <v>1.9802768024995734</v>
      </c>
      <c r="I73">
        <f t="shared" si="21"/>
        <v>5.934518001150075</v>
      </c>
      <c r="J73">
        <f t="shared" si="22"/>
        <v>-21.57891536275673</v>
      </c>
    </row>
    <row r="74" spans="1:10" ht="12.75">
      <c r="A74">
        <f t="shared" si="17"/>
        <v>73000</v>
      </c>
      <c r="B74">
        <f t="shared" si="13"/>
        <v>0.04152770856931385</v>
      </c>
      <c r="C74">
        <f t="shared" si="18"/>
        <v>-27.63324063769055</v>
      </c>
      <c r="D74">
        <f t="shared" si="14"/>
        <v>34191.002136313175</v>
      </c>
      <c r="E74">
        <f t="shared" si="15"/>
        <v>46387.334040191</v>
      </c>
      <c r="F74">
        <f t="shared" si="19"/>
        <v>5.080506974410452E-05</v>
      </c>
      <c r="G74">
        <f t="shared" si="20"/>
        <v>19683.075036345977</v>
      </c>
      <c r="H74">
        <f t="shared" si="16"/>
        <v>1.9683075036345978</v>
      </c>
      <c r="I74">
        <f t="shared" si="21"/>
        <v>5.881858962183535</v>
      </c>
      <c r="J74">
        <f t="shared" si="22"/>
        <v>-21.751381675507016</v>
      </c>
    </row>
    <row r="75" spans="1:10" ht="12.75">
      <c r="A75">
        <f t="shared" si="17"/>
        <v>74000</v>
      </c>
      <c r="B75">
        <f t="shared" si="13"/>
        <v>0.04096652331837718</v>
      </c>
      <c r="C75">
        <f t="shared" si="18"/>
        <v>-27.75141782990096</v>
      </c>
      <c r="D75">
        <f t="shared" si="14"/>
        <v>34177.61021555218</v>
      </c>
      <c r="E75">
        <f t="shared" si="15"/>
        <v>45760.47817478302</v>
      </c>
      <c r="F75">
        <f t="shared" si="19"/>
        <v>5.111183957837519E-05</v>
      </c>
      <c r="G75">
        <f t="shared" si="20"/>
        <v>19564.938539662504</v>
      </c>
      <c r="H75">
        <f t="shared" si="16"/>
        <v>1.9564938539662504</v>
      </c>
      <c r="I75">
        <f t="shared" si="21"/>
        <v>5.829569759349512</v>
      </c>
      <c r="J75">
        <f t="shared" si="22"/>
        <v>-21.921848070551448</v>
      </c>
    </row>
    <row r="76" spans="1:10" ht="12.75">
      <c r="A76">
        <f t="shared" si="17"/>
        <v>75000</v>
      </c>
      <c r="B76">
        <f t="shared" si="13"/>
        <v>0.040420303007465484</v>
      </c>
      <c r="C76">
        <f t="shared" si="18"/>
        <v>-27.868008703115436</v>
      </c>
      <c r="D76">
        <f t="shared" si="14"/>
        <v>34164.575412678154</v>
      </c>
      <c r="E76">
        <f t="shared" si="15"/>
        <v>45150.33846578591</v>
      </c>
      <c r="F76">
        <f t="shared" si="19"/>
        <v>5.141831243747798E-05</v>
      </c>
      <c r="G76">
        <f t="shared" si="20"/>
        <v>19448.32400355318</v>
      </c>
      <c r="H76">
        <f t="shared" si="16"/>
        <v>1.9448324003553183</v>
      </c>
      <c r="I76">
        <f t="shared" si="21"/>
        <v>5.7776436223649235</v>
      </c>
      <c r="J76">
        <f t="shared" si="22"/>
        <v>-22.090365080750512</v>
      </c>
    </row>
    <row r="77" spans="1:10" ht="12.75">
      <c r="A77">
        <f t="shared" si="17"/>
        <v>76000</v>
      </c>
      <c r="B77">
        <f t="shared" si="13"/>
        <v>0.039888456915261994</v>
      </c>
      <c r="C77">
        <f t="shared" si="18"/>
        <v>-27.98305528089726</v>
      </c>
      <c r="D77">
        <f t="shared" si="14"/>
        <v>34151.88363093239</v>
      </c>
      <c r="E77">
        <f t="shared" si="15"/>
        <v>44556.25506492031</v>
      </c>
      <c r="F77">
        <f t="shared" si="19"/>
        <v>5.172449971738086E-05</v>
      </c>
      <c r="G77">
        <f t="shared" si="20"/>
        <v>19333.198106582604</v>
      </c>
      <c r="H77">
        <f t="shared" si="16"/>
        <v>1.9333198106582605</v>
      </c>
      <c r="I77">
        <f t="shared" si="21"/>
        <v>5.726074023309944</v>
      </c>
      <c r="J77">
        <f t="shared" si="22"/>
        <v>-22.256981257587316</v>
      </c>
    </row>
    <row r="78" spans="1:10" ht="12.75">
      <c r="A78">
        <f t="shared" si="17"/>
        <v>77000</v>
      </c>
      <c r="B78">
        <f t="shared" si="13"/>
        <v>0.03937042500727157</v>
      </c>
      <c r="C78">
        <f t="shared" si="18"/>
        <v>-28.096597938731072</v>
      </c>
      <c r="D78">
        <f t="shared" si="14"/>
        <v>34139.521505855344</v>
      </c>
      <c r="E78">
        <f t="shared" si="15"/>
        <v>43977.602401739525</v>
      </c>
      <c r="F78">
        <f t="shared" si="19"/>
        <v>5.203041223834532E-05</v>
      </c>
      <c r="G78">
        <f t="shared" si="20"/>
        <v>19219.528675250836</v>
      </c>
      <c r="H78">
        <f t="shared" si="16"/>
        <v>1.9219528675250837</v>
      </c>
      <c r="I78">
        <f t="shared" si="21"/>
        <v>5.674854663271134</v>
      </c>
      <c r="J78">
        <f t="shared" si="22"/>
        <v>-22.42174327545994</v>
      </c>
    </row>
    <row r="79" spans="1:10" ht="12.75">
      <c r="A79">
        <f t="shared" si="17"/>
        <v>78000</v>
      </c>
      <c r="B79">
        <f t="shared" si="13"/>
        <v>0.03886567596871681</v>
      </c>
      <c r="C79">
        <f t="shared" si="18"/>
        <v>-28.208675489091046</v>
      </c>
      <c r="D79">
        <f t="shared" si="14"/>
        <v>34127.47635834438</v>
      </c>
      <c r="E79">
        <f t="shared" si="15"/>
        <v>43413.786986332605</v>
      </c>
      <c r="F79">
        <f t="shared" si="19"/>
        <v>5.233606028082767E-05</v>
      </c>
      <c r="G79">
        <f t="shared" si="20"/>
        <v>19107.284626205066</v>
      </c>
      <c r="H79">
        <f t="shared" si="16"/>
        <v>1.9107284626205068</v>
      </c>
      <c r="I79">
        <f t="shared" si="21"/>
        <v>5.623979459942961</v>
      </c>
      <c r="J79">
        <f t="shared" si="22"/>
        <v>-22.584696029148084</v>
      </c>
    </row>
    <row r="80" spans="1:10" ht="12.75">
      <c r="A80">
        <f t="shared" si="17"/>
        <v>79000</v>
      </c>
      <c r="B80">
        <f t="shared" si="13"/>
        <v>0.03837370538683432</v>
      </c>
      <c r="C80">
        <f t="shared" si="18"/>
        <v>-28.319325261090263</v>
      </c>
      <c r="D80">
        <f t="shared" si="14"/>
        <v>34115.73615127673</v>
      </c>
      <c r="E80">
        <f t="shared" si="15"/>
        <v>42864.24537891068</v>
      </c>
      <c r="F80">
        <f t="shared" si="19"/>
        <v>5.264145361872681E-05</v>
      </c>
      <c r="G80">
        <f t="shared" si="20"/>
        <v>18996.435912329318</v>
      </c>
      <c r="H80">
        <f t="shared" si="16"/>
        <v>1.899643591232932</v>
      </c>
      <c r="I80">
        <f t="shared" si="21"/>
        <v>5.573442536105592</v>
      </c>
      <c r="J80">
        <f t="shared" si="22"/>
        <v>-22.74588272498467</v>
      </c>
    </row>
    <row r="81" spans="1:10" ht="12.75">
      <c r="A81">
        <f t="shared" si="17"/>
        <v>80000</v>
      </c>
      <c r="B81">
        <f t="shared" si="13"/>
        <v>0.037894034069498886</v>
      </c>
      <c r="C81">
        <f t="shared" si="18"/>
        <v>-28.42858317512031</v>
      </c>
      <c r="D81">
        <f t="shared" si="14"/>
        <v>34104.28944938577</v>
      </c>
      <c r="E81">
        <f t="shared" si="15"/>
        <v>42328.44231167429</v>
      </c>
      <c r="F81">
        <f t="shared" si="19"/>
        <v>5.29466015502047E-05</v>
      </c>
      <c r="G81">
        <f t="shared" si="20"/>
        <v>18886.953472392106</v>
      </c>
      <c r="H81">
        <f t="shared" si="16"/>
        <v>1.8886953472392107</v>
      </c>
      <c r="I81">
        <f t="shared" si="21"/>
        <v>5.5232382089049326</v>
      </c>
      <c r="J81">
        <f t="shared" si="22"/>
        <v>-22.905344966215377</v>
      </c>
    </row>
    <row r="82" spans="1:10" ht="12.75">
      <c r="A82">
        <f t="shared" si="17"/>
        <v>81000</v>
      </c>
      <c r="B82">
        <f t="shared" si="13"/>
        <v>0.03742620648839397</v>
      </c>
      <c r="C82">
        <f t="shared" si="18"/>
        <v>-28.536483812854428</v>
      </c>
      <c r="D82">
        <f t="shared" si="14"/>
        <v>34093.1253821094</v>
      </c>
      <c r="E82">
        <f t="shared" si="15"/>
        <v>41805.86894980177</v>
      </c>
      <c r="F82">
        <f t="shared" si="19"/>
        <v>5.325151292628346E-05</v>
      </c>
      <c r="G82">
        <f t="shared" si="20"/>
        <v>18778.809183962694</v>
      </c>
      <c r="H82">
        <f t="shared" si="16"/>
        <v>1.8778809183962695</v>
      </c>
      <c r="I82">
        <f t="shared" si="21"/>
        <v>5.47336097986804</v>
      </c>
      <c r="J82">
        <f t="shared" si="22"/>
        <v>-23.063122832986387</v>
      </c>
    </row>
    <row r="83" spans="1:10" ht="12.75">
      <c r="A83">
        <f t="shared" si="17"/>
        <v>82000</v>
      </c>
      <c r="B83">
        <f t="shared" si="13"/>
        <v>0.03696978933609647</v>
      </c>
      <c r="C83">
        <f t="shared" si="18"/>
        <v>-28.643060482955768</v>
      </c>
      <c r="D83">
        <f t="shared" si="14"/>
        <v>34082.23360915685</v>
      </c>
      <c r="E83">
        <f t="shared" si="15"/>
        <v>41296.041279682235</v>
      </c>
      <c r="F83">
        <f t="shared" si="19"/>
        <v>5.3556196177404244E-05</v>
      </c>
      <c r="G83">
        <f t="shared" si="20"/>
        <v>18671.975819334</v>
      </c>
      <c r="H83">
        <f t="shared" si="16"/>
        <v>1.8671975819334</v>
      </c>
      <c r="I83">
        <f t="shared" si="21"/>
        <v>5.423805525593366</v>
      </c>
      <c r="J83">
        <f t="shared" si="22"/>
        <v>-23.219254957362402</v>
      </c>
    </row>
    <row r="84" spans="1:10" ht="12.75">
      <c r="A84">
        <f t="shared" si="17"/>
        <v>83000</v>
      </c>
      <c r="B84">
        <f t="shared" si="13"/>
        <v>0.036524370187468805</v>
      </c>
      <c r="C84">
        <f t="shared" si="18"/>
        <v>-28.748345282802916</v>
      </c>
      <c r="D84">
        <f t="shared" si="14"/>
        <v>34071.604288564595</v>
      </c>
      <c r="E84">
        <f t="shared" si="15"/>
        <v>40798.49861366197</v>
      </c>
      <c r="F84">
        <f t="shared" si="19"/>
        <v>5.3860659338115344E-05</v>
      </c>
      <c r="G84">
        <f t="shared" si="20"/>
        <v>18566.427004214824</v>
      </c>
      <c r="H84">
        <f t="shared" si="16"/>
        <v>1.8566427004214825</v>
      </c>
      <c r="I84">
        <f t="shared" si="21"/>
        <v>5.374566689061082</v>
      </c>
      <c r="J84">
        <f t="shared" si="22"/>
        <v>-23.373778593741832</v>
      </c>
    </row>
    <row r="85" spans="1:10" ht="12.75">
      <c r="A85">
        <f t="shared" si="17"/>
        <v>84000</v>
      </c>
      <c r="B85">
        <f t="shared" si="13"/>
        <v>0.03608955625666561</v>
      </c>
      <c r="C85">
        <f t="shared" si="18"/>
        <v>-28.852369156519067</v>
      </c>
      <c r="D85">
        <f t="shared" si="14"/>
        <v>34061.22804703406</v>
      </c>
      <c r="E85">
        <f t="shared" si="15"/>
        <v>40312.80220159457</v>
      </c>
      <c r="F85">
        <f t="shared" si="19"/>
        <v>5.416491007004136E-05</v>
      </c>
      <c r="G85">
        <f t="shared" si="20"/>
        <v>18462.13717897596</v>
      </c>
      <c r="H85">
        <f t="shared" si="16"/>
        <v>1.8462137178975961</v>
      </c>
      <c r="I85">
        <f t="shared" si="21"/>
        <v>5.3256394715137745</v>
      </c>
      <c r="J85">
        <f t="shared" si="22"/>
        <v>-23.526729685005293</v>
      </c>
    </row>
    <row r="86" spans="1:10" ht="12.75">
      <c r="A86">
        <f t="shared" si="17"/>
        <v>85000</v>
      </c>
      <c r="B86">
        <f t="shared" si="13"/>
        <v>0.0356649732418813</v>
      </c>
      <c r="C86">
        <f t="shared" si="18"/>
        <v>-28.95516194956729</v>
      </c>
      <c r="D86">
        <f t="shared" si="14"/>
        <v>34051.09595236307</v>
      </c>
      <c r="E86">
        <f t="shared" si="15"/>
        <v>39838.53394039934</v>
      </c>
      <c r="F86">
        <f t="shared" si="19"/>
        <v>5.44689556832716E-05</v>
      </c>
      <c r="G86">
        <f t="shared" si="20"/>
        <v>18359.081562254334</v>
      </c>
      <c r="H86">
        <f t="shared" si="16"/>
        <v>1.8359081562254336</v>
      </c>
      <c r="I86">
        <f t="shared" si="21"/>
        <v>5.277019024862412</v>
      </c>
      <c r="J86">
        <f t="shared" si="22"/>
        <v>-23.67814292470488</v>
      </c>
    </row>
    <row r="87" spans="1:10" ht="12.75">
      <c r="A87">
        <f t="shared" si="17"/>
        <v>86000</v>
      </c>
      <c r="B87">
        <f t="shared" si="13"/>
        <v>0.03525026425069664</v>
      </c>
      <c r="C87">
        <f t="shared" si="18"/>
        <v>-29.056752460152794</v>
      </c>
      <c r="D87">
        <f t="shared" si="14"/>
        <v>34041.19948780072</v>
      </c>
      <c r="E87">
        <f t="shared" si="15"/>
        <v>39375.295173650506</v>
      </c>
      <c r="F87">
        <f t="shared" si="19"/>
        <v>5.477280315629318E-05</v>
      </c>
      <c r="G87">
        <f t="shared" si="20"/>
        <v>18257.23611673696</v>
      </c>
      <c r="H87">
        <f t="shared" si="16"/>
        <v>1.8257236116736961</v>
      </c>
      <c r="I87">
        <f t="shared" si="21"/>
        <v>5.228700644576515</v>
      </c>
      <c r="J87">
        <f t="shared" si="22"/>
        <v>-23.82805181557628</v>
      </c>
    </row>
    <row r="88" spans="1:10" ht="12.75">
      <c r="A88">
        <f t="shared" si="17"/>
        <v>87000</v>
      </c>
      <c r="B88">
        <f t="shared" si="13"/>
        <v>0.03484508879953921</v>
      </c>
      <c r="C88">
        <f t="shared" si="18"/>
        <v>-29.15716848765381</v>
      </c>
      <c r="D88">
        <f t="shared" si="14"/>
        <v>34031.53052817082</v>
      </c>
      <c r="E88">
        <f t="shared" si="15"/>
        <v>38922.705573953375</v>
      </c>
      <c r="F88">
        <f t="shared" si="19"/>
        <v>5.507645915458285E-05</v>
      </c>
      <c r="G88">
        <f t="shared" si="20"/>
        <v>18156.577516962454</v>
      </c>
      <c r="H88">
        <f t="shared" si="16"/>
        <v>1.8156577516962455</v>
      </c>
      <c r="I88">
        <f t="shared" si="21"/>
        <v>5.180679763021308</v>
      </c>
      <c r="J88">
        <f t="shared" si="22"/>
        <v>-23.976488724632503</v>
      </c>
    </row>
    <row r="89" spans="1:10" ht="12.75">
      <c r="A89">
        <f t="shared" si="17"/>
        <v>88000</v>
      </c>
      <c r="B89">
        <f t="shared" si="13"/>
        <v>0.03444912188136263</v>
      </c>
      <c r="C89">
        <f t="shared" si="18"/>
        <v>-29.25643687828481</v>
      </c>
      <c r="D89">
        <f t="shared" si="14"/>
        <v>34022.08131762343</v>
      </c>
      <c r="E89">
        <f t="shared" si="15"/>
        <v>38480.402101522086</v>
      </c>
      <c r="F89">
        <f t="shared" si="19"/>
        <v>5.5379930047962065E-05</v>
      </c>
      <c r="G89">
        <f t="shared" si="20"/>
        <v>18057.083118991755</v>
      </c>
      <c r="H89">
        <f t="shared" si="16"/>
        <v>1.8057083118991757</v>
      </c>
      <c r="I89">
        <f t="shared" si="21"/>
        <v>5.132951943207681</v>
      </c>
      <c r="J89">
        <f t="shared" si="22"/>
        <v>-24.12348493507713</v>
      </c>
    </row>
    <row r="90" spans="1:10" ht="12.75">
      <c r="A90">
        <f t="shared" si="17"/>
        <v>89000</v>
      </c>
      <c r="B90">
        <f t="shared" si="13"/>
        <v>0.03406205309617878</v>
      </c>
      <c r="C90">
        <f t="shared" si="18"/>
        <v>-29.35458356817969</v>
      </c>
      <c r="D90">
        <f t="shared" si="14"/>
        <v>34012.844448886084</v>
      </c>
      <c r="E90">
        <f t="shared" si="15"/>
        <v>38048.038032965655</v>
      </c>
      <c r="F90">
        <f t="shared" si="19"/>
        <v>5.568322192680983E-05</v>
      </c>
      <c r="G90">
        <f t="shared" si="20"/>
        <v>17958.730931812865</v>
      </c>
      <c r="H90">
        <f t="shared" si="16"/>
        <v>1.7958730931812865</v>
      </c>
      <c r="I90">
        <f t="shared" si="21"/>
        <v>5.085512872924065</v>
      </c>
      <c r="J90">
        <f t="shared" si="22"/>
        <v>-24.26907069525563</v>
      </c>
    </row>
    <row r="91" spans="1:10" ht="12.75">
      <c r="A91">
        <f t="shared" si="17"/>
        <v>90000</v>
      </c>
      <c r="B91">
        <f t="shared" si="13"/>
        <v>0.03368358583955457</v>
      </c>
      <c r="C91">
        <f t="shared" si="18"/>
        <v>-29.451633624067934</v>
      </c>
      <c r="D91">
        <f t="shared" si="14"/>
        <v>34003.812843898464</v>
      </c>
      <c r="E91">
        <f t="shared" si="15"/>
        <v>37625.28205482159</v>
      </c>
      <c r="F91">
        <f t="shared" si="19"/>
        <v>5.598634061722027E-05</v>
      </c>
      <c r="G91">
        <f t="shared" si="20"/>
        <v>17861.499590355797</v>
      </c>
      <c r="H91">
        <f t="shared" si="16"/>
        <v>1.7861499590355798</v>
      </c>
      <c r="I91">
        <f t="shared" si="21"/>
        <v>5.03835835922181</v>
      </c>
      <c r="J91">
        <f t="shared" si="22"/>
        <v>-24.413275264846124</v>
      </c>
    </row>
    <row r="92" spans="1:10" ht="12.75">
      <c r="A92">
        <f t="shared" si="17"/>
        <v>91000</v>
      </c>
      <c r="B92">
        <f t="shared" si="13"/>
        <v>0.03331343654461441</v>
      </c>
      <c r="C92">
        <f t="shared" si="18"/>
        <v>-29.547611281703308</v>
      </c>
      <c r="D92">
        <f t="shared" si="14"/>
        <v>33994.979735723755</v>
      </c>
      <c r="E92">
        <f t="shared" si="15"/>
        <v>37211.81741685652</v>
      </c>
      <c r="F92">
        <f t="shared" si="19"/>
        <v>5.6289291695184245E-05</v>
      </c>
      <c r="G92">
        <f t="shared" si="20"/>
        <v>17765.368330004294</v>
      </c>
      <c r="H92">
        <f t="shared" si="16"/>
        <v>1.7765368330004294</v>
      </c>
      <c r="I92">
        <f t="shared" si="21"/>
        <v>4.991484323228136</v>
      </c>
      <c r="J92">
        <f t="shared" si="22"/>
        <v>-24.556126958475172</v>
      </c>
    </row>
    <row r="93" spans="1:10" ht="12.75">
      <c r="A93">
        <f t="shared" si="17"/>
        <v>92000</v>
      </c>
      <c r="B93">
        <f t="shared" si="13"/>
        <v>0.0329513339734773</v>
      </c>
      <c r="C93">
        <f t="shared" si="18"/>
        <v>-29.64253998219254</v>
      </c>
      <c r="D93">
        <f t="shared" si="14"/>
        <v>33986.3386516398</v>
      </c>
      <c r="E93">
        <f t="shared" si="15"/>
        <v>36807.34114058634</v>
      </c>
      <c r="F93">
        <f t="shared" si="19"/>
        <v>5.659208049986741E-05</v>
      </c>
      <c r="G93">
        <f t="shared" si="20"/>
        <v>17670.316962500485</v>
      </c>
      <c r="H93">
        <f t="shared" si="16"/>
        <v>1.7670316962500485</v>
      </c>
      <c r="I93">
        <f t="shared" si="21"/>
        <v>4.944886795262984</v>
      </c>
      <c r="J93">
        <f t="shared" si="22"/>
        <v>-24.697653186929557</v>
      </c>
    </row>
    <row r="94" spans="1:10" ht="12.75">
      <c r="A94">
        <f t="shared" si="17"/>
        <v>93000</v>
      </c>
      <c r="B94">
        <f t="shared" si="13"/>
        <v>0.03259701855440764</v>
      </c>
      <c r="C94">
        <f t="shared" si="18"/>
        <v>-29.73644240636014</v>
      </c>
      <c r="D94">
        <f t="shared" si="14"/>
        <v>33977.88339732109</v>
      </c>
      <c r="E94">
        <f t="shared" si="15"/>
        <v>36411.563278859605</v>
      </c>
      <c r="F94">
        <f t="shared" si="19"/>
        <v>5.6894712146051264E-05</v>
      </c>
      <c r="G94">
        <f t="shared" si="20"/>
        <v>17576.325853147046</v>
      </c>
      <c r="H94">
        <f t="shared" si="16"/>
        <v>1.7576325853147046</v>
      </c>
      <c r="I94">
        <f t="shared" si="21"/>
        <v>4.898561910237992</v>
      </c>
      <c r="J94">
        <f t="shared" si="22"/>
        <v>-24.83788049612215</v>
      </c>
    </row>
    <row r="95" spans="1:10" ht="12.75">
      <c r="A95">
        <f t="shared" si="17"/>
        <v>94000</v>
      </c>
      <c r="B95">
        <f t="shared" si="13"/>
        <v>0.03225024176127565</v>
      </c>
      <c r="C95">
        <f t="shared" si="18"/>
        <v>-29.82934050727541</v>
      </c>
      <c r="D95">
        <f t="shared" si="14"/>
        <v>33969.60804203044</v>
      </c>
      <c r="E95">
        <f t="shared" si="15"/>
        <v>36024.20622270153</v>
      </c>
      <c r="F95">
        <f t="shared" si="19"/>
        <v>5.719719153579805E-05</v>
      </c>
      <c r="G95">
        <f t="shared" si="20"/>
        <v>17483.37589921927</v>
      </c>
      <c r="H95">
        <f t="shared" si="16"/>
        <v>1.7483375899219271</v>
      </c>
      <c r="I95">
        <f t="shared" si="21"/>
        <v>4.852505903317686</v>
      </c>
      <c r="J95">
        <f t="shared" si="22"/>
        <v>-24.976834603957727</v>
      </c>
    </row>
    <row r="96" spans="1:10" ht="12.75">
      <c r="A96">
        <f t="shared" si="17"/>
        <v>95000</v>
      </c>
      <c r="B96">
        <f t="shared" si="13"/>
        <v>0.03191076553220959</v>
      </c>
      <c r="C96">
        <f t="shared" si="18"/>
        <v>-29.921255541058393</v>
      </c>
      <c r="D96">
        <f t="shared" si="14"/>
        <v>33961.50690474591</v>
      </c>
      <c r="E96">
        <f t="shared" si="15"/>
        <v>35645.004051936245</v>
      </c>
      <c r="F96">
        <f t="shared" si="19"/>
        <v>5.74995233693955E-05</v>
      </c>
      <c r="G96">
        <f t="shared" si="20"/>
        <v>17391.44850950637</v>
      </c>
      <c r="H96">
        <f t="shared" si="16"/>
        <v>1.7391448509506369</v>
      </c>
      <c r="I96">
        <f t="shared" si="21"/>
        <v>4.806715105824563</v>
      </c>
      <c r="J96">
        <f t="shared" si="22"/>
        <v>-25.11454043523383</v>
      </c>
    </row>
    <row r="97" spans="1:10" ht="12.75">
      <c r="A97">
        <f t="shared" si="17"/>
        <v>96000</v>
      </c>
      <c r="B97">
        <f t="shared" si="13"/>
        <v>0.03157836172458241</v>
      </c>
      <c r="C97">
        <f t="shared" si="18"/>
        <v>-30.012208096072804</v>
      </c>
      <c r="D97">
        <f t="shared" si="14"/>
        <v>33953.574541154805</v>
      </c>
      <c r="E97">
        <f t="shared" si="15"/>
        <v>35273.701926395246</v>
      </c>
      <c r="F97">
        <f t="shared" si="19"/>
        <v>5.7801712155632647E-05</v>
      </c>
      <c r="G97">
        <f t="shared" si="20"/>
        <v>17300.52558490782</v>
      </c>
      <c r="H97">
        <f t="shared" si="16"/>
        <v>1.7300525584907822</v>
      </c>
      <c r="I97">
        <f t="shared" si="21"/>
        <v>4.761185941371271</v>
      </c>
      <c r="J97">
        <f t="shared" si="22"/>
        <v>-25.251022154701534</v>
      </c>
    </row>
    <row r="98" spans="1:10" ht="12.75">
      <c r="A98">
        <f t="shared" si="17"/>
        <v>97000</v>
      </c>
      <c r="B98">
        <f aca="true" t="shared" si="23" ref="B98:B119">(Vo*R_5_S)/(Vos_ramp*2*PI()*A98*L_1_S)</f>
        <v>0.03125281160371043</v>
      </c>
      <c r="C98">
        <f t="shared" si="18"/>
        <v>-30.10221812060633</v>
      </c>
      <c r="D98">
        <f aca="true" t="shared" si="24" ref="D98:D119">R_12_S+(1/(2*PI()*A98*C_6_S))</f>
        <v>33945.80573145218</v>
      </c>
      <c r="E98">
        <f aca="true" t="shared" si="25" ref="E98:E119">1/(2*PI()*A98*C_7_S)</f>
        <v>34910.05551478292</v>
      </c>
      <c r="F98">
        <f t="shared" si="19"/>
        <v>5.810376222145406E-05</v>
      </c>
      <c r="G98">
        <f t="shared" si="20"/>
        <v>17210.58950001628</v>
      </c>
      <c r="H98">
        <f t="shared" si="16"/>
        <v>1.7210589500016282</v>
      </c>
      <c r="I98">
        <f t="shared" si="21"/>
        <v>4.7159149222043615</v>
      </c>
      <c r="J98">
        <f t="shared" si="22"/>
        <v>-25.38630319840197</v>
      </c>
    </row>
    <row r="99" spans="1:10" ht="12.75">
      <c r="A99">
        <f t="shared" si="17"/>
        <v>98000</v>
      </c>
      <c r="B99">
        <f t="shared" si="23"/>
        <v>0.03093390536285624</v>
      </c>
      <c r="C99">
        <f t="shared" si="18"/>
        <v>-30.191304949131332</v>
      </c>
      <c r="D99">
        <f t="shared" si="24"/>
        <v>33938.19546888634</v>
      </c>
      <c r="E99">
        <f t="shared" si="25"/>
        <v>34553.830458509634</v>
      </c>
      <c r="F99">
        <f t="shared" si="19"/>
        <v>5.840567772103579E-05</v>
      </c>
      <c r="G99">
        <f t="shared" si="20"/>
        <v>17121.62308562397</v>
      </c>
      <c r="H99">
        <f t="shared" si="16"/>
        <v>1.7121623085623972</v>
      </c>
      <c r="I99">
        <f t="shared" si="21"/>
        <v>4.670898645745443</v>
      </c>
      <c r="J99">
        <f t="shared" si="22"/>
        <v>-25.52040630338589</v>
      </c>
    </row>
    <row r="100" spans="1:10" ht="12.75">
      <c r="A100">
        <f t="shared" si="17"/>
        <v>99000</v>
      </c>
      <c r="B100">
        <f t="shared" si="23"/>
        <v>0.030621441672322332</v>
      </c>
      <c r="C100">
        <f t="shared" si="18"/>
        <v>-30.27948732723243</v>
      </c>
      <c r="D100">
        <f t="shared" si="24"/>
        <v>33930.7389489986</v>
      </c>
      <c r="E100">
        <f t="shared" si="25"/>
        <v>34204.80186801963</v>
      </c>
      <c r="F100">
        <f t="shared" si="19"/>
        <v>5.870746264432315E-05</v>
      </c>
      <c r="G100">
        <f t="shared" si="20"/>
        <v>17033.609612094133</v>
      </c>
      <c r="H100">
        <f t="shared" si="16"/>
        <v>1.7033609612094134</v>
      </c>
      <c r="I100">
        <f t="shared" si="21"/>
        <v>4.6261337913165175</v>
      </c>
      <c r="J100">
        <f t="shared" si="22"/>
        <v>-25.65335353591591</v>
      </c>
    </row>
    <row r="101" spans="1:10" ht="12.75">
      <c r="A101">
        <f t="shared" si="17"/>
        <v>100000</v>
      </c>
      <c r="B101">
        <f t="shared" si="23"/>
        <v>0.03031522725559911</v>
      </c>
      <c r="C101">
        <f t="shared" si="18"/>
        <v>-30.366783435281434</v>
      </c>
      <c r="D101">
        <f t="shared" si="24"/>
        <v>33923.431559508615</v>
      </c>
      <c r="E101">
        <f t="shared" si="25"/>
        <v>33862.75384933944</v>
      </c>
      <c r="F101">
        <f t="shared" si="19"/>
        <v>5.900912082506712E-05</v>
      </c>
      <c r="G101">
        <f t="shared" si="20"/>
        <v>16946.5327735437</v>
      </c>
      <c r="H101">
        <f t="shared" si="16"/>
        <v>1.6946532773543699</v>
      </c>
      <c r="I101">
        <f t="shared" si="21"/>
        <v>4.581617117037448</v>
      </c>
      <c r="J101">
        <f t="shared" si="22"/>
        <v>-25.785166318243988</v>
      </c>
    </row>
    <row r="102" spans="1:10" ht="12.75">
      <c r="A102">
        <f t="shared" si="17"/>
        <v>101000</v>
      </c>
      <c r="B102">
        <f t="shared" si="23"/>
        <v>0.03001507649069219</v>
      </c>
      <c r="C102">
        <f t="shared" si="18"/>
        <v>-30.45321091093429</v>
      </c>
      <c r="D102">
        <f t="shared" si="24"/>
        <v>33916.26887080061</v>
      </c>
      <c r="E102">
        <f t="shared" si="25"/>
        <v>33527.47905875192</v>
      </c>
      <c r="F102">
        <f t="shared" si="19"/>
        <v>5.931065594839346E-05</v>
      </c>
      <c r="G102">
        <f t="shared" si="20"/>
        <v>16860.37667278719</v>
      </c>
      <c r="H102">
        <f t="shared" si="16"/>
        <v>1.6860376672787192</v>
      </c>
      <c r="I102">
        <f t="shared" si="21"/>
        <v>4.537345456884344</v>
      </c>
      <c r="J102">
        <f t="shared" si="22"/>
        <v>-25.915865454049943</v>
      </c>
    </row>
    <row r="103" spans="1:10" ht="12.75">
      <c r="A103">
        <f t="shared" si="17"/>
        <v>102000</v>
      </c>
      <c r="B103">
        <f t="shared" si="23"/>
        <v>0.029720811034901092</v>
      </c>
      <c r="C103">
        <f t="shared" si="18"/>
        <v>-30.538786870519786</v>
      </c>
      <c r="D103">
        <f t="shared" si="24"/>
        <v>33909.24662696923</v>
      </c>
      <c r="E103">
        <f t="shared" si="25"/>
        <v>33198.77828366611</v>
      </c>
      <c r="F103">
        <f t="shared" si="19"/>
        <v>5.961207155793586E-05</v>
      </c>
      <c r="G103">
        <f t="shared" si="20"/>
        <v>16775.12580699563</v>
      </c>
      <c r="H103">
        <f t="shared" si="16"/>
        <v>1.6775125806995632</v>
      </c>
      <c r="I103">
        <f t="shared" si="21"/>
        <v>4.493315717898517</v>
      </c>
      <c r="J103">
        <f t="shared" si="22"/>
        <v>-26.045471152621268</v>
      </c>
    </row>
    <row r="104" spans="1:10" ht="12.75">
      <c r="A104">
        <f t="shared" si="17"/>
        <v>103000</v>
      </c>
      <c r="B104">
        <f t="shared" si="23"/>
        <v>0.029432259471455453</v>
      </c>
      <c r="C104">
        <f t="shared" si="18"/>
        <v>-30.623527929384878</v>
      </c>
      <c r="D104">
        <f t="shared" si="24"/>
        <v>33902.360737387</v>
      </c>
      <c r="E104">
        <f t="shared" si="25"/>
        <v>32876.460047902365</v>
      </c>
      <c r="F104">
        <f t="shared" si="19"/>
        <v>5.991337106256222E-05</v>
      </c>
      <c r="G104">
        <f t="shared" si="20"/>
        <v>16690.765054027568</v>
      </c>
      <c r="H104">
        <f t="shared" si="16"/>
        <v>1.669076505402757</v>
      </c>
      <c r="I104">
        <f t="shared" si="21"/>
        <v>4.449524877536461</v>
      </c>
      <c r="J104">
        <f t="shared" si="22"/>
        <v>-26.174003051848416</v>
      </c>
    </row>
    <row r="105" spans="1:10" ht="12.75">
      <c r="A105">
        <f t="shared" si="17"/>
        <v>104000</v>
      </c>
      <c r="B105">
        <f t="shared" si="23"/>
        <v>0.029149256976537606</v>
      </c>
      <c r="C105">
        <f t="shared" si="18"/>
        <v>-30.707450221257044</v>
      </c>
      <c r="D105">
        <f t="shared" si="24"/>
        <v>33895.607268758285</v>
      </c>
      <c r="E105">
        <f t="shared" si="25"/>
        <v>32560.340239749454</v>
      </c>
      <c r="F105">
        <f t="shared" si="19"/>
        <v>6.021455774272076E-05</v>
      </c>
      <c r="G105">
        <f t="shared" si="20"/>
        <v>16607.279659392472</v>
      </c>
      <c r="H105">
        <f t="shared" si="16"/>
        <v>1.6607279659392473</v>
      </c>
      <c r="I105">
        <f t="shared" si="21"/>
        <v>4.405969981152011</v>
      </c>
      <c r="J105">
        <f t="shared" si="22"/>
        <v>-26.301480240105032</v>
      </c>
    </row>
    <row r="106" spans="1:10" ht="12.75">
      <c r="A106">
        <f t="shared" si="17"/>
        <v>105000</v>
      </c>
      <c r="B106">
        <f t="shared" si="23"/>
        <v>0.028871645005332486</v>
      </c>
      <c r="C106">
        <f t="shared" si="18"/>
        <v>-30.790569416680196</v>
      </c>
      <c r="D106">
        <f t="shared" si="24"/>
        <v>33888.98243762725</v>
      </c>
      <c r="E106">
        <f t="shared" si="25"/>
        <v>32250.24176127565</v>
      </c>
      <c r="F106">
        <f t="shared" si="19"/>
        <v>6.051563475643096E-05</v>
      </c>
      <c r="G106">
        <f t="shared" si="20"/>
        <v>16524.655223809423</v>
      </c>
      <c r="H106">
        <f t="shared" si="16"/>
        <v>1.6524655223809424</v>
      </c>
      <c r="I106">
        <f t="shared" si="21"/>
        <v>4.362648139602448</v>
      </c>
      <c r="J106">
        <f t="shared" si="22"/>
        <v>-26.427921277077747</v>
      </c>
    </row>
    <row r="107" spans="1:10" ht="12.75">
      <c r="A107">
        <f t="shared" si="17"/>
        <v>106000</v>
      </c>
      <c r="B107">
        <f t="shared" si="23"/>
        <v>0.028599270995848216</v>
      </c>
      <c r="C107">
        <f t="shared" si="18"/>
        <v>-30.87290074057684</v>
      </c>
      <c r="D107">
        <f t="shared" si="24"/>
        <v>33882.48260331001</v>
      </c>
      <c r="E107">
        <f t="shared" si="25"/>
        <v>31945.994197490032</v>
      </c>
      <c r="F107">
        <f t="shared" si="19"/>
        <v>6.081660514494217E-05</v>
      </c>
      <c r="G107">
        <f t="shared" si="20"/>
        <v>16442.877691326798</v>
      </c>
      <c r="H107">
        <f t="shared" si="16"/>
        <v>1.6442877691326798</v>
      </c>
      <c r="I107">
        <f t="shared" si="21"/>
        <v>4.319556526970969</v>
      </c>
      <c r="J107">
        <f t="shared" si="22"/>
        <v>-26.553344213605868</v>
      </c>
    </row>
    <row r="108" spans="1:10" ht="12.75">
      <c r="A108">
        <f t="shared" si="17"/>
        <v>107000</v>
      </c>
      <c r="B108">
        <f t="shared" si="23"/>
        <v>0.028331988089344964</v>
      </c>
      <c r="C108">
        <f t="shared" si="18"/>
        <v>-30.95445898898563</v>
      </c>
      <c r="D108">
        <f t="shared" si="24"/>
        <v>33876.104261223</v>
      </c>
      <c r="E108">
        <f t="shared" si="25"/>
        <v>31647.433504055545</v>
      </c>
      <c r="F108">
        <f t="shared" si="19"/>
        <v>6.111747183808122E-05</v>
      </c>
      <c r="G108">
        <f t="shared" si="20"/>
        <v>16361.933337970919</v>
      </c>
      <c r="H108">
        <f t="shared" si="16"/>
        <v>1.636193333797092</v>
      </c>
      <c r="I108">
        <f t="shared" si="21"/>
        <v>4.276692378398444</v>
      </c>
      <c r="J108">
        <f t="shared" si="22"/>
        <v>-26.677766610587184</v>
      </c>
    </row>
    <row r="109" spans="1:10" ht="12.75">
      <c r="A109">
        <f t="shared" si="17"/>
        <v>108000</v>
      </c>
      <c r="B109">
        <f t="shared" si="23"/>
        <v>0.028069654866295476</v>
      </c>
      <c r="C109">
        <f t="shared" si="18"/>
        <v>-31.035258545020426</v>
      </c>
      <c r="D109">
        <f t="shared" si="24"/>
        <v>33869.84403658205</v>
      </c>
      <c r="E109">
        <f t="shared" si="25"/>
        <v>31354.401712351326</v>
      </c>
      <c r="F109">
        <f t="shared" si="19"/>
        <v>6.141823765930891E-05</v>
      </c>
      <c r="G109">
        <f t="shared" si="20"/>
        <v>16281.808760893908</v>
      </c>
      <c r="H109">
        <f t="shared" si="16"/>
        <v>1.6281808760893908</v>
      </c>
      <c r="I109">
        <f t="shared" si="21"/>
        <v>4.2340529880179485</v>
      </c>
      <c r="J109">
        <f t="shared" si="22"/>
        <v>-26.801205557002476</v>
      </c>
    </row>
    <row r="110" spans="1:10" ht="12.75">
      <c r="A110">
        <f t="shared" si="17"/>
        <v>109000</v>
      </c>
      <c r="B110">
        <f t="shared" si="23"/>
        <v>0.027812135096879916</v>
      </c>
      <c r="C110">
        <f t="shared" si="18"/>
        <v>-31.115313394093906</v>
      </c>
      <c r="D110">
        <f t="shared" si="24"/>
        <v>33863.69867844827</v>
      </c>
      <c r="E110">
        <f t="shared" si="25"/>
        <v>31066.74665077012</v>
      </c>
      <c r="F110">
        <f t="shared" si="19"/>
        <v>6.171890533050352E-05</v>
      </c>
      <c r="G110">
        <f t="shared" si="20"/>
        <v>16202.490867992872</v>
      </c>
      <c r="H110">
        <f t="shared" si="16"/>
        <v>1.6202490867992874</v>
      </c>
      <c r="I110">
        <f t="shared" si="21"/>
        <v>4.191635706985894</v>
      </c>
      <c r="J110">
        <f t="shared" si="22"/>
        <v>-26.92367768710801</v>
      </c>
    </row>
    <row r="111" spans="1:10" ht="12.75">
      <c r="A111">
        <f t="shared" si="17"/>
        <v>110000</v>
      </c>
      <c r="B111">
        <f t="shared" si="23"/>
        <v>0.0275592975050901</v>
      </c>
      <c r="C111">
        <f t="shared" si="18"/>
        <v>-31.194637138445938</v>
      </c>
      <c r="D111">
        <f t="shared" si="24"/>
        <v>33857.66505409874</v>
      </c>
      <c r="E111">
        <f t="shared" si="25"/>
        <v>30784.321681217672</v>
      </c>
      <c r="F111">
        <f t="shared" si="19"/>
        <v>6.201947747648851E-05</v>
      </c>
      <c r="G111">
        <f t="shared" si="20"/>
        <v>16123.966867974636</v>
      </c>
      <c r="H111">
        <f t="shared" si="16"/>
        <v>1.6123966867974637</v>
      </c>
      <c r="I111">
        <f t="shared" si="21"/>
        <v>4.14943794160418</v>
      </c>
      <c r="J111">
        <f t="shared" si="22"/>
        <v>-27.045199196841757</v>
      </c>
    </row>
    <row r="112" spans="1:10" ht="12.75">
      <c r="A112">
        <f t="shared" si="17"/>
        <v>111000</v>
      </c>
      <c r="B112">
        <f t="shared" si="23"/>
        <v>0.027311015545584787</v>
      </c>
      <c r="C112">
        <f t="shared" si="18"/>
        <v>-31.273243011014582</v>
      </c>
      <c r="D112">
        <f t="shared" si="24"/>
        <v>33851.740143701456</v>
      </c>
      <c r="E112">
        <f t="shared" si="25"/>
        <v>30506.98544985535</v>
      </c>
      <c r="F112">
        <f t="shared" si="19"/>
        <v>6.231995662932019E-05</v>
      </c>
      <c r="G112">
        <f t="shared" si="20"/>
        <v>16046.224260841698</v>
      </c>
      <c r="H112">
        <f t="shared" si="16"/>
        <v>1.60462242608417</v>
      </c>
      <c r="I112">
        <f t="shared" si="21"/>
        <v>4.107457151528028</v>
      </c>
      <c r="J112">
        <f t="shared" si="22"/>
        <v>-27.165785859486554</v>
      </c>
    </row>
    <row r="113" spans="1:10" ht="12.75">
      <c r="A113">
        <f t="shared" si="17"/>
        <v>112000</v>
      </c>
      <c r="B113">
        <f t="shared" si="23"/>
        <v>0.027067167192499207</v>
      </c>
      <c r="C113">
        <f t="shared" si="18"/>
        <v>-31.35114388868507</v>
      </c>
      <c r="D113">
        <f t="shared" si="24"/>
        <v>33845.92103527555</v>
      </c>
      <c r="E113">
        <f t="shared" si="25"/>
        <v>30234.601651195928</v>
      </c>
      <c r="F113">
        <f t="shared" si="19"/>
        <v>6.26203452323501E-05</v>
      </c>
      <c r="G113">
        <f t="shared" si="20"/>
        <v>15969.25082877686</v>
      </c>
      <c r="H113">
        <f t="shared" si="16"/>
        <v>1.596925082877686</v>
      </c>
      <c r="I113">
        <f t="shared" si="21"/>
        <v>4.0656908480545955</v>
      </c>
      <c r="J113">
        <f t="shared" si="22"/>
        <v>-27.285453040630472</v>
      </c>
    </row>
    <row r="114" spans="1:10" ht="12.75">
      <c r="A114">
        <f t="shared" si="17"/>
        <v>113000</v>
      </c>
      <c r="B114">
        <f t="shared" si="23"/>
        <v>0.026827634739468243</v>
      </c>
      <c r="C114">
        <f t="shared" si="18"/>
        <v>-31.42835230494983</v>
      </c>
      <c r="D114">
        <f t="shared" si="24"/>
        <v>33840.20491991913</v>
      </c>
      <c r="E114">
        <f t="shared" si="25"/>
        <v>29967.038804725165</v>
      </c>
      <c r="F114">
        <f t="shared" si="19"/>
        <v>6.292064564407569E-05</v>
      </c>
      <c r="G114">
        <f t="shared" si="20"/>
        <v>15893.034627405405</v>
      </c>
      <c r="H114">
        <f t="shared" si="16"/>
        <v>1.5893034627405405</v>
      </c>
      <c r="I114">
        <f t="shared" si="21"/>
        <v>4.02413659248782</v>
      </c>
      <c r="J114">
        <f t="shared" si="22"/>
        <v>-27.40421571246201</v>
      </c>
    </row>
    <row r="115" spans="1:10" ht="12.75">
      <c r="A115">
        <f t="shared" si="17"/>
        <v>114000</v>
      </c>
      <c r="B115">
        <f t="shared" si="23"/>
        <v>0.026592304610174654</v>
      </c>
      <c r="C115">
        <f t="shared" si="18"/>
        <v>-31.504880462010888</v>
      </c>
      <c r="D115">
        <f t="shared" si="24"/>
        <v>33834.58908728826</v>
      </c>
      <c r="E115">
        <f t="shared" si="25"/>
        <v>29704.17004328021</v>
      </c>
      <c r="F115">
        <f t="shared" si="19"/>
        <v>6.322086014179225E-05</v>
      </c>
      <c r="G115">
        <f t="shared" si="20"/>
        <v>15817.563977414924</v>
      </c>
      <c r="H115">
        <f t="shared" si="16"/>
        <v>1.5817563977414926</v>
      </c>
      <c r="I115">
        <f t="shared" si="21"/>
        <v>3.9827919945751464</v>
      </c>
      <c r="J115">
        <f t="shared" si="22"/>
        <v>-27.522088467435744</v>
      </c>
    </row>
    <row r="116" spans="1:10" ht="12.75">
      <c r="A116">
        <f t="shared" si="17"/>
        <v>115000</v>
      </c>
      <c r="B116">
        <f t="shared" si="23"/>
        <v>0.026361067178781835</v>
      </c>
      <c r="C116">
        <f t="shared" si="18"/>
        <v>-31.58074024235367</v>
      </c>
      <c r="D116">
        <f t="shared" si="24"/>
        <v>33829.07092131184</v>
      </c>
      <c r="E116">
        <f t="shared" si="25"/>
        <v>29445.872912469076</v>
      </c>
      <c r="F116">
        <f t="shared" si="19"/>
        <v>6.352099092505775E-05</v>
      </c>
      <c r="G116">
        <f t="shared" si="20"/>
        <v>15742.827456514382</v>
      </c>
      <c r="H116">
        <f t="shared" si="16"/>
        <v>1.5742827456514383</v>
      </c>
      <c r="I116">
        <f t="shared" si="21"/>
        <v>3.941654711012216</v>
      </c>
      <c r="J116">
        <f t="shared" si="22"/>
        <v>-27.639085531341454</v>
      </c>
    </row>
    <row r="117" spans="1:10" ht="12.75">
      <c r="A117">
        <f t="shared" si="17"/>
        <v>116000</v>
      </c>
      <c r="B117">
        <f t="shared" si="23"/>
        <v>0.026133816599654407</v>
      </c>
      <c r="C117">
        <f t="shared" si="18"/>
        <v>-31.655943219819807</v>
      </c>
      <c r="D117">
        <f t="shared" si="24"/>
        <v>33823.64789612812</v>
      </c>
      <c r="E117">
        <f t="shared" si="25"/>
        <v>29192.029180465026</v>
      </c>
      <c r="F117">
        <f t="shared" si="19"/>
        <v>6.382104011898182E-05</v>
      </c>
      <c r="G117">
        <f t="shared" si="20"/>
        <v>15668.813891714957</v>
      </c>
      <c r="H117">
        <f t="shared" si="16"/>
        <v>1.5668813891714959</v>
      </c>
      <c r="I117">
        <f t="shared" si="21"/>
        <v>3.900722444011752</v>
      </c>
      <c r="J117">
        <f t="shared" si="22"/>
        <v>-27.755220775808056</v>
      </c>
    </row>
    <row r="118" spans="1:10" ht="12.75">
      <c r="A118">
        <f t="shared" si="17"/>
        <v>117000</v>
      </c>
      <c r="B118">
        <f t="shared" si="23"/>
        <v>0.025910450645811208</v>
      </c>
      <c r="C118">
        <f t="shared" si="18"/>
        <v>-31.73050067020467</v>
      </c>
      <c r="D118">
        <f t="shared" si="24"/>
        <v>33818.317572229585</v>
      </c>
      <c r="E118">
        <f t="shared" si="25"/>
        <v>28942.52465755507</v>
      </c>
      <c r="F118">
        <f t="shared" si="19"/>
        <v>6.412100977734911E-05</v>
      </c>
      <c r="G118">
        <f t="shared" si="20"/>
        <v>15595.512351916394</v>
      </c>
      <c r="H118">
        <f t="shared" si="16"/>
        <v>1.5595512351916394</v>
      </c>
      <c r="I118">
        <f t="shared" si="21"/>
        <v>3.8599929399331567</v>
      </c>
      <c r="J118">
        <f t="shared" si="22"/>
        <v>-27.870507730271513</v>
      </c>
    </row>
    <row r="119" spans="1:10" ht="12.75">
      <c r="A119">
        <f t="shared" si="17"/>
        <v>118000</v>
      </c>
      <c r="B119">
        <f t="shared" si="23"/>
        <v>0.02569087055559247</v>
      </c>
      <c r="C119">
        <f t="shared" si="18"/>
        <v>-31.804423581403945</v>
      </c>
      <c r="D119">
        <f t="shared" si="24"/>
        <v>33813.07759280391</v>
      </c>
      <c r="E119">
        <f t="shared" si="25"/>
        <v>28697.249024863922</v>
      </c>
      <c r="F119">
        <f t="shared" si="19"/>
        <v>6.442090188558678E-05</v>
      </c>
      <c r="G119">
        <f t="shared" si="20"/>
        <v>15522.912140783536</v>
      </c>
      <c r="H119">
        <f t="shared" si="16"/>
        <v>1.5522912140783536</v>
      </c>
      <c r="I119">
        <f t="shared" si="21"/>
        <v>3.8194639879695576</v>
      </c>
      <c r="J119">
        <f t="shared" si="22"/>
        <v>-27.98495959343439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Fairchild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Khasiev</dc:creator>
  <cp:keywords/>
  <dc:description/>
  <cp:lastModifiedBy>Windows User</cp:lastModifiedBy>
  <cp:lastPrinted>2003-10-29T21:08:12Z</cp:lastPrinted>
  <dcterms:created xsi:type="dcterms:W3CDTF">2003-04-03T22:32:54Z</dcterms:created>
  <dcterms:modified xsi:type="dcterms:W3CDTF">2013-03-26T13:02:05Z</dcterms:modified>
  <cp:category/>
  <cp:version/>
  <cp:contentType/>
  <cp:contentStatus/>
</cp:coreProperties>
</file>