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4.xml" ContentType="application/vnd.openxmlformats-officedocument.drawingml.chart+xml"/>
  <Override PartName="/xl/embeddings/oleObject3.bin" ContentType="application/vnd.openxmlformats-officedocument.oleObject"/>
  <Override PartName="/xl/charts/chart2.xml" ContentType="application/vnd.openxmlformats-officedocument.drawingml.chart+xml"/>
  <Default Extension="wmf" ContentType="image/x-wmf"/>
  <Default Extension="emf" ContentType="image/x-emf"/>
  <Override PartName="/xl/embeddings/oleObject4.bin" ContentType="application/vnd.openxmlformats-officedocument.oleObject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" yWindow="30" windowWidth="15480" windowHeight="5475"/>
  </bookViews>
  <sheets>
    <sheet name="Forward with reset winding" sheetId="1" r:id="rId1"/>
    <sheet name="Forward with RCD reset" sheetId="5" r:id="rId2"/>
    <sheet name="FPS Line up" sheetId="6" r:id="rId3"/>
  </sheets>
  <definedNames>
    <definedName name="Ae" localSheetId="1">'Forward with RCD reset'!$C$52</definedName>
    <definedName name="Ae">'Forward with reset winding'!$C$52</definedName>
    <definedName name="Ael" localSheetId="1">'Forward with RCD reset'!$C$83</definedName>
    <definedName name="Ael">'Forward with reset winding'!$C$84</definedName>
    <definedName name="AL" localSheetId="1">'Forward with RCD reset'!$C$65</definedName>
    <definedName name="AL">'Forward with reset winding'!$C$66</definedName>
    <definedName name="Bast" localSheetId="1">'Forward with RCD reset'!$C$84</definedName>
    <definedName name="Bast">'Forward with reset winding'!$C$85</definedName>
    <definedName name="Bmax" localSheetId="1">'Forward with RCD reset'!$C$50</definedName>
    <definedName name="Bmax">'Forward with reset winding'!$C$50</definedName>
    <definedName name="Bsat" localSheetId="1">'Forward with RCD reset'!$C$84</definedName>
    <definedName name="Bsat">'Forward with reset winding'!$C$85</definedName>
    <definedName name="CB" localSheetId="1">'Forward with RCD reset'!#REF!*10^-9</definedName>
    <definedName name="CB">'Forward with reset winding'!#REF!*10^-9</definedName>
    <definedName name="Cdc" localSheetId="1">'Forward with RCD reset'!$C$23/1000000</definedName>
    <definedName name="Cdc">'Forward with reset winding'!$C$23/1000000</definedName>
    <definedName name="CF" localSheetId="1">'Forward with RCD reset'!#REF!*10^-9</definedName>
    <definedName name="CF">'Forward with reset winding'!#REF!*10^-9</definedName>
    <definedName name="Co_1" localSheetId="1">'Forward with RCD reset'!$C$116</definedName>
    <definedName name="Co_1">'Forward with reset winding'!$C$117</definedName>
    <definedName name="Co_2" localSheetId="1">'Forward with RCD reset'!$C$117</definedName>
    <definedName name="Co_2">'Forward with reset winding'!$C$118</definedName>
    <definedName name="Co_3" localSheetId="1">'Forward with RCD reset'!$C$118</definedName>
    <definedName name="Co_3">'Forward with reset winding'!$C$119</definedName>
    <definedName name="Co_4" localSheetId="1">'Forward with RCD reset'!$C$119</definedName>
    <definedName name="Co_4">'Forward with reset winding'!$C$120</definedName>
    <definedName name="Co_5" localSheetId="1">'Forward with RCD reset'!#REF!</definedName>
    <definedName name="Co_5">'Forward with reset winding'!#REF!</definedName>
    <definedName name="Co_6" localSheetId="1">'Forward with RCD reset'!#REF!</definedName>
    <definedName name="Co_6">'Forward with reset winding'!#REF!</definedName>
    <definedName name="Coss">'Forward with RCD reset'!$C$122/10^12</definedName>
    <definedName name="_xlnm.Database">#REF!</definedName>
    <definedName name="Dmax" localSheetId="1">'Forward with RCD reset'!$C$29</definedName>
    <definedName name="Dmax">'Forward with reset winding'!$C$29</definedName>
    <definedName name="Eff" localSheetId="1">'Forward with RCD reset'!$C$19/100</definedName>
    <definedName name="Eff">'Forward with reset winding'!$C$19/100</definedName>
    <definedName name="ffi" localSheetId="1">'Forward with RCD reset'!#REF!</definedName>
    <definedName name="ffi">'Forward with reset winding'!#REF!</definedName>
    <definedName name="ffp" localSheetId="1">'Forward with RCD reset'!$C$190</definedName>
    <definedName name="ffp">'Forward with reset winding'!$C$191</definedName>
    <definedName name="ffz" localSheetId="1">'Forward with RCD reset'!#REF!</definedName>
    <definedName name="ffz">'Forward with reset winding'!#REF!</definedName>
    <definedName name="fi" localSheetId="1">'Forward with RCD reset'!$C$143</definedName>
    <definedName name="fi">'Forward with reset winding'!$C$141</definedName>
    <definedName name="fL" localSheetId="1">'Forward with RCD reset'!$C$11</definedName>
    <definedName name="fL">'Forward with reset winding'!$C$11</definedName>
    <definedName name="fp" localSheetId="1">'Forward with RCD reset'!$C$145</definedName>
    <definedName name="fp">'Forward with reset winding'!$C$143</definedName>
    <definedName name="fp_1" localSheetId="1">'Forward with RCD reset'!$C$133</definedName>
    <definedName name="fp_1">'Forward with reset winding'!$C$131</definedName>
    <definedName name="fs" localSheetId="1">'Forward with RCD reset'!$C$49*1000</definedName>
    <definedName name="fs">'Forward with reset winding'!$C$49*1000</definedName>
    <definedName name="fz" localSheetId="1">'Forward with RCD reset'!$C$144</definedName>
    <definedName name="fz">'Forward with reset winding'!$C$142</definedName>
    <definedName name="fz_1" localSheetId="1">'Forward with RCD reset'!$C$132</definedName>
    <definedName name="fz_1">'Forward with reset winding'!$C$130</definedName>
    <definedName name="fzr" localSheetId="1">'Forward with RCD reset'!#REF!</definedName>
    <definedName name="fzr">'Forward with reset winding'!#REF!</definedName>
    <definedName name="Ids_peak" localSheetId="1">'Forward with RCD reset'!$C$35</definedName>
    <definedName name="Ids_peak">'Forward with reset winding'!$C$35</definedName>
    <definedName name="Ids_rms" localSheetId="1">'Forward with RCD reset'!$C$36</definedName>
    <definedName name="Ids_rms">'Forward with reset winding'!$C$36</definedName>
    <definedName name="Ilim" localSheetId="1">'Forward with RCD reset'!$C$37</definedName>
    <definedName name="Ilim">'Forward with reset winding'!$C$37</definedName>
    <definedName name="Io_1" localSheetId="1">'Forward with RCD reset'!$E$14</definedName>
    <definedName name="Io_1">'Forward with reset winding'!$E$14</definedName>
    <definedName name="Io_2" localSheetId="1">'Forward with RCD reset'!$E$15</definedName>
    <definedName name="Io_2">'Forward with reset winding'!$E$15</definedName>
    <definedName name="Io_3" localSheetId="1">'Forward with RCD reset'!$E$16</definedName>
    <definedName name="Io_3">'Forward with reset winding'!$E$16</definedName>
    <definedName name="Io_4" localSheetId="1">'Forward with RCD reset'!$E$17</definedName>
    <definedName name="Io_4">'Forward with reset winding'!$E$17</definedName>
    <definedName name="Io_5" localSheetId="1">'Forward with RCD reset'!#REF!</definedName>
    <definedName name="Io_5">'Forward with reset winding'!#REF!</definedName>
    <definedName name="Io_6" localSheetId="1">'Forward with RCD reset'!#REF!</definedName>
    <definedName name="Io_6">'Forward with reset winding'!#REF!</definedName>
    <definedName name="Io1rms" localSheetId="1">'Forward with RCD reset'!$G$73</definedName>
    <definedName name="Io1rms">'Forward with reset winding'!$G$75</definedName>
    <definedName name="Io2rms" localSheetId="1">'Forward with RCD reset'!$G$74</definedName>
    <definedName name="Io2rms">'Forward with reset winding'!$G$76</definedName>
    <definedName name="Io3rms" localSheetId="1">'Forward with RCD reset'!$G$75</definedName>
    <definedName name="Io3rms">'Forward with reset winding'!$G$77</definedName>
    <definedName name="Io4rms" localSheetId="1">'Forward with RCD reset'!$G$76</definedName>
    <definedName name="Io4rms">'Forward with reset winding'!$G$78</definedName>
    <definedName name="Io5rms" localSheetId="1">'Forward with RCD reset'!#REF!</definedName>
    <definedName name="Io5rms">'Forward with reset winding'!#REF!</definedName>
    <definedName name="Io6rms" localSheetId="1">'Forward with RCD reset'!#REF!</definedName>
    <definedName name="Io6rms">'Forward with reset winding'!#REF!</definedName>
    <definedName name="Ipk" localSheetId="1">'Forward with RCD reset'!#REF!</definedName>
    <definedName name="Ipk">'Forward with reset winding'!#REF!</definedName>
    <definedName name="Irms" localSheetId="1">'Forward with RCD reset'!#REF!</definedName>
    <definedName name="Irms">'Forward with reset winding'!#REF!</definedName>
    <definedName name="K_1" localSheetId="1">'Forward with RCD reset'!$C$131</definedName>
    <definedName name="K_1">'Forward with reset winding'!$C$129</definedName>
    <definedName name="_KL1" localSheetId="1">'Forward with RCD reset'!$I$14/100</definedName>
    <definedName name="_KL1">'Forward with reset winding'!$I$14/100</definedName>
    <definedName name="_KL2" localSheetId="1">'Forward with RCD reset'!$I$15/100</definedName>
    <definedName name="_KL2">'Forward with reset winding'!$I$15/100</definedName>
    <definedName name="_KL3" localSheetId="1">'Forward with RCD reset'!$I$16/100</definedName>
    <definedName name="_KL3">'Forward with reset winding'!$I$16/100</definedName>
    <definedName name="_KL4" localSheetId="1">'Forward with RCD reset'!$I$17/100</definedName>
    <definedName name="_KL4">'Forward with reset winding'!$I$17/100</definedName>
    <definedName name="_KL5" localSheetId="1">'Forward with RCD reset'!#REF!/100</definedName>
    <definedName name="_KL5">'Forward with reset winding'!#REF!/100</definedName>
    <definedName name="_KL6" localSheetId="1">'Forward with RCD reset'!#REF!/100</definedName>
    <definedName name="_KL6">'Forward with reset winding'!#REF!/100</definedName>
    <definedName name="KRF" localSheetId="1">'Forward with RCD reset'!$C$34</definedName>
    <definedName name="KRF">'Forward with reset winding'!$C$34</definedName>
    <definedName name="L_1" localSheetId="1">'Forward with RCD reset'!$C$85/1000000</definedName>
    <definedName name="L_1">'Forward with reset winding'!$C$86/1000000</definedName>
    <definedName name="Llk" localSheetId="1">'Forward with RCD reset'!#REF!/1000000</definedName>
    <definedName name="Llk">'Forward with reset winding'!$C$123</definedName>
    <definedName name="Lm" localSheetId="1">'Forward with RCD reset'!$C$66/1000</definedName>
    <definedName name="Lm">'Forward with reset winding'!$C$67/1000</definedName>
    <definedName name="Nc" localSheetId="1">'Forward with RCD reset'!$I$58</definedName>
    <definedName name="Nc">'Forward with reset winding'!$I$58</definedName>
    <definedName name="_Nl1" localSheetId="1">'Forward with RCD reset'!$C$87</definedName>
    <definedName name="_Nl1">'Forward with reset winding'!$C$88</definedName>
    <definedName name="_Nl2" localSheetId="1">'Forward with RCD reset'!$C$88</definedName>
    <definedName name="_Nl2">'Forward with reset winding'!$E$89</definedName>
    <definedName name="_Nl3" localSheetId="1">'Forward with RCD reset'!$C$89</definedName>
    <definedName name="_Nl3">'Forward with reset winding'!$E$90</definedName>
    <definedName name="_Nl4" localSheetId="1">'Forward with RCD reset'!$C$90</definedName>
    <definedName name="_Nl4">'Forward with reset winding'!$E$91</definedName>
    <definedName name="Np" localSheetId="1">'Forward with RCD reset'!$I$63</definedName>
    <definedName name="Np">'Forward with reset winding'!$I$64</definedName>
    <definedName name="NpNr">'Forward with reset winding'!$C$30</definedName>
    <definedName name="Nr" localSheetId="1">'Forward with RCD reset'!#REF!</definedName>
    <definedName name="Nr">'Forward with reset winding'!$I$63</definedName>
    <definedName name="_Ns1" localSheetId="1">'Forward with RCD reset'!$I$59</definedName>
    <definedName name="_Ns1">'Forward with reset winding'!$I$59</definedName>
    <definedName name="_Ns2" localSheetId="1">'Forward with RCD reset'!$I$60</definedName>
    <definedName name="_Ns2">'Forward with reset winding'!$I$60</definedName>
    <definedName name="_Ns3" localSheetId="1">'Forward with RCD reset'!$I$61</definedName>
    <definedName name="_Ns3">'Forward with reset winding'!$I$61</definedName>
    <definedName name="_Ns4" localSheetId="1">'Forward with RCD reset'!$I$62</definedName>
    <definedName name="_Ns4">'Forward with reset winding'!$I$62</definedName>
    <definedName name="_Ns5" localSheetId="1">'Forward with RCD reset'!#REF!</definedName>
    <definedName name="_Ns5">'Forward with reset winding'!#REF!</definedName>
    <definedName name="_Ns6" localSheetId="1">'Forward with RCD reset'!#REF!</definedName>
    <definedName name="_Ns6">'Forward with reset winding'!#REF!</definedName>
    <definedName name="nvo">'Forward with RCD reset'!$G$122</definedName>
    <definedName name="Pin" localSheetId="1">'Forward with RCD reset'!$C$20</definedName>
    <definedName name="Pin">'Forward with reset winding'!$C$20</definedName>
    <definedName name="Po" localSheetId="1">'Forward with RCD reset'!$C$18</definedName>
    <definedName name="Po">'Forward with reset winding'!$C$18</definedName>
    <definedName name="R_1" localSheetId="1">'Forward with RCD reset'!#REF!*1000</definedName>
    <definedName name="R_1">'Forward with reset winding'!#REF!*1000</definedName>
    <definedName name="Rc_1" localSheetId="1">'Forward with RCD reset'!$E$116</definedName>
    <definedName name="Rc_1">'Forward with reset winding'!$E$117</definedName>
    <definedName name="Rc_2" localSheetId="1">'Forward with RCD reset'!$E$117</definedName>
    <definedName name="Rc_2">'Forward with reset winding'!$E$118</definedName>
    <definedName name="Rc_3" localSheetId="1">'Forward with RCD reset'!$E$118</definedName>
    <definedName name="Rc_3">'Forward with reset winding'!$E$119</definedName>
    <definedName name="Rc_4" localSheetId="1">'Forward with RCD reset'!$E$119</definedName>
    <definedName name="Rc_4">'Forward with reset winding'!$E$120</definedName>
    <definedName name="Rc_5" localSheetId="1">'Forward with RCD reset'!#REF!</definedName>
    <definedName name="Rc_5">'Forward with reset winding'!#REF!</definedName>
    <definedName name="Rc_6" localSheetId="1">'Forward with RCD reset'!#REF!</definedName>
    <definedName name="Rc_6">'Forward with reset winding'!#REF!</definedName>
    <definedName name="RD" localSheetId="1">'Forward with RCD reset'!#REF!*1000</definedName>
    <definedName name="RD">'Forward with reset winding'!#REF!*1000</definedName>
    <definedName name="Rsn" localSheetId="1">'Forward with RCD reset'!#REF!*1000</definedName>
    <definedName name="Rsn">'Forward with reset winding'!#REF!*1000</definedName>
    <definedName name="V_line_max" localSheetId="1">'Forward with RCD reset'!$C$10</definedName>
    <definedName name="V_line_max">'Forward with reset winding'!$C$10</definedName>
    <definedName name="V_line_min" localSheetId="1">'Forward with RCD reset'!$C$9</definedName>
    <definedName name="V_line_min">'Forward with reset winding'!$C$9</definedName>
    <definedName name="Vcc" localSheetId="1">'Forward with RCD reset'!$C$58</definedName>
    <definedName name="Vcc">'Forward with reset winding'!$C$58</definedName>
    <definedName name="Vdc_ccm" localSheetId="1">'Forward with RCD reset'!$C$54</definedName>
    <definedName name="Vdc_ccm">'Forward with reset winding'!$C$54</definedName>
    <definedName name="Vdc_max" localSheetId="1">'Forward with RCD reset'!$C$26</definedName>
    <definedName name="Vdc_max">'Forward with reset winding'!$C$26</definedName>
    <definedName name="Vdc_min" localSheetId="1">'Forward with RCD reset'!$C$25</definedName>
    <definedName name="Vdc_min">'Forward with reset winding'!$C$25</definedName>
    <definedName name="_VF1" localSheetId="1">'Forward with RCD reset'!$E$59</definedName>
    <definedName name="_VF1">'Forward with reset winding'!$E$59</definedName>
    <definedName name="_VF2" localSheetId="1">'Forward with RCD reset'!$E$60</definedName>
    <definedName name="_VF2">'Forward with reset winding'!$E$60</definedName>
    <definedName name="_VF3" localSheetId="1">'Forward with RCD reset'!$E$61</definedName>
    <definedName name="_VF3">'Forward with reset winding'!$E$61</definedName>
    <definedName name="_VF4" localSheetId="1">'Forward with RCD reset'!$E$62</definedName>
    <definedName name="_VF4">'Forward with reset winding'!$E$62</definedName>
    <definedName name="_VF5" localSheetId="1">'Forward with RCD reset'!#REF!</definedName>
    <definedName name="_VF5">'Forward with reset winding'!#REF!</definedName>
    <definedName name="_VF6" localSheetId="1">'Forward with RCD reset'!#REF!</definedName>
    <definedName name="_VF6">'Forward with reset winding'!#REF!</definedName>
    <definedName name="VFC" localSheetId="1">'Forward with RCD reset'!$E$58</definedName>
    <definedName name="VFC">'Forward with reset winding'!$E$58</definedName>
    <definedName name="_Vo1" localSheetId="1">'Forward with RCD reset'!$C$14</definedName>
    <definedName name="_Vo1">'Forward with reset winding'!$C$14</definedName>
    <definedName name="_Vo2" localSheetId="1">'Forward with RCD reset'!$C$15</definedName>
    <definedName name="_Vo2">'Forward with reset winding'!$C$15</definedName>
    <definedName name="_Vo3" localSheetId="1">'Forward with RCD reset'!$C$16</definedName>
    <definedName name="_Vo3">'Forward with reset winding'!$C$16</definedName>
    <definedName name="_Vo4" localSheetId="1">'Forward with RCD reset'!$C$17</definedName>
    <definedName name="_Vo4">'Forward with reset winding'!$C$17</definedName>
    <definedName name="_Vo5" localSheetId="1">'Forward with RCD reset'!#REF!</definedName>
    <definedName name="_Vo5">'Forward with reset winding'!#REF!</definedName>
    <definedName name="_Vo6" localSheetId="1">'Forward with RCD reset'!#REF!</definedName>
    <definedName name="_Vo6">'Forward with reset winding'!#REF!</definedName>
    <definedName name="VRO" localSheetId="1">'Forward with RCD reset'!$C$32</definedName>
    <definedName name="VRO">'Forward with reset winding'!$C$32</definedName>
    <definedName name="Vsn" localSheetId="1">'Forward with RCD reset'!$C$30</definedName>
    <definedName name="Vsn">'Forward with reset winding'!$C$124</definedName>
  </definedNames>
  <calcPr calcId="125725"/>
</workbook>
</file>

<file path=xl/calcChain.xml><?xml version="1.0" encoding="utf-8"?>
<calcChain xmlns="http://schemas.openxmlformats.org/spreadsheetml/2006/main">
  <c r="E87" i="5"/>
  <c r="G16"/>
  <c r="G15"/>
  <c r="G14"/>
  <c r="I59"/>
  <c r="G17"/>
  <c r="C18" s="1"/>
  <c r="C26"/>
  <c r="C125" s="1"/>
  <c r="C132"/>
  <c r="I117"/>
  <c r="I118"/>
  <c r="I119"/>
  <c r="I116"/>
  <c r="G119"/>
  <c r="G118"/>
  <c r="G117"/>
  <c r="G116"/>
  <c r="G108"/>
  <c r="G107"/>
  <c r="G76"/>
  <c r="G110" s="1"/>
  <c r="G75"/>
  <c r="G109" s="1"/>
  <c r="G74"/>
  <c r="I74" s="1"/>
  <c r="G73"/>
  <c r="G98"/>
  <c r="G97"/>
  <c r="G96"/>
  <c r="I96" s="1"/>
  <c r="G95"/>
  <c r="I95" s="1"/>
  <c r="I98"/>
  <c r="I97"/>
  <c r="C59"/>
  <c r="C144"/>
  <c r="I167" s="1"/>
  <c r="C143"/>
  <c r="D166" s="1"/>
  <c r="C145"/>
  <c r="C60"/>
  <c r="I157"/>
  <c r="I153"/>
  <c r="I149"/>
  <c r="I76"/>
  <c r="I73"/>
  <c r="I72"/>
  <c r="C61"/>
  <c r="C62"/>
  <c r="G14" i="1"/>
  <c r="G15"/>
  <c r="G16"/>
  <c r="C18"/>
  <c r="I59"/>
  <c r="G61" s="1"/>
  <c r="I61" s="1"/>
  <c r="C90" s="1"/>
  <c r="E90" s="1"/>
  <c r="G62"/>
  <c r="I62" s="1"/>
  <c r="C91" s="1"/>
  <c r="E91" s="1"/>
  <c r="E88"/>
  <c r="C130"/>
  <c r="G17"/>
  <c r="I118"/>
  <c r="I119"/>
  <c r="I120"/>
  <c r="I117"/>
  <c r="G120"/>
  <c r="G119"/>
  <c r="G118"/>
  <c r="G117"/>
  <c r="C26"/>
  <c r="G109"/>
  <c r="G108"/>
  <c r="G78"/>
  <c r="G111" s="1"/>
  <c r="G77"/>
  <c r="G110"/>
  <c r="G76"/>
  <c r="I76" s="1"/>
  <c r="G75"/>
  <c r="G99"/>
  <c r="I99" s="1"/>
  <c r="G98"/>
  <c r="I98" s="1"/>
  <c r="G97"/>
  <c r="G96"/>
  <c r="I96" s="1"/>
  <c r="I97"/>
  <c r="E30"/>
  <c r="C59"/>
  <c r="C142"/>
  <c r="C141"/>
  <c r="D160" s="1"/>
  <c r="C143"/>
  <c r="I163" s="1"/>
  <c r="I14"/>
  <c r="C60"/>
  <c r="I162"/>
  <c r="I158"/>
  <c r="I157"/>
  <c r="I154"/>
  <c r="I153"/>
  <c r="I150"/>
  <c r="I149"/>
  <c r="I146"/>
  <c r="D165"/>
  <c r="D163"/>
  <c r="D161"/>
  <c r="D159"/>
  <c r="D157"/>
  <c r="D155"/>
  <c r="D153"/>
  <c r="D151"/>
  <c r="D149"/>
  <c r="D147"/>
  <c r="I17"/>
  <c r="I78"/>
  <c r="I77"/>
  <c r="I75"/>
  <c r="I74"/>
  <c r="C61"/>
  <c r="C62"/>
  <c r="C31" i="5" l="1"/>
  <c r="H165"/>
  <c r="C133"/>
  <c r="I16"/>
  <c r="I15"/>
  <c r="C20"/>
  <c r="I14"/>
  <c r="I17"/>
  <c r="I15" i="1"/>
  <c r="C131"/>
  <c r="D149" i="5"/>
  <c r="D151"/>
  <c r="D153"/>
  <c r="D155"/>
  <c r="D157"/>
  <c r="D159"/>
  <c r="D161"/>
  <c r="D163"/>
  <c r="D165"/>
  <c r="D167"/>
  <c r="I148"/>
  <c r="I152"/>
  <c r="I156"/>
  <c r="I160"/>
  <c r="I164"/>
  <c r="H161"/>
  <c r="G62"/>
  <c r="I62" s="1"/>
  <c r="C90" s="1"/>
  <c r="E90" s="1"/>
  <c r="G60"/>
  <c r="I60" s="1"/>
  <c r="C88"/>
  <c r="I165"/>
  <c r="I161" i="1"/>
  <c r="C31"/>
  <c r="D146"/>
  <c r="D150"/>
  <c r="D154"/>
  <c r="D156"/>
  <c r="D158"/>
  <c r="D162"/>
  <c r="D164"/>
  <c r="I148"/>
  <c r="I152"/>
  <c r="I156"/>
  <c r="I160"/>
  <c r="I164"/>
  <c r="I165"/>
  <c r="H149"/>
  <c r="J149" s="1"/>
  <c r="H153"/>
  <c r="J153" s="1"/>
  <c r="H157"/>
  <c r="J157" s="1"/>
  <c r="H161"/>
  <c r="J161" s="1"/>
  <c r="H165"/>
  <c r="G60"/>
  <c r="I60" s="1"/>
  <c r="C89" s="1"/>
  <c r="E89" s="1"/>
  <c r="C100" s="1"/>
  <c r="C102" s="1"/>
  <c r="C20"/>
  <c r="I75" i="5"/>
  <c r="I151"/>
  <c r="I155"/>
  <c r="I159"/>
  <c r="I163"/>
  <c r="I161"/>
  <c r="I16" i="1"/>
  <c r="D148"/>
  <c r="D152"/>
  <c r="I147"/>
  <c r="I151"/>
  <c r="I155"/>
  <c r="I159"/>
  <c r="H148"/>
  <c r="J148" s="1"/>
  <c r="H152"/>
  <c r="H156"/>
  <c r="J156" s="1"/>
  <c r="H160"/>
  <c r="J160" s="1"/>
  <c r="D148" i="5"/>
  <c r="D150"/>
  <c r="D152"/>
  <c r="D154"/>
  <c r="D156"/>
  <c r="D158"/>
  <c r="D160"/>
  <c r="D162"/>
  <c r="D164"/>
  <c r="I150"/>
  <c r="I154"/>
  <c r="I158"/>
  <c r="I162"/>
  <c r="I166"/>
  <c r="G61"/>
  <c r="I61" s="1"/>
  <c r="C89" s="1"/>
  <c r="E89" s="1"/>
  <c r="J152" i="1" l="1"/>
  <c r="C24"/>
  <c r="C25" s="1"/>
  <c r="C51"/>
  <c r="J165" i="5"/>
  <c r="E88"/>
  <c r="C99"/>
  <c r="C101" s="1"/>
  <c r="H167"/>
  <c r="J167" s="1"/>
  <c r="H163"/>
  <c r="J163" s="1"/>
  <c r="H159"/>
  <c r="J159" s="1"/>
  <c r="H155"/>
  <c r="J155" s="1"/>
  <c r="H151"/>
  <c r="J151" s="1"/>
  <c r="H158"/>
  <c r="J158" s="1"/>
  <c r="H164"/>
  <c r="J164" s="1"/>
  <c r="H160"/>
  <c r="J160" s="1"/>
  <c r="H156"/>
  <c r="J156" s="1"/>
  <c r="H152"/>
  <c r="J152" s="1"/>
  <c r="H148"/>
  <c r="J148" s="1"/>
  <c r="H166"/>
  <c r="J166" s="1"/>
  <c r="H154"/>
  <c r="J154" s="1"/>
  <c r="H157"/>
  <c r="J157" s="1"/>
  <c r="H153"/>
  <c r="J153" s="1"/>
  <c r="H149"/>
  <c r="J149" s="1"/>
  <c r="H162"/>
  <c r="J162" s="1"/>
  <c r="H150"/>
  <c r="J150" s="1"/>
  <c r="H159" i="1"/>
  <c r="J159" s="1"/>
  <c r="H151"/>
  <c r="J151" s="1"/>
  <c r="H147"/>
  <c r="J147" s="1"/>
  <c r="H162"/>
  <c r="J162" s="1"/>
  <c r="H158"/>
  <c r="J158" s="1"/>
  <c r="H154"/>
  <c r="J154" s="1"/>
  <c r="H150"/>
  <c r="J150" s="1"/>
  <c r="H146"/>
  <c r="J146" s="1"/>
  <c r="H163"/>
  <c r="J163" s="1"/>
  <c r="H155"/>
  <c r="J155" s="1"/>
  <c r="C24" i="5"/>
  <c r="C25" s="1"/>
  <c r="C36" s="1"/>
  <c r="G71" s="1"/>
  <c r="I71" s="1"/>
  <c r="C51"/>
  <c r="J165" i="1"/>
  <c r="J161" i="5"/>
  <c r="H164" i="1"/>
  <c r="J164" s="1"/>
  <c r="C35" i="5" l="1"/>
  <c r="C86" i="1"/>
  <c r="C87" s="1"/>
  <c r="I64"/>
  <c r="C53"/>
  <c r="C35"/>
  <c r="C85" i="5"/>
  <c r="C86" s="1"/>
  <c r="I63"/>
  <c r="F30"/>
  <c r="G122"/>
  <c r="C53"/>
  <c r="C36" i="1"/>
  <c r="G72" s="1"/>
  <c r="I72" s="1"/>
  <c r="I63" l="1"/>
  <c r="E65"/>
  <c r="C67"/>
  <c r="C111"/>
  <c r="C129"/>
  <c r="C110"/>
  <c r="C108"/>
  <c r="C109"/>
  <c r="G58" i="5"/>
  <c r="I58" s="1"/>
  <c r="C106" s="1"/>
  <c r="C109"/>
  <c r="E64"/>
  <c r="C108"/>
  <c r="C66"/>
  <c r="C124" s="1"/>
  <c r="C107"/>
  <c r="C110"/>
  <c r="C131"/>
  <c r="C167" l="1"/>
  <c r="E167" s="1"/>
  <c r="C163"/>
  <c r="E163" s="1"/>
  <c r="C159"/>
  <c r="E159" s="1"/>
  <c r="C155"/>
  <c r="E155" s="1"/>
  <c r="C151"/>
  <c r="E151" s="1"/>
  <c r="C166"/>
  <c r="E166" s="1"/>
  <c r="C162"/>
  <c r="E162" s="1"/>
  <c r="C150"/>
  <c r="E150" s="1"/>
  <c r="C164"/>
  <c r="E164" s="1"/>
  <c r="C160"/>
  <c r="E160" s="1"/>
  <c r="C156"/>
  <c r="E156" s="1"/>
  <c r="C152"/>
  <c r="E152" s="1"/>
  <c r="C148"/>
  <c r="E148" s="1"/>
  <c r="C154"/>
  <c r="E154" s="1"/>
  <c r="C165"/>
  <c r="E165" s="1"/>
  <c r="C161"/>
  <c r="E161" s="1"/>
  <c r="C157"/>
  <c r="E157" s="1"/>
  <c r="C153"/>
  <c r="E153" s="1"/>
  <c r="C149"/>
  <c r="E149" s="1"/>
  <c r="C158"/>
  <c r="E158" s="1"/>
  <c r="G58" i="1"/>
  <c r="I58" s="1"/>
  <c r="C107" s="1"/>
  <c r="C124"/>
  <c r="C165"/>
  <c r="E165" s="1"/>
  <c r="C161"/>
  <c r="E161" s="1"/>
  <c r="C157"/>
  <c r="E157" s="1"/>
  <c r="C153"/>
  <c r="E153" s="1"/>
  <c r="C149"/>
  <c r="E149" s="1"/>
  <c r="C160"/>
  <c r="E160" s="1"/>
  <c r="C156"/>
  <c r="E156" s="1"/>
  <c r="C148"/>
  <c r="E148" s="1"/>
  <c r="C162"/>
  <c r="E162" s="1"/>
  <c r="C158"/>
  <c r="E158" s="1"/>
  <c r="C154"/>
  <c r="E154" s="1"/>
  <c r="C150"/>
  <c r="E150" s="1"/>
  <c r="C146"/>
  <c r="E146" s="1"/>
  <c r="C163"/>
  <c r="E163" s="1"/>
  <c r="C159"/>
  <c r="E159" s="1"/>
  <c r="C155"/>
  <c r="E155" s="1"/>
  <c r="C151"/>
  <c r="E151" s="1"/>
  <c r="C147"/>
  <c r="E147" s="1"/>
  <c r="C164"/>
  <c r="E164" s="1"/>
  <c r="C152"/>
  <c r="E152" s="1"/>
  <c r="C126" i="5"/>
  <c r="C127" s="1"/>
  <c r="C128" s="1"/>
  <c r="G73" i="1"/>
  <c r="I73" s="1"/>
  <c r="C123"/>
  <c r="C77" i="5"/>
  <c r="C79" s="1"/>
  <c r="C79" i="1" l="1"/>
  <c r="C81" s="1"/>
</calcChain>
</file>

<file path=xl/comments1.xml><?xml version="1.0" encoding="utf-8"?>
<comments xmlns="http://schemas.openxmlformats.org/spreadsheetml/2006/main">
  <authors>
    <author>hangseok</author>
  </authors>
  <commentList>
    <comment ref="C23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2-3uF per 1 watt </t>
        </r>
      </text>
    </comment>
    <comment ref="C29" authorId="0">
      <text>
        <r>
          <rPr>
            <b/>
            <sz val="9"/>
            <color indexed="81"/>
            <rFont val="굴림"/>
            <family val="3"/>
            <charset val="129"/>
          </rPr>
          <t>For CCM operation, it is recommended to set Dmax &lt; 0.5 to avoid subharmonic oscillation</t>
        </r>
      </text>
    </comment>
  </commentList>
</comments>
</file>

<file path=xl/comments2.xml><?xml version="1.0" encoding="utf-8"?>
<comments xmlns="http://schemas.openxmlformats.org/spreadsheetml/2006/main">
  <authors>
    <author>hangseok</author>
  </authors>
  <commentList>
    <comment ref="C23" authorId="0">
      <text>
        <r>
          <rPr>
            <b/>
            <sz val="9"/>
            <color indexed="81"/>
            <rFont val="굴림"/>
            <family val="3"/>
            <charset val="129"/>
          </rPr>
          <t xml:space="preserve">2-3uF per 1 watt </t>
        </r>
      </text>
    </comment>
    <comment ref="C29" authorId="0">
      <text>
        <r>
          <rPr>
            <b/>
            <sz val="9"/>
            <color indexed="81"/>
            <rFont val="굴림"/>
            <family val="3"/>
            <charset val="129"/>
          </rPr>
          <t>For CCM operation, it is recommended to set Dmax &lt; 0.5 to avoid subharmonic oscillation</t>
        </r>
      </text>
    </comment>
  </commentList>
</comments>
</file>

<file path=xl/sharedStrings.xml><?xml version="1.0" encoding="utf-8"?>
<sst xmlns="http://schemas.openxmlformats.org/spreadsheetml/2006/main" count="1335" uniqueCount="415">
  <si>
    <t>is the input parameters</t>
    <phoneticPr fontId="2" type="noConversion"/>
  </si>
  <si>
    <t>Blue cell</t>
    <phoneticPr fontId="2" type="noConversion"/>
  </si>
  <si>
    <t>Red cell</t>
    <phoneticPr fontId="2" type="noConversion"/>
  </si>
  <si>
    <t>V</t>
    <phoneticPr fontId="2" type="noConversion"/>
  </si>
  <si>
    <t>Hz</t>
    <phoneticPr fontId="2" type="noConversion"/>
  </si>
  <si>
    <t>W</t>
    <phoneticPr fontId="2" type="noConversion"/>
  </si>
  <si>
    <t>%</t>
    <phoneticPr fontId="2" type="noConversion"/>
  </si>
  <si>
    <t>DC link voltage ripple =</t>
    <phoneticPr fontId="2" type="noConversion"/>
  </si>
  <si>
    <t>Minimum DC link voltage =</t>
    <phoneticPr fontId="2" type="noConversion"/>
  </si>
  <si>
    <t>V</t>
    <phoneticPr fontId="2" type="noConversion"/>
  </si>
  <si>
    <t>uH</t>
    <phoneticPr fontId="2" type="noConversion"/>
  </si>
  <si>
    <t>is the output parameters</t>
    <phoneticPr fontId="2" type="noConversion"/>
  </si>
  <si>
    <t>uF</t>
    <phoneticPr fontId="2" type="noConversion"/>
  </si>
  <si>
    <t xml:space="preserve">Maximum duty ratio </t>
    <phoneticPr fontId="2" type="noConversion"/>
  </si>
  <si>
    <t>Maximum peak drain current =</t>
    <phoneticPr fontId="2" type="noConversion"/>
  </si>
  <si>
    <t>DC link capacitor</t>
    <phoneticPr fontId="2" type="noConversion"/>
  </si>
  <si>
    <t xml:space="preserve">Estimated AP value of core = </t>
    <phoneticPr fontId="2" type="noConversion"/>
  </si>
  <si>
    <r>
      <t>mm</t>
    </r>
    <r>
      <rPr>
        <b/>
        <vertAlign val="superscript"/>
        <sz val="11"/>
        <color indexed="60"/>
        <rFont val="돋움"/>
        <family val="3"/>
        <charset val="129"/>
      </rPr>
      <t>4</t>
    </r>
    <phoneticPr fontId="2" type="noConversion"/>
  </si>
  <si>
    <t>2nd output</t>
    <phoneticPr fontId="2" type="noConversion"/>
  </si>
  <si>
    <t>3rd output</t>
    <phoneticPr fontId="2" type="noConversion"/>
  </si>
  <si>
    <t>4th output</t>
    <phoneticPr fontId="2" type="noConversion"/>
  </si>
  <si>
    <t>A</t>
    <phoneticPr fontId="2" type="noConversion"/>
  </si>
  <si>
    <t>A</t>
    <phoneticPr fontId="2" type="noConversion"/>
  </si>
  <si>
    <t>A</t>
    <phoneticPr fontId="2" type="noConversion"/>
  </si>
  <si>
    <t>W</t>
    <phoneticPr fontId="2" type="noConversion"/>
  </si>
  <si>
    <t>W</t>
    <phoneticPr fontId="2" type="noConversion"/>
  </si>
  <si>
    <t>W</t>
    <phoneticPr fontId="2" type="noConversion"/>
  </si>
  <si>
    <t>%</t>
    <phoneticPr fontId="2" type="noConversion"/>
  </si>
  <si>
    <t>%</t>
    <phoneticPr fontId="2" type="noConversion"/>
  </si>
  <si>
    <t>%</t>
    <phoneticPr fontId="2" type="noConversion"/>
  </si>
  <si>
    <t>1. Define specifications of the SMPS</t>
    <phoneticPr fontId="2" type="noConversion"/>
  </si>
  <si>
    <t>1st output for feedback</t>
    <phoneticPr fontId="2" type="noConversion"/>
  </si>
  <si>
    <t>Switching frequency of FPS (kHz)</t>
    <phoneticPr fontId="2" type="noConversion"/>
  </si>
  <si>
    <t>kHz</t>
    <phoneticPr fontId="2" type="noConversion"/>
  </si>
  <si>
    <r>
      <t>mm</t>
    </r>
    <r>
      <rPr>
        <vertAlign val="superscript"/>
        <sz val="11"/>
        <color indexed="12"/>
        <rFont val="돋움"/>
        <family val="3"/>
        <charset val="129"/>
      </rPr>
      <t>2</t>
    </r>
    <phoneticPr fontId="2" type="noConversion"/>
  </si>
  <si>
    <t>Minimum primary turns =</t>
    <phoneticPr fontId="2" type="noConversion"/>
  </si>
  <si>
    <t>T</t>
    <phoneticPr fontId="2" type="noConversion"/>
  </si>
  <si>
    <t>V</t>
    <phoneticPr fontId="2" type="noConversion"/>
  </si>
  <si>
    <t>VF : Forward voltage drop of rectifier diode</t>
    <phoneticPr fontId="2" type="noConversion"/>
  </si>
  <si>
    <t>6. Determine the numner of turns for each outputs</t>
    <phoneticPr fontId="2" type="noConversion"/>
  </si>
  <si>
    <t>Vo</t>
    <phoneticPr fontId="2" type="noConversion"/>
  </si>
  <si>
    <t>VF</t>
    <phoneticPr fontId="2" type="noConversion"/>
  </si>
  <si>
    <t>=&gt;</t>
    <phoneticPr fontId="2" type="noConversion"/>
  </si>
  <si>
    <t>T</t>
    <phoneticPr fontId="2" type="noConversion"/>
  </si>
  <si>
    <t># of turns</t>
    <phoneticPr fontId="2" type="noConversion"/>
  </si>
  <si>
    <t>Diameter</t>
    <phoneticPr fontId="2" type="noConversion"/>
  </si>
  <si>
    <t>T</t>
    <phoneticPr fontId="2" type="noConversion"/>
  </si>
  <si>
    <t>mm</t>
    <phoneticPr fontId="2" type="noConversion"/>
  </si>
  <si>
    <t>T</t>
    <phoneticPr fontId="2" type="noConversion"/>
  </si>
  <si>
    <t>Parallel</t>
    <phoneticPr fontId="2" type="noConversion"/>
  </si>
  <si>
    <r>
      <t>(A/mm</t>
    </r>
    <r>
      <rPr>
        <b/>
        <vertAlign val="superscript"/>
        <sz val="11"/>
        <color indexed="12"/>
        <rFont val="돋움"/>
        <family val="3"/>
        <charset val="129"/>
      </rPr>
      <t>2</t>
    </r>
    <r>
      <rPr>
        <b/>
        <sz val="11"/>
        <color indexed="12"/>
        <rFont val="돋움"/>
        <family val="3"/>
        <charset val="129"/>
      </rPr>
      <t>)</t>
    </r>
    <phoneticPr fontId="2" type="noConversion"/>
  </si>
  <si>
    <t>Copper area =</t>
    <phoneticPr fontId="2" type="noConversion"/>
  </si>
  <si>
    <r>
      <t>mm</t>
    </r>
    <r>
      <rPr>
        <b/>
        <vertAlign val="superscript"/>
        <sz val="11"/>
        <color indexed="60"/>
        <rFont val="돋움"/>
        <family val="3"/>
        <charset val="129"/>
      </rPr>
      <t>2</t>
    </r>
    <phoneticPr fontId="2" type="noConversion"/>
  </si>
  <si>
    <t>Fill factor</t>
    <phoneticPr fontId="2" type="noConversion"/>
  </si>
  <si>
    <t>Required window area</t>
    <phoneticPr fontId="2" type="noConversion"/>
  </si>
  <si>
    <t>Vcc diode</t>
    <phoneticPr fontId="2" type="noConversion"/>
  </si>
  <si>
    <t>1st output diode</t>
    <phoneticPr fontId="2" type="noConversion"/>
  </si>
  <si>
    <t>2nd output diode</t>
    <phoneticPr fontId="2" type="noConversion"/>
  </si>
  <si>
    <t>3rd output diode</t>
    <phoneticPr fontId="2" type="noConversion"/>
  </si>
  <si>
    <t>4th output diode</t>
    <phoneticPr fontId="2" type="noConversion"/>
  </si>
  <si>
    <t>Reverse voltage</t>
    <phoneticPr fontId="2" type="noConversion"/>
  </si>
  <si>
    <t xml:space="preserve">Irms </t>
    <phoneticPr fontId="2" type="noConversion"/>
  </si>
  <si>
    <t>uF</t>
    <phoneticPr fontId="2" type="noConversion"/>
  </si>
  <si>
    <t>1st output capacitor</t>
    <phoneticPr fontId="2" type="noConversion"/>
  </si>
  <si>
    <t>2nd output capacitor</t>
    <phoneticPr fontId="2" type="noConversion"/>
  </si>
  <si>
    <t>3rd output capacitor</t>
    <phoneticPr fontId="2" type="noConversion"/>
  </si>
  <si>
    <t>4th output capacitor</t>
    <phoneticPr fontId="2" type="noConversion"/>
  </si>
  <si>
    <t>ESR</t>
    <phoneticPr fontId="2" type="noConversion"/>
  </si>
  <si>
    <t>mΩ</t>
    <phoneticPr fontId="2" type="noConversion"/>
  </si>
  <si>
    <t>ripple</t>
    <phoneticPr fontId="2" type="noConversion"/>
  </si>
  <si>
    <t>Current</t>
    <phoneticPr fontId="2" type="noConversion"/>
  </si>
  <si>
    <t>Ripple</t>
    <phoneticPr fontId="2" type="noConversion"/>
  </si>
  <si>
    <t>Voltage</t>
    <phoneticPr fontId="2" type="noConversion"/>
  </si>
  <si>
    <t>㏀</t>
    <phoneticPr fontId="2" type="noConversion"/>
  </si>
  <si>
    <t>V.rms</t>
    <phoneticPr fontId="2" type="noConversion"/>
  </si>
  <si>
    <t>Hz</t>
    <phoneticPr fontId="2" type="noConversion"/>
  </si>
  <si>
    <r>
      <t>nH/T</t>
    </r>
    <r>
      <rPr>
        <vertAlign val="superscript"/>
        <sz val="11"/>
        <rFont val="돋움"/>
        <family val="3"/>
        <charset val="129"/>
      </rPr>
      <t>2</t>
    </r>
    <phoneticPr fontId="2" type="noConversion"/>
  </si>
  <si>
    <t>Vcc (Use Vcc start voltage)</t>
    <phoneticPr fontId="2" type="noConversion"/>
  </si>
  <si>
    <t>1st output for feedback</t>
    <phoneticPr fontId="2" type="noConversion"/>
  </si>
  <si>
    <t>2nd output</t>
    <phoneticPr fontId="2" type="noConversion"/>
  </si>
  <si>
    <t>3rd output</t>
    <phoneticPr fontId="2" type="noConversion"/>
  </si>
  <si>
    <t>Vcc winding</t>
    <phoneticPr fontId="2" type="noConversion"/>
  </si>
  <si>
    <t>1st output winding</t>
    <phoneticPr fontId="2" type="noConversion"/>
  </si>
  <si>
    <t>2nd output winding</t>
    <phoneticPr fontId="2" type="noConversion"/>
  </si>
  <si>
    <t>3rd output winding</t>
    <phoneticPr fontId="2" type="noConversion"/>
  </si>
  <si>
    <t>4th output winding</t>
    <phoneticPr fontId="2" type="noConversion"/>
  </si>
  <si>
    <t>Feedback integrator gain (fi) =</t>
    <phoneticPr fontId="2" type="noConversion"/>
  </si>
  <si>
    <t>Feedback zero (fz) =</t>
    <phoneticPr fontId="2" type="noConversion"/>
  </si>
  <si>
    <t>Feedback pole (fp) =</t>
    <phoneticPr fontId="2" type="noConversion"/>
  </si>
  <si>
    <t>Opto coupler diode resistor (RD)</t>
    <phoneticPr fontId="2" type="noConversion"/>
  </si>
  <si>
    <t>Voltage divider resistor (R2)</t>
    <phoneticPr fontId="2" type="noConversion"/>
  </si>
  <si>
    <t>431 Bias resistor (Rbias)</t>
    <phoneticPr fontId="2" type="noConversion"/>
  </si>
  <si>
    <t>nF</t>
    <phoneticPr fontId="2" type="noConversion"/>
  </si>
  <si>
    <t>Feeback pin capacitor (CB) =</t>
    <phoneticPr fontId="2" type="noConversion"/>
  </si>
  <si>
    <t>Feedback Capacitor (CF) =</t>
    <phoneticPr fontId="2" type="noConversion"/>
  </si>
  <si>
    <t>Feedback resistor (RF) =</t>
    <phoneticPr fontId="2" type="noConversion"/>
  </si>
  <si>
    <t>Maximum output power (Po) =</t>
    <phoneticPr fontId="2" type="noConversion"/>
  </si>
  <si>
    <t>Maximum input power (Pin) =</t>
    <phoneticPr fontId="2" type="noConversion"/>
  </si>
  <si>
    <t>Cross sectional area of core (Ae)</t>
    <phoneticPr fontId="2" type="noConversion"/>
  </si>
  <si>
    <t>Voltage divider resistor (R1)</t>
    <phoneticPr fontId="2" type="noConversion"/>
  </si>
  <si>
    <t>㏀</t>
    <phoneticPr fontId="2" type="noConversion"/>
  </si>
  <si>
    <t xml:space="preserve">㏀ </t>
    <phoneticPr fontId="2" type="noConversion"/>
  </si>
  <si>
    <t>Control-to-output DC gain =</t>
    <phoneticPr fontId="2" type="noConversion"/>
  </si>
  <si>
    <t>Control-to-output zero =</t>
    <phoneticPr fontId="2" type="noConversion"/>
  </si>
  <si>
    <t>Control-to-output pole =</t>
    <phoneticPr fontId="2" type="noConversion"/>
  </si>
  <si>
    <t>AL value (no gap)</t>
    <phoneticPr fontId="2" type="noConversion"/>
  </si>
  <si>
    <t>FPS Design Assistant  ver.1.0</t>
    <phoneticPr fontId="2" type="noConversion"/>
  </si>
  <si>
    <t>By Choi</t>
    <phoneticPr fontId="2" type="noConversion"/>
  </si>
  <si>
    <t>Io</t>
    <phoneticPr fontId="2" type="noConversion"/>
  </si>
  <si>
    <t>Po</t>
    <phoneticPr fontId="2" type="noConversion"/>
  </si>
  <si>
    <t>KL</t>
    <phoneticPr fontId="2" type="noConversion"/>
  </si>
  <si>
    <t>Minimum Line voltage (V_line.min)</t>
    <phoneticPr fontId="2" type="noConversion"/>
  </si>
  <si>
    <t>Maximum Line voltage (V_line.max)</t>
    <phoneticPr fontId="2" type="noConversion"/>
  </si>
  <si>
    <t>Line frequency (fL)</t>
    <phoneticPr fontId="2" type="noConversion"/>
  </si>
  <si>
    <t>Estimated efficiency (Eff)</t>
    <phoneticPr fontId="2" type="noConversion"/>
  </si>
  <si>
    <t>Device</t>
  </si>
  <si>
    <t>Recommend
New Device</t>
  </si>
  <si>
    <t>Function</t>
  </si>
  <si>
    <t>Protection Mode</t>
  </si>
  <si>
    <t>Soft Start
Option</t>
  </si>
  <si>
    <t>PKG</t>
  </si>
  <si>
    <t xml:space="preserve">Cross
Reference </t>
  </si>
  <si>
    <t>Application</t>
  </si>
  <si>
    <t>Application Note
www.fairchildsemi.com</t>
  </si>
  <si>
    <t>Features</t>
  </si>
  <si>
    <t>Vdmax
(V)</t>
  </si>
  <si>
    <t>Ipeak
(A)</t>
  </si>
  <si>
    <t>Pin(max)(W)_open frame
[adaptor type]</t>
  </si>
  <si>
    <t>Fopr
(KHz)</t>
  </si>
  <si>
    <t>Over
Load</t>
  </si>
  <si>
    <t>Over
Current</t>
  </si>
  <si>
    <t>Over
Voltage</t>
  </si>
  <si>
    <t>Thermal
Shutdown</t>
  </si>
  <si>
    <t>85-265VAC</t>
  </si>
  <si>
    <t>230VAC</t>
  </si>
  <si>
    <t>1st Generation 800V Class</t>
  </si>
  <si>
    <t>KA1M0280RB</t>
  </si>
  <si>
    <t>KA5x0280R</t>
  </si>
  <si>
    <t>A/R</t>
  </si>
  <si>
    <t>NO</t>
  </si>
  <si>
    <t>TO-220F-4L</t>
  </si>
  <si>
    <t>TOP223Y</t>
  </si>
  <si>
    <t>DVD</t>
  </si>
  <si>
    <t>AN4105
AN4106</t>
  </si>
  <si>
    <t>KA1x0380RB</t>
  </si>
  <si>
    <t>KA5x0380R</t>
  </si>
  <si>
    <t>67/50</t>
  </si>
  <si>
    <t>TOP224Y</t>
  </si>
  <si>
    <t>VCR / DVD</t>
  </si>
  <si>
    <t>KA1x0680B</t>
  </si>
  <si>
    <t>KA5P0680C</t>
  </si>
  <si>
    <t>100/67</t>
  </si>
  <si>
    <t>Latch</t>
  </si>
  <si>
    <t>YES</t>
  </si>
  <si>
    <t>TO-3P-5L</t>
  </si>
  <si>
    <t>Original</t>
  </si>
  <si>
    <t>PC, SMPS</t>
  </si>
  <si>
    <t>AN4105
AN4104</t>
  </si>
  <si>
    <t>KA1H0680RFB</t>
  </si>
  <si>
    <t>TO-3PF-5L</t>
  </si>
  <si>
    <t>KA1M0680RB</t>
  </si>
  <si>
    <t>KA1x0880B</t>
  </si>
  <si>
    <t>for flyback converter</t>
  </si>
  <si>
    <t>KA1M0880BF</t>
  </si>
  <si>
    <t>KA1M0880D</t>
  </si>
  <si>
    <t>FS7M0880</t>
  </si>
  <si>
    <t>Optimized for forward converter</t>
  </si>
  <si>
    <t>KA2S0680B</t>
  </si>
  <si>
    <t>FS6S0765RCH</t>
  </si>
  <si>
    <t>20~150</t>
  </si>
  <si>
    <t>STR-F6653</t>
  </si>
  <si>
    <t>Monitor</t>
  </si>
  <si>
    <t>AN4105
AN4103</t>
  </si>
  <si>
    <t>KA3S0680RFB</t>
  </si>
  <si>
    <t>KA5Q0765RTH</t>
  </si>
  <si>
    <t>STR-S6707</t>
  </si>
  <si>
    <t>C-TV</t>
  </si>
  <si>
    <t>AN4105
AN4102</t>
  </si>
  <si>
    <t>KA3S0880RFB</t>
  </si>
  <si>
    <t>KA5Q12656RT</t>
  </si>
  <si>
    <t>1st Generation 650V Class</t>
  </si>
  <si>
    <t>KA1H0165RN</t>
  </si>
  <si>
    <t>KA5x0165RN</t>
  </si>
  <si>
    <t>8DIP</t>
  </si>
  <si>
    <t>TOP222P</t>
  </si>
  <si>
    <t>Charger</t>
  </si>
  <si>
    <t>AN4105
AN4101</t>
  </si>
  <si>
    <t>KA1H0165R</t>
  </si>
  <si>
    <t>KA5x0165R</t>
  </si>
  <si>
    <t>TOP222Y</t>
  </si>
  <si>
    <t>KA1M0265R</t>
  </si>
  <si>
    <t>KA5x0265R</t>
  </si>
  <si>
    <t>Auxiliary Power</t>
  </si>
  <si>
    <t>KA1M0365R</t>
  </si>
  <si>
    <t>KA5x0365R</t>
  </si>
  <si>
    <t>STB</t>
  </si>
  <si>
    <t>KA1x0565R</t>
  </si>
  <si>
    <t>TOP227Y</t>
  </si>
  <si>
    <t>Note-PC Adaptor</t>
  </si>
  <si>
    <t>KA1M0765R</t>
  </si>
  <si>
    <t>KA5M0765RQC</t>
  </si>
  <si>
    <t>SMPS</t>
  </si>
  <si>
    <t>AN4105</t>
  </si>
  <si>
    <t>KA1M0965R</t>
  </si>
  <si>
    <t>KA5M0965Q</t>
  </si>
  <si>
    <t>2nd Generation 800V Class</t>
  </si>
  <si>
    <t>100/67/50</t>
  </si>
  <si>
    <t>TO-220-5L</t>
  </si>
  <si>
    <t>PC SMPS</t>
  </si>
  <si>
    <t>AN4105,  AN4104</t>
  </si>
  <si>
    <t>Intelligent Power Saving Mode</t>
  </si>
  <si>
    <t>2nd Generation 650V Class</t>
  </si>
  <si>
    <t>TOP222Y
TOP222P</t>
  </si>
  <si>
    <t xml:space="preserve">Charger
Auxiliary </t>
  </si>
  <si>
    <t>KA5x02659RN</t>
  </si>
  <si>
    <t>KA5H0265RC</t>
  </si>
  <si>
    <t>KA5x0365RN</t>
  </si>
  <si>
    <t>TOP224P</t>
  </si>
  <si>
    <t>KA5S0765C</t>
  </si>
  <si>
    <t>Sync.</t>
  </si>
  <si>
    <t>KA5S0965</t>
  </si>
  <si>
    <t>FS6S0965RCB</t>
  </si>
  <si>
    <t>STR-F6654</t>
  </si>
  <si>
    <t>KA5S12656</t>
  </si>
  <si>
    <t>FS6S1265RE</t>
  </si>
  <si>
    <t>STR-F6656</t>
  </si>
  <si>
    <t>KA5S1265</t>
  </si>
  <si>
    <t>KA5Q0565RT</t>
  </si>
  <si>
    <t>QRC</t>
  </si>
  <si>
    <t>TO-220F-5L</t>
  </si>
  <si>
    <t>1.Burst Mode Operation for low stdby
2.Simple application with both primary and secondary side regulation</t>
  </si>
  <si>
    <t>KA5Q0740RT</t>
  </si>
  <si>
    <t>-</t>
  </si>
  <si>
    <t>KA5Q0765RT</t>
  </si>
  <si>
    <t>KA5Q12656RTH</t>
  </si>
  <si>
    <t>KA5Q1265RF</t>
  </si>
  <si>
    <t>KA5Q1265RFH</t>
  </si>
  <si>
    <t>KA5Q1565RF</t>
  </si>
  <si>
    <t>KA5Q1565RFH</t>
  </si>
  <si>
    <t>KA5Q2065RFH</t>
  </si>
  <si>
    <t>3rd Generation</t>
  </si>
  <si>
    <t>FS6M07652RTC</t>
  </si>
  <si>
    <t>LCD Monitor</t>
  </si>
  <si>
    <t>AN4105
AN4116</t>
  </si>
  <si>
    <t>Burst Mode Operation for low stdby</t>
  </si>
  <si>
    <t>FS6M12653RTC</t>
  </si>
  <si>
    <t>FS6S0765RCB</t>
  </si>
  <si>
    <t>AN4105
AN4108</t>
  </si>
  <si>
    <t>FS6S0965RT</t>
  </si>
  <si>
    <t>FS6S0965R</t>
  </si>
  <si>
    <t>FS6S1565RB</t>
  </si>
  <si>
    <t>FS7M0680</t>
  </si>
  <si>
    <t>PDP, PC</t>
  </si>
  <si>
    <t>AN4104</t>
  </si>
  <si>
    <t>for forward converter</t>
  </si>
  <si>
    <t>FS8S0765RC</t>
  </si>
  <si>
    <t>STR-G5653</t>
  </si>
  <si>
    <t>Primary Side Regulation for SEC</t>
  </si>
  <si>
    <t>FS8S0765RCA</t>
  </si>
  <si>
    <t>FS8S0765RCB</t>
  </si>
  <si>
    <t>FS6X1220RT</t>
  </si>
  <si>
    <t>@36-75VDC</t>
  </si>
  <si>
    <t>DPA426R</t>
  </si>
  <si>
    <t>DC/DC off-line</t>
  </si>
  <si>
    <t>FS6X1220RD</t>
  </si>
  <si>
    <t>D2-PAK-5L</t>
  </si>
  <si>
    <t>BCDMOS / BiCMOS</t>
  </si>
  <si>
    <t>FSDH0165</t>
  </si>
  <si>
    <t>FSDH0165F</t>
  </si>
  <si>
    <t>9 / [7]</t>
  </si>
  <si>
    <t>8DIPH</t>
  </si>
  <si>
    <t>TNY266P</t>
  </si>
  <si>
    <t>AN4105
AN4111</t>
  </si>
  <si>
    <t>1Chip 1PKG</t>
  </si>
  <si>
    <t>FSDH565</t>
  </si>
  <si>
    <t>6 / [5]</t>
  </si>
  <si>
    <t>TNY264P</t>
  </si>
  <si>
    <t>FSD200(M)</t>
  </si>
  <si>
    <t>7DIP(7SMD)</t>
  </si>
  <si>
    <t>FSD201(M)</t>
  </si>
  <si>
    <t>8DIP(8SMD)</t>
  </si>
  <si>
    <t>FSDM311(M)</t>
  </si>
  <si>
    <t>FSD1000</t>
  </si>
  <si>
    <t>12DIPH</t>
  </si>
  <si>
    <t>PC</t>
  </si>
  <si>
    <t>FSDH0265RN</t>
  </si>
  <si>
    <t>Low stdby power</t>
  </si>
  <si>
    <t>FSDM0365RN</t>
  </si>
  <si>
    <t>DVDP</t>
  </si>
  <si>
    <t>TO-220F-6L</t>
  </si>
  <si>
    <t>FSDM07652R</t>
  </si>
  <si>
    <t>FSCM0765RD</t>
  </si>
  <si>
    <t>FSCM0880</t>
  </si>
  <si>
    <t>FSCQ0765RT</t>
  </si>
  <si>
    <t>FSCQ1265RT</t>
  </si>
  <si>
    <t>FSCQ1565RF</t>
  </si>
  <si>
    <t>FSCQ2065RF</t>
  </si>
  <si>
    <t>FSCx1565RF</t>
  </si>
  <si>
    <t>DVDP Receiver</t>
  </si>
  <si>
    <t>A/R-Auto Restart</t>
  </si>
  <si>
    <t>The letter 'x' stands for H/M/L separately. Each letter 'H','M' &amp; 'L' means 100KHz/70KHz/50KHz.</t>
  </si>
  <si>
    <t>Pin(max) Test Condition :</t>
  </si>
  <si>
    <t>85-265VAC :</t>
  </si>
  <si>
    <t>Flyback Converter, Discontinuous Current Mode, Dmax=0.50, Vin=100VDC</t>
  </si>
  <si>
    <t>230VAC :</t>
  </si>
  <si>
    <t>Flyback Converter, Discontinuous Current Mode, Dmax=0.25, Vin=220VDC</t>
  </si>
  <si>
    <r>
      <t>Rds(on)
max (</t>
    </r>
    <r>
      <rPr>
        <sz val="10"/>
        <rFont val="돋움"/>
        <family val="3"/>
        <charset val="129"/>
      </rPr>
      <t>Ω</t>
    </r>
    <r>
      <rPr>
        <sz val="10"/>
        <rFont val="Arial"/>
        <family val="2"/>
      </rPr>
      <t>)</t>
    </r>
  </si>
  <si>
    <t>Maximum flux density swing</t>
    <phoneticPr fontId="2" type="noConversion"/>
  </si>
  <si>
    <t>Capacitance</t>
    <phoneticPr fontId="2" type="noConversion"/>
  </si>
  <si>
    <t>Rms Current</t>
    <phoneticPr fontId="2" type="noConversion"/>
  </si>
  <si>
    <t>Maximum nominal MOSFET voltage =</t>
    <phoneticPr fontId="2" type="noConversion"/>
  </si>
  <si>
    <t>2. Determine DC link capacitor and the DC voltage range</t>
    <phoneticPr fontId="2" type="noConversion"/>
  </si>
  <si>
    <t>Maximum DC link voltage =</t>
    <phoneticPr fontId="2" type="noConversion"/>
  </si>
  <si>
    <t>For forward converter with reset winding</t>
    <phoneticPr fontId="2" type="noConversion"/>
  </si>
  <si>
    <t>3. Determine the maximum duty ratio (Dmax)</t>
    <phoneticPr fontId="2" type="noConversion"/>
  </si>
  <si>
    <t>Turns ratio (Np/Nr)</t>
    <phoneticPr fontId="2" type="noConversion"/>
  </si>
  <si>
    <t>&gt;</t>
    <phoneticPr fontId="2" type="noConversion"/>
  </si>
  <si>
    <t>4. Determine the ripple factor of the output inductor current</t>
    <phoneticPr fontId="2" type="noConversion"/>
  </si>
  <si>
    <t>RMS drain current =</t>
    <phoneticPr fontId="2" type="noConversion"/>
  </si>
  <si>
    <t>5. Determine proper core and minimum primary turns for transformer</t>
    <phoneticPr fontId="2" type="noConversion"/>
  </si>
  <si>
    <t>Transformer magnetizing inductance =</t>
    <phoneticPr fontId="2" type="noConversion"/>
  </si>
  <si>
    <t>mH</t>
    <phoneticPr fontId="2" type="noConversion"/>
  </si>
  <si>
    <t xml:space="preserve"> Primary turns =</t>
    <phoneticPr fontId="2" type="noConversion"/>
  </si>
  <si>
    <t xml:space="preserve"> Reset winding =</t>
    <phoneticPr fontId="2" type="noConversion"/>
  </si>
  <si>
    <t>7. Determine the wire diameter for each transformer winding</t>
    <phoneticPr fontId="2" type="noConversion"/>
  </si>
  <si>
    <t>Primary winding (Np)</t>
    <phoneticPr fontId="2" type="noConversion"/>
  </si>
  <si>
    <t>Reset winding (Nr)</t>
    <phoneticPr fontId="2" type="noConversion"/>
  </si>
  <si>
    <t>8. Determine proper core and number of turns for inductor (coupled inductor)</t>
    <phoneticPr fontId="2" type="noConversion"/>
  </si>
  <si>
    <t>Cross sectional area of Inductor core (Ae)</t>
    <phoneticPr fontId="2" type="noConversion"/>
  </si>
  <si>
    <t>Saturation flux density</t>
    <phoneticPr fontId="2" type="noConversion"/>
  </si>
  <si>
    <t>Actual number of turns for L1</t>
    <phoneticPr fontId="2" type="noConversion"/>
  </si>
  <si>
    <t>Number of turns for L2 =</t>
    <phoneticPr fontId="2" type="noConversion"/>
  </si>
  <si>
    <t>Number of turns for L3 =</t>
    <phoneticPr fontId="2" type="noConversion"/>
  </si>
  <si>
    <t>Number of turns for L4 =</t>
    <phoneticPr fontId="2" type="noConversion"/>
  </si>
  <si>
    <t>9. Determine the wire diameter for each inductor winding</t>
    <phoneticPr fontId="2" type="noConversion"/>
  </si>
  <si>
    <t>Winding for L1</t>
    <phoneticPr fontId="2" type="noConversion"/>
  </si>
  <si>
    <t>Winding for L4</t>
    <phoneticPr fontId="2" type="noConversion"/>
  </si>
  <si>
    <t>Winding for L2</t>
    <phoneticPr fontId="2" type="noConversion"/>
  </si>
  <si>
    <t>Winding for L3</t>
    <phoneticPr fontId="2" type="noConversion"/>
  </si>
  <si>
    <t>Inductance of 1st output (L1) =</t>
    <phoneticPr fontId="2" type="noConversion"/>
  </si>
  <si>
    <t>Minimum turns of L1 =</t>
    <phoneticPr fontId="2" type="noConversion"/>
  </si>
  <si>
    <t>10. Determine the rectifier diodes in the secondary side</t>
    <phoneticPr fontId="2" type="noConversion"/>
  </si>
  <si>
    <t xml:space="preserve">11. Determine the output capacitor </t>
    <phoneticPr fontId="2" type="noConversion"/>
  </si>
  <si>
    <t>12. Design the Reset Circuit</t>
    <phoneticPr fontId="2" type="noConversion"/>
  </si>
  <si>
    <t>Reset diode rms current</t>
    <phoneticPr fontId="2" type="noConversion"/>
  </si>
  <si>
    <t>Maximum voltage of reset diode</t>
    <phoneticPr fontId="2" type="noConversion"/>
  </si>
  <si>
    <t>Output Inductor current ripple factor</t>
    <phoneticPr fontId="2" type="noConversion"/>
  </si>
  <si>
    <t>13. Design Feedback control loop</t>
    <phoneticPr fontId="2" type="noConversion"/>
  </si>
  <si>
    <t>Current limit of FPS</t>
    <phoneticPr fontId="2" type="noConversion"/>
  </si>
  <si>
    <t>FPS Design Assistant  ver.1.0</t>
    <phoneticPr fontId="2" type="noConversion"/>
  </si>
  <si>
    <t>By Choi</t>
    <phoneticPr fontId="2" type="noConversion"/>
  </si>
  <si>
    <t>Blue cell</t>
    <phoneticPr fontId="2" type="noConversion"/>
  </si>
  <si>
    <t>Red cell</t>
    <phoneticPr fontId="2" type="noConversion"/>
  </si>
  <si>
    <t>Po</t>
    <phoneticPr fontId="2" type="noConversion"/>
  </si>
  <si>
    <t>1st output for feedback</t>
    <phoneticPr fontId="2" type="noConversion"/>
  </si>
  <si>
    <t>2nd output</t>
    <phoneticPr fontId="2" type="noConversion"/>
  </si>
  <si>
    <t>3rd output</t>
    <phoneticPr fontId="2" type="noConversion"/>
  </si>
  <si>
    <t>4th output</t>
    <phoneticPr fontId="2" type="noConversion"/>
  </si>
  <si>
    <t xml:space="preserve">Maximum duty ratio </t>
    <phoneticPr fontId="2" type="noConversion"/>
  </si>
  <si>
    <t>RMS drain current =</t>
    <phoneticPr fontId="2" type="noConversion"/>
  </si>
  <si>
    <t>Switching frequency of FPS (kHz)</t>
    <phoneticPr fontId="2" type="noConversion"/>
  </si>
  <si>
    <t>kHz</t>
    <phoneticPr fontId="2" type="noConversion"/>
  </si>
  <si>
    <t>Minimum primary turns =</t>
    <phoneticPr fontId="2" type="noConversion"/>
  </si>
  <si>
    <t># of turns</t>
    <phoneticPr fontId="2" type="noConversion"/>
  </si>
  <si>
    <t>Vcc (Use Vcc start voltage)</t>
    <phoneticPr fontId="2" type="noConversion"/>
  </si>
  <si>
    <t>VF : Forward voltage drop of rectifier diode</t>
    <phoneticPr fontId="2" type="noConversion"/>
  </si>
  <si>
    <t>AL value (no gap)</t>
    <phoneticPr fontId="2" type="noConversion"/>
  </si>
  <si>
    <t>Primary winding (Np)</t>
    <phoneticPr fontId="2" type="noConversion"/>
  </si>
  <si>
    <t>mm</t>
    <phoneticPr fontId="2" type="noConversion"/>
  </si>
  <si>
    <r>
      <t>mm</t>
    </r>
    <r>
      <rPr>
        <b/>
        <vertAlign val="superscript"/>
        <sz val="11"/>
        <color indexed="60"/>
        <rFont val="돋움"/>
        <family val="3"/>
        <charset val="129"/>
      </rPr>
      <t>2</t>
    </r>
    <phoneticPr fontId="2" type="noConversion"/>
  </si>
  <si>
    <t>Saturation flux density</t>
    <phoneticPr fontId="2" type="noConversion"/>
  </si>
  <si>
    <t>Inductance of 1st output (L1) =</t>
    <phoneticPr fontId="2" type="noConversion"/>
  </si>
  <si>
    <t>Actual number of turns for L1</t>
    <phoneticPr fontId="2" type="noConversion"/>
  </si>
  <si>
    <t>Number of turns for L2 =</t>
    <phoneticPr fontId="2" type="noConversion"/>
  </si>
  <si>
    <t>Winding for L2</t>
    <phoneticPr fontId="2" type="noConversion"/>
  </si>
  <si>
    <t>Winding for L3</t>
    <phoneticPr fontId="2" type="noConversion"/>
  </si>
  <si>
    <t>Winding for L4</t>
    <phoneticPr fontId="2" type="noConversion"/>
  </si>
  <si>
    <t>Reverse voltage</t>
    <phoneticPr fontId="2" type="noConversion"/>
  </si>
  <si>
    <t>Voltage divider resistor (R1)</t>
    <phoneticPr fontId="2" type="noConversion"/>
  </si>
  <si>
    <t xml:space="preserve">㏀ </t>
    <phoneticPr fontId="2" type="noConversion"/>
  </si>
  <si>
    <t>For forward converter with RCD reset</t>
    <phoneticPr fontId="2" type="noConversion"/>
  </si>
  <si>
    <t>Nominal snubber capacitor voltage</t>
    <phoneticPr fontId="2" type="noConversion"/>
  </si>
  <si>
    <t>Output capacitance of MOSFET</t>
    <phoneticPr fontId="2" type="noConversion"/>
  </si>
  <si>
    <t>pF</t>
    <phoneticPr fontId="2" type="noConversion"/>
  </si>
  <si>
    <t>Snubber capacitor voltage ripple</t>
    <phoneticPr fontId="2" type="noConversion"/>
  </si>
  <si>
    <t>Power loss in the snubber resistor=</t>
    <phoneticPr fontId="2" type="noConversion"/>
  </si>
  <si>
    <t>Maximum voltage of reset diode=</t>
    <phoneticPr fontId="2" type="noConversion"/>
  </si>
  <si>
    <t>Reset diode rms current=</t>
    <phoneticPr fontId="2" type="noConversion"/>
  </si>
  <si>
    <t>Snubber resistor=</t>
    <phoneticPr fontId="2" type="noConversion"/>
  </si>
  <si>
    <t>KΩ</t>
    <phoneticPr fontId="2" type="noConversion"/>
  </si>
  <si>
    <t>--&gt;</t>
    <phoneticPr fontId="2" type="noConversion"/>
  </si>
  <si>
    <t>EER2834</t>
    <phoneticPr fontId="2" type="noConversion"/>
  </si>
  <si>
    <t>(Aw=145)</t>
    <phoneticPr fontId="2" type="noConversion"/>
  </si>
  <si>
    <t>--&gt;</t>
    <phoneticPr fontId="2" type="noConversion"/>
  </si>
  <si>
    <t>AP=12470</t>
    <phoneticPr fontId="2" type="noConversion"/>
  </si>
  <si>
    <t>Ae=86</t>
    <phoneticPr fontId="2" type="noConversion"/>
  </si>
  <si>
    <t>Aw=145</t>
    <phoneticPr fontId="2" type="noConversion"/>
  </si>
  <si>
    <t>EER2834(Aw=145)</t>
    <phoneticPr fontId="2" type="noConversion"/>
  </si>
  <si>
    <t>--&gt;UF4003</t>
    <phoneticPr fontId="2" type="noConversion"/>
  </si>
  <si>
    <t>--&gt;MBR3060PT</t>
    <phoneticPr fontId="2" type="noConversion"/>
  </si>
  <si>
    <t>--&gt;MBR3045PT</t>
    <phoneticPr fontId="2" type="noConversion"/>
  </si>
  <si>
    <t>--&gt;MBR20H100CT</t>
    <phoneticPr fontId="2" type="noConversion"/>
  </si>
  <si>
    <t>--&gt;UF4007</t>
    <phoneticPr fontId="2" type="noConversion"/>
  </si>
  <si>
    <t>Snubber capacitor voltage ripple</t>
    <phoneticPr fontId="2" type="noConversion"/>
  </si>
  <si>
    <t>FSDL0165RN</t>
    <phoneticPr fontId="26" type="noConversion"/>
  </si>
  <si>
    <t>A/R</t>
    <phoneticPr fontId="26" type="noConversion"/>
  </si>
  <si>
    <t>FSDM0265RN</t>
    <phoneticPr fontId="26" type="noConversion"/>
  </si>
  <si>
    <t>YES</t>
    <phoneticPr fontId="26" type="noConversion"/>
  </si>
  <si>
    <t>8DIP</t>
    <phoneticPr fontId="26" type="noConversion"/>
  </si>
  <si>
    <t>Auxiliary Power</t>
    <phoneticPr fontId="26" type="noConversion"/>
  </si>
  <si>
    <t>FSDL0365RN</t>
    <phoneticPr fontId="26" type="noConversion"/>
  </si>
  <si>
    <t>DVDP</t>
    <phoneticPr fontId="26" type="noConversion"/>
  </si>
  <si>
    <t>FSDM0565R</t>
    <phoneticPr fontId="26" type="noConversion"/>
  </si>
  <si>
    <t>CTV</t>
    <phoneticPr fontId="26" type="noConversion"/>
  </si>
  <si>
    <t>under development</t>
    <phoneticPr fontId="26" type="noConversion"/>
  </si>
</sst>
</file>

<file path=xl/styles.xml><?xml version="1.0" encoding="utf-8"?>
<styleSheet xmlns="http://schemas.openxmlformats.org/spreadsheetml/2006/main">
  <numFmts count="11">
    <numFmt numFmtId="184" formatCode="0.0_ "/>
    <numFmt numFmtId="185" formatCode="0_ "/>
    <numFmt numFmtId="186" formatCode="0.00_ "/>
    <numFmt numFmtId="192" formatCode="#,##0_ "/>
    <numFmt numFmtId="193" formatCode="0.0_);[Red]\(0.0\)"/>
    <numFmt numFmtId="200" formatCode="_ * #,##0_ ;_ * \-#,##0_ ;_ * &quot;-&quot;_ ;_ @_ "/>
    <numFmt numFmtId="201" formatCode="_ * #,##0.00_ ;_ * \-#,##0.00_ ;_ * &quot;-&quot;??_ ;_ @_ "/>
    <numFmt numFmtId="203" formatCode="0.0"/>
    <numFmt numFmtId="205" formatCode="000\-0000"/>
    <numFmt numFmtId="206" formatCode="0.00_);[Red]\(0.00\)"/>
    <numFmt numFmtId="207" formatCode="0.00000000_);[Red]\(0.00000000\)"/>
  </numFmts>
  <fonts count="4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60"/>
      <name val="돋움"/>
      <family val="3"/>
      <charset val="129"/>
    </font>
    <font>
      <b/>
      <u/>
      <sz val="11"/>
      <color indexed="60"/>
      <name val="돋움"/>
      <family val="3"/>
      <charset val="129"/>
    </font>
    <font>
      <sz val="11"/>
      <color indexed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1"/>
      <color indexed="12"/>
      <name val="돋움"/>
      <family val="3"/>
      <charset val="129"/>
    </font>
    <font>
      <vertAlign val="superscript"/>
      <sz val="11"/>
      <color indexed="12"/>
      <name val="돋움"/>
      <family val="3"/>
      <charset val="129"/>
    </font>
    <font>
      <b/>
      <vertAlign val="superscript"/>
      <sz val="11"/>
      <color indexed="60"/>
      <name val="돋움"/>
      <family val="3"/>
      <charset val="129"/>
    </font>
    <font>
      <u/>
      <sz val="11"/>
      <color indexed="8"/>
      <name val="돋움"/>
      <family val="3"/>
      <charset val="129"/>
    </font>
    <font>
      <b/>
      <sz val="11"/>
      <color indexed="9"/>
      <name val="돋움"/>
      <family val="3"/>
      <charset val="129"/>
    </font>
    <font>
      <b/>
      <sz val="9"/>
      <color indexed="81"/>
      <name val="굴림"/>
      <family val="3"/>
      <charset val="129"/>
    </font>
    <font>
      <b/>
      <i/>
      <sz val="14"/>
      <name val="Times New Roman"/>
      <family val="1"/>
    </font>
    <font>
      <b/>
      <sz val="11"/>
      <color indexed="10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vertAlign val="superscript"/>
      <sz val="11"/>
      <color indexed="12"/>
      <name val="돋움"/>
      <family val="3"/>
      <charset val="129"/>
    </font>
    <font>
      <b/>
      <sz val="11"/>
      <color indexed="8"/>
      <name val="돋움"/>
      <family val="3"/>
      <charset val="129"/>
    </font>
    <font>
      <vertAlign val="superscript"/>
      <sz val="11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name val="돋움"/>
      <family val="3"/>
      <charset val="129"/>
    </font>
    <font>
      <b/>
      <u/>
      <sz val="11"/>
      <color indexed="8"/>
      <name val="돋움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8"/>
      <name val="Arial"/>
      <family val="2"/>
    </font>
    <font>
      <sz val="11"/>
      <name val="Arial"/>
    </font>
    <font>
      <b/>
      <sz val="10"/>
      <name val="Helv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name val="돋움"/>
      <family val="3"/>
      <charset val="129"/>
    </font>
    <font>
      <b/>
      <sz val="11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i/>
      <sz val="11"/>
      <name val="Arial"/>
      <family val="2"/>
    </font>
    <font>
      <b/>
      <i/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25" fillId="0" borderId="0"/>
    <xf numFmtId="0" fontId="25" fillId="0" borderId="0"/>
    <xf numFmtId="0" fontId="29" fillId="0" borderId="0"/>
    <xf numFmtId="38" fontId="27" fillId="2" borderId="0" applyNumberFormat="0" applyBorder="0" applyAlignment="0" applyProtection="0"/>
    <xf numFmtId="0" fontId="30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10" fontId="27" fillId="2" borderId="3" applyNumberFormat="0" applyBorder="0" applyAlignment="0" applyProtection="0"/>
    <xf numFmtId="0" fontId="32" fillId="0" borderId="4"/>
    <xf numFmtId="205" fontId="23" fillId="0" borderId="0"/>
    <xf numFmtId="0" fontId="23" fillId="0" borderId="0"/>
    <xf numFmtId="10" fontId="26" fillId="0" borderId="0" applyFont="0" applyFill="0" applyBorder="0" applyAlignment="0" applyProtection="0"/>
    <xf numFmtId="0" fontId="33" fillId="0" borderId="0" applyNumberFormat="0" applyFont="0" applyFill="0" applyBorder="0" applyAlignment="0" applyProtection="0">
      <alignment horizontal="left"/>
    </xf>
    <xf numFmtId="0" fontId="33" fillId="3" borderId="0" applyNumberFormat="0" applyFont="0" applyBorder="0" applyAlignment="0" applyProtection="0"/>
    <xf numFmtId="0" fontId="32" fillId="0" borderId="0"/>
    <xf numFmtId="200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0" fontId="27" fillId="0" borderId="0"/>
  </cellStyleXfs>
  <cellXfs count="318">
    <xf numFmtId="0" fontId="0" fillId="0" borderId="0" xfId="0"/>
    <xf numFmtId="0" fontId="13" fillId="8" borderId="0" xfId="0" applyFont="1" applyFill="1" applyAlignment="1">
      <alignment horizontal="center" vertical="center"/>
    </xf>
    <xf numFmtId="0" fontId="0" fillId="0" borderId="0" xfId="0" quotePrefix="1"/>
    <xf numFmtId="0" fontId="5" fillId="0" borderId="0" xfId="0" applyFont="1"/>
    <xf numFmtId="0" fontId="0" fillId="0" borderId="0" xfId="0" applyProtection="1">
      <protection hidden="1"/>
    </xf>
    <xf numFmtId="0" fontId="3" fillId="4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6" fillId="5" borderId="0" xfId="0" applyFont="1" applyFill="1"/>
    <xf numFmtId="0" fontId="6" fillId="0" borderId="0" xfId="0" applyFont="1"/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/>
    <xf numFmtId="0" fontId="9" fillId="0" borderId="0" xfId="0" applyFont="1"/>
    <xf numFmtId="184" fontId="6" fillId="5" borderId="0" xfId="0" applyNumberFormat="1" applyFont="1" applyFill="1"/>
    <xf numFmtId="185" fontId="6" fillId="5" borderId="0" xfId="0" applyNumberFormat="1" applyFont="1" applyFill="1"/>
    <xf numFmtId="0" fontId="7" fillId="0" borderId="0" xfId="0" applyFont="1"/>
    <xf numFmtId="0" fontId="5" fillId="5" borderId="0" xfId="0" applyFont="1" applyFill="1"/>
    <xf numFmtId="0" fontId="13" fillId="6" borderId="0" xfId="0" applyFont="1" applyFill="1" applyAlignment="1" applyProtection="1">
      <protection hidden="1"/>
    </xf>
    <xf numFmtId="0" fontId="13" fillId="6" borderId="0" xfId="0" applyFont="1" applyFill="1" applyAlignment="1"/>
    <xf numFmtId="0" fontId="0" fillId="0" borderId="0" xfId="0" applyAlignment="1" applyProtection="1">
      <protection hidden="1"/>
    </xf>
    <xf numFmtId="0" fontId="8" fillId="0" borderId="0" xfId="0" applyFont="1" applyFill="1"/>
    <xf numFmtId="0" fontId="8" fillId="4" borderId="0" xfId="0" applyFont="1" applyFill="1" applyProtection="1">
      <protection locked="0"/>
    </xf>
    <xf numFmtId="0" fontId="0" fillId="0" borderId="0" xfId="0" applyFill="1"/>
    <xf numFmtId="0" fontId="0" fillId="6" borderId="0" xfId="0" applyFill="1" applyAlignment="1"/>
    <xf numFmtId="0" fontId="12" fillId="4" borderId="0" xfId="0" applyFont="1" applyFill="1" applyProtection="1">
      <protection locked="0"/>
    </xf>
    <xf numFmtId="0" fontId="0" fillId="7" borderId="0" xfId="0" applyFill="1" applyAlignment="1"/>
    <xf numFmtId="0" fontId="13" fillId="8" borderId="0" xfId="0" applyFont="1" applyFill="1" applyAlignment="1"/>
    <xf numFmtId="0" fontId="8" fillId="0" borderId="0" xfId="0" quotePrefix="1" applyFont="1" applyFill="1" applyProtection="1">
      <protection locked="0"/>
    </xf>
    <xf numFmtId="0" fontId="6" fillId="9" borderId="0" xfId="0" applyFont="1" applyFill="1"/>
    <xf numFmtId="0" fontId="8" fillId="4" borderId="0" xfId="0" applyFont="1" applyFill="1" applyAlignment="1" applyProtection="1">
      <protection locked="0"/>
    </xf>
    <xf numFmtId="0" fontId="16" fillId="0" borderId="0" xfId="0" applyFont="1" applyAlignment="1"/>
    <xf numFmtId="186" fontId="5" fillId="5" borderId="0" xfId="0" applyNumberFormat="1" applyFont="1" applyFill="1" applyAlignment="1"/>
    <xf numFmtId="0" fontId="4" fillId="9" borderId="0" xfId="0" applyFont="1" applyFill="1" applyAlignment="1"/>
    <xf numFmtId="0" fontId="18" fillId="7" borderId="0" xfId="0" applyFont="1" applyFill="1" applyAlignment="1"/>
    <xf numFmtId="0" fontId="5" fillId="0" borderId="0" xfId="0" applyFont="1" applyAlignment="1"/>
    <xf numFmtId="0" fontId="9" fillId="0" borderId="0" xfId="0" applyFont="1" applyAlignment="1"/>
    <xf numFmtId="0" fontId="0" fillId="0" borderId="0" xfId="0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 applyFill="1" applyAlignment="1" applyProtection="1">
      <protection locked="0"/>
    </xf>
    <xf numFmtId="0" fontId="9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0" fontId="8" fillId="0" borderId="0" xfId="0" applyFont="1" applyFill="1" applyProtection="1">
      <protection locked="0"/>
    </xf>
    <xf numFmtId="0" fontId="18" fillId="9" borderId="0" xfId="0" applyFont="1" applyFill="1" applyAlignment="1"/>
    <xf numFmtId="0" fontId="13" fillId="9" borderId="0" xfId="0" applyFont="1" applyFill="1" applyAlignment="1"/>
    <xf numFmtId="0" fontId="18" fillId="8" borderId="0" xfId="0" applyFont="1" applyFill="1" applyAlignment="1"/>
    <xf numFmtId="0" fontId="20" fillId="9" borderId="0" xfId="0" applyFont="1" applyFill="1" applyAlignment="1"/>
    <xf numFmtId="0" fontId="1" fillId="0" borderId="0" xfId="0" applyFont="1"/>
    <xf numFmtId="0" fontId="0" fillId="0" borderId="0" xfId="0" applyNumberFormat="1"/>
    <xf numFmtId="186" fontId="6" fillId="5" borderId="0" xfId="0" applyNumberFormat="1" applyFont="1" applyFill="1"/>
    <xf numFmtId="186" fontId="8" fillId="4" borderId="0" xfId="0" applyNumberFormat="1" applyFont="1" applyFill="1" applyProtection="1">
      <protection locked="0"/>
    </xf>
    <xf numFmtId="184" fontId="5" fillId="5" borderId="0" xfId="0" applyNumberFormat="1" applyFont="1" applyFill="1" applyAlignment="1"/>
    <xf numFmtId="192" fontId="0" fillId="0" borderId="0" xfId="0" applyNumberFormat="1" applyFill="1" applyAlignment="1"/>
    <xf numFmtId="0" fontId="0" fillId="0" borderId="0" xfId="0" applyNumberFormat="1" applyAlignment="1"/>
    <xf numFmtId="0" fontId="0" fillId="0" borderId="0" xfId="0" applyNumberFormat="1" applyFill="1" applyAlignment="1"/>
    <xf numFmtId="0" fontId="22" fillId="0" borderId="0" xfId="0" applyFont="1"/>
    <xf numFmtId="0" fontId="22" fillId="0" borderId="0" xfId="0" applyFont="1" applyFill="1"/>
    <xf numFmtId="0" fontId="9" fillId="0" borderId="0" xfId="0" applyFont="1" applyFill="1"/>
    <xf numFmtId="192" fontId="6" fillId="5" borderId="0" xfId="0" applyNumberFormat="1" applyFont="1" applyFill="1" applyAlignment="1">
      <alignment horizontal="right"/>
    </xf>
    <xf numFmtId="184" fontId="0" fillId="0" borderId="0" xfId="0" applyNumberFormat="1" applyAlignment="1"/>
    <xf numFmtId="0" fontId="0" fillId="0" borderId="0" xfId="0" applyAlignment="1"/>
    <xf numFmtId="192" fontId="6" fillId="5" borderId="0" xfId="0" applyNumberFormat="1" applyFont="1" applyFill="1" applyAlignment="1"/>
    <xf numFmtId="185" fontId="6" fillId="5" borderId="0" xfId="0" applyNumberFormat="1" applyFont="1" applyFill="1" applyAlignment="1"/>
    <xf numFmtId="185" fontId="0" fillId="0" borderId="0" xfId="0" applyNumberFormat="1" applyAlignment="1"/>
    <xf numFmtId="184" fontId="23" fillId="0" borderId="0" xfId="0" applyNumberFormat="1" applyFont="1" applyAlignment="1"/>
    <xf numFmtId="193" fontId="7" fillId="0" borderId="0" xfId="0" applyNumberFormat="1" applyFont="1" applyFill="1" applyAlignment="1"/>
    <xf numFmtId="193" fontId="24" fillId="0" borderId="0" xfId="0" applyNumberFormat="1" applyFont="1" applyFill="1" applyAlignment="1"/>
    <xf numFmtId="193" fontId="7" fillId="0" borderId="0" xfId="0" applyNumberFormat="1" applyFont="1" applyAlignment="1"/>
    <xf numFmtId="0" fontId="7" fillId="0" borderId="0" xfId="0" applyNumberFormat="1" applyFont="1" applyAlignment="1"/>
    <xf numFmtId="0" fontId="7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Protection="1"/>
    <xf numFmtId="0" fontId="0" fillId="0" borderId="0" xfId="0" applyFill="1" applyProtection="1"/>
    <xf numFmtId="0" fontId="9" fillId="0" borderId="0" xfId="0" applyFont="1" applyFill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9" fillId="0" borderId="0" xfId="0" applyFont="1" applyProtection="1"/>
    <xf numFmtId="0" fontId="22" fillId="0" borderId="0" xfId="0" applyFont="1" applyFill="1" applyProtection="1"/>
    <xf numFmtId="0" fontId="22" fillId="0" borderId="0" xfId="0" applyFont="1" applyProtection="1"/>
    <xf numFmtId="0" fontId="18" fillId="0" borderId="0" xfId="0" applyFont="1" applyFill="1" applyAlignment="1" applyProtection="1"/>
    <xf numFmtId="185" fontId="6" fillId="5" borderId="0" xfId="0" applyNumberFormat="1" applyFont="1" applyFill="1" applyAlignment="1" applyProtection="1">
      <protection locked="0"/>
    </xf>
    <xf numFmtId="0" fontId="26" fillId="2" borderId="0" xfId="11" applyFont="1" applyFill="1" applyAlignment="1">
      <alignment vertical="center"/>
    </xf>
    <xf numFmtId="0" fontId="37" fillId="2" borderId="5" xfId="11" applyFont="1" applyFill="1" applyBorder="1" applyAlignment="1">
      <alignment horizontal="center" vertical="center"/>
    </xf>
    <xf numFmtId="0" fontId="26" fillId="2" borderId="6" xfId="11" applyFont="1" applyFill="1" applyBorder="1" applyAlignment="1">
      <alignment horizontal="center" vertical="center"/>
    </xf>
    <xf numFmtId="0" fontId="26" fillId="2" borderId="7" xfId="11" applyFont="1" applyFill="1" applyBorder="1" applyAlignment="1">
      <alignment horizontal="center" vertical="center"/>
    </xf>
    <xf numFmtId="0" fontId="36" fillId="2" borderId="8" xfId="11" applyFont="1" applyFill="1" applyBorder="1" applyAlignment="1">
      <alignment horizontal="left" vertical="center"/>
    </xf>
    <xf numFmtId="0" fontId="26" fillId="2" borderId="9" xfId="11" applyFont="1" applyFill="1" applyBorder="1" applyAlignment="1">
      <alignment horizontal="center" vertical="center"/>
    </xf>
    <xf numFmtId="0" fontId="26" fillId="10" borderId="10" xfId="11" applyFont="1" applyFill="1" applyBorder="1" applyAlignment="1">
      <alignment horizontal="center" vertical="center" wrapText="1"/>
    </xf>
    <xf numFmtId="0" fontId="36" fillId="2" borderId="11" xfId="11" applyFont="1" applyFill="1" applyBorder="1" applyAlignment="1">
      <alignment horizontal="left" vertical="center"/>
    </xf>
    <xf numFmtId="0" fontId="28" fillId="2" borderId="0" xfId="11" applyFont="1" applyFill="1" applyBorder="1" applyAlignment="1">
      <alignment horizontal="center" vertical="center"/>
    </xf>
    <xf numFmtId="0" fontId="28" fillId="2" borderId="8" xfId="11" applyFont="1" applyFill="1" applyBorder="1" applyAlignment="1">
      <alignment horizontal="center" vertical="center"/>
    </xf>
    <xf numFmtId="0" fontId="28" fillId="2" borderId="0" xfId="11" applyFont="1" applyFill="1" applyAlignment="1">
      <alignment vertical="center"/>
    </xf>
    <xf numFmtId="0" fontId="26" fillId="10" borderId="12" xfId="11" applyFont="1" applyFill="1" applyBorder="1" applyAlignment="1">
      <alignment horizontal="left" vertical="center"/>
    </xf>
    <xf numFmtId="0" fontId="34" fillId="10" borderId="12" xfId="11" applyFont="1" applyFill="1" applyBorder="1" applyAlignment="1">
      <alignment horizontal="left" vertical="center"/>
    </xf>
    <xf numFmtId="0" fontId="26" fillId="2" borderId="12" xfId="11" applyFont="1" applyFill="1" applyBorder="1" applyAlignment="1">
      <alignment horizontal="center" vertical="center"/>
    </xf>
    <xf numFmtId="0" fontId="26" fillId="2" borderId="13" xfId="11" applyFont="1" applyFill="1" applyBorder="1" applyAlignment="1">
      <alignment horizontal="center" vertical="center"/>
    </xf>
    <xf numFmtId="203" fontId="26" fillId="2" borderId="12" xfId="11" applyNumberFormat="1" applyFont="1" applyFill="1" applyBorder="1" applyAlignment="1">
      <alignment horizontal="center" vertical="center"/>
    </xf>
    <xf numFmtId="0" fontId="26" fillId="2" borderId="12" xfId="11" applyFont="1" applyFill="1" applyBorder="1" applyAlignment="1">
      <alignment horizontal="center" vertical="center" wrapText="1"/>
    </xf>
    <xf numFmtId="0" fontId="26" fillId="2" borderId="6" xfId="11" applyFont="1" applyFill="1" applyBorder="1" applyAlignment="1">
      <alignment vertical="center"/>
    </xf>
    <xf numFmtId="0" fontId="26" fillId="2" borderId="11" xfId="11" applyFont="1" applyFill="1" applyBorder="1" applyAlignment="1">
      <alignment horizontal="center" vertical="center"/>
    </xf>
    <xf numFmtId="0" fontId="26" fillId="2" borderId="10" xfId="11" applyFont="1" applyFill="1" applyBorder="1" applyAlignment="1">
      <alignment horizontal="center" vertical="center" wrapText="1"/>
    </xf>
    <xf numFmtId="0" fontId="26" fillId="2" borderId="14" xfId="11" applyFont="1" applyFill="1" applyBorder="1" applyAlignment="1">
      <alignment horizontal="center" vertical="center" wrapText="1"/>
    </xf>
    <xf numFmtId="0" fontId="26" fillId="2" borderId="9" xfId="11" applyFont="1" applyFill="1" applyBorder="1" applyAlignment="1">
      <alignment vertical="center"/>
    </xf>
    <xf numFmtId="0" fontId="26" fillId="2" borderId="10" xfId="11" applyFont="1" applyFill="1" applyBorder="1" applyAlignment="1">
      <alignment horizontal="center" vertical="center"/>
    </xf>
    <xf numFmtId="0" fontId="26" fillId="10" borderId="14" xfId="11" applyFont="1" applyFill="1" applyBorder="1" applyAlignment="1">
      <alignment horizontal="left" vertical="center"/>
    </xf>
    <xf numFmtId="0" fontId="34" fillId="10" borderId="14" xfId="11" applyFont="1" applyFill="1" applyBorder="1" applyAlignment="1">
      <alignment horizontal="left" vertical="center"/>
    </xf>
    <xf numFmtId="0" fontId="26" fillId="2" borderId="14" xfId="11" applyFont="1" applyFill="1" applyBorder="1" applyAlignment="1">
      <alignment horizontal="center" vertical="center"/>
    </xf>
    <xf numFmtId="0" fontId="37" fillId="2" borderId="7" xfId="11" applyFont="1" applyFill="1" applyBorder="1" applyAlignment="1">
      <alignment horizontal="center" vertical="center"/>
    </xf>
    <xf numFmtId="0" fontId="37" fillId="2" borderId="12" xfId="11" applyFont="1" applyFill="1" applyBorder="1" applyAlignment="1">
      <alignment horizontal="center" vertical="center"/>
    </xf>
    <xf numFmtId="203" fontId="26" fillId="2" borderId="14" xfId="11" applyNumberFormat="1" applyFont="1" applyFill="1" applyBorder="1" applyAlignment="1">
      <alignment horizontal="center" vertical="center"/>
    </xf>
    <xf numFmtId="0" fontId="26" fillId="10" borderId="5" xfId="11" applyFont="1" applyFill="1" applyBorder="1" applyAlignment="1">
      <alignment horizontal="left" vertical="center"/>
    </xf>
    <xf numFmtId="0" fontId="34" fillId="10" borderId="5" xfId="11" applyFont="1" applyFill="1" applyBorder="1" applyAlignment="1">
      <alignment horizontal="left" vertical="center"/>
    </xf>
    <xf numFmtId="0" fontId="26" fillId="2" borderId="5" xfId="11" applyFont="1" applyFill="1" applyBorder="1" applyAlignment="1">
      <alignment horizontal="center" vertical="center"/>
    </xf>
    <xf numFmtId="203" fontId="26" fillId="2" borderId="5" xfId="11" applyNumberFormat="1" applyFont="1" applyFill="1" applyBorder="1" applyAlignment="1">
      <alignment horizontal="center" vertical="center"/>
    </xf>
    <xf numFmtId="0" fontId="37" fillId="10" borderId="14" xfId="11" applyFont="1" applyFill="1" applyBorder="1" applyAlignment="1">
      <alignment horizontal="left" vertical="center"/>
    </xf>
    <xf numFmtId="0" fontId="38" fillId="10" borderId="14" xfId="11" applyFont="1" applyFill="1" applyBorder="1" applyAlignment="1">
      <alignment horizontal="left" vertical="center"/>
    </xf>
    <xf numFmtId="0" fontId="37" fillId="2" borderId="14" xfId="11" applyFont="1" applyFill="1" applyBorder="1" applyAlignment="1">
      <alignment horizontal="center" vertical="center"/>
    </xf>
    <xf numFmtId="203" fontId="37" fillId="2" borderId="14" xfId="11" applyNumberFormat="1" applyFont="1" applyFill="1" applyBorder="1" applyAlignment="1">
      <alignment horizontal="center" vertical="center"/>
    </xf>
    <xf numFmtId="0" fontId="37" fillId="2" borderId="0" xfId="11" applyFont="1" applyFill="1" applyAlignment="1">
      <alignment vertical="center"/>
    </xf>
    <xf numFmtId="0" fontId="26" fillId="2" borderId="10" xfId="11" applyFont="1" applyFill="1" applyBorder="1" applyAlignment="1">
      <alignment vertical="center"/>
    </xf>
    <xf numFmtId="0" fontId="26" fillId="2" borderId="5" xfId="11" applyFont="1" applyFill="1" applyBorder="1" applyAlignment="1">
      <alignment vertical="center"/>
    </xf>
    <xf numFmtId="0" fontId="28" fillId="2" borderId="8" xfId="11" applyFont="1" applyFill="1" applyBorder="1" applyAlignment="1">
      <alignment vertical="center"/>
    </xf>
    <xf numFmtId="0" fontId="26" fillId="2" borderId="8" xfId="11" applyFont="1" applyFill="1" applyBorder="1" applyAlignment="1">
      <alignment horizontal="center" vertical="center"/>
    </xf>
    <xf numFmtId="0" fontId="28" fillId="2" borderId="11" xfId="11" applyFont="1" applyFill="1" applyBorder="1" applyAlignment="1">
      <alignment horizontal="center" vertical="center"/>
    </xf>
    <xf numFmtId="0" fontId="28" fillId="2" borderId="8" xfId="11" applyFont="1" applyFill="1" applyBorder="1" applyAlignment="1">
      <alignment horizontal="right" vertical="center"/>
    </xf>
    <xf numFmtId="0" fontId="26" fillId="2" borderId="12" xfId="11" applyFont="1" applyFill="1" applyBorder="1" applyAlignment="1">
      <alignment vertical="center"/>
    </xf>
    <xf numFmtId="0" fontId="26" fillId="2" borderId="14" xfId="11" applyFont="1" applyFill="1" applyBorder="1" applyAlignment="1">
      <alignment vertical="center"/>
    </xf>
    <xf numFmtId="0" fontId="26" fillId="10" borderId="10" xfId="11" applyFont="1" applyFill="1" applyBorder="1" applyAlignment="1">
      <alignment horizontal="left" vertical="center"/>
    </xf>
    <xf numFmtId="0" fontId="37" fillId="2" borderId="12" xfId="11" applyFont="1" applyFill="1" applyBorder="1" applyAlignment="1">
      <alignment horizontal="left" vertical="center"/>
    </xf>
    <xf numFmtId="0" fontId="37" fillId="2" borderId="6" xfId="11" applyFont="1" applyFill="1" applyBorder="1" applyAlignment="1">
      <alignment horizontal="center" vertical="center"/>
    </xf>
    <xf numFmtId="0" fontId="34" fillId="10" borderId="10" xfId="11" applyFont="1" applyFill="1" applyBorder="1" applyAlignment="1">
      <alignment horizontal="left" vertical="center"/>
    </xf>
    <xf numFmtId="0" fontId="28" fillId="2" borderId="13" xfId="11" applyFont="1" applyFill="1" applyBorder="1" applyAlignment="1">
      <alignment vertical="center"/>
    </xf>
    <xf numFmtId="0" fontId="28" fillId="2" borderId="6" xfId="11" applyFont="1" applyFill="1" applyBorder="1" applyAlignment="1">
      <alignment horizontal="center" vertical="center"/>
    </xf>
    <xf numFmtId="0" fontId="28" fillId="2" borderId="13" xfId="11" applyFont="1" applyFill="1" applyBorder="1" applyAlignment="1">
      <alignment horizontal="center" vertical="center"/>
    </xf>
    <xf numFmtId="0" fontId="28" fillId="2" borderId="13" xfId="11" applyFont="1" applyFill="1" applyBorder="1" applyAlignment="1">
      <alignment horizontal="right" vertical="center"/>
    </xf>
    <xf numFmtId="0" fontId="26" fillId="2" borderId="12" xfId="11" applyFont="1" applyFill="1" applyBorder="1" applyAlignment="1">
      <alignment horizontal="left" vertical="center" indent="1"/>
    </xf>
    <xf numFmtId="14" fontId="23" fillId="2" borderId="0" xfId="11" applyNumberFormat="1" applyFill="1"/>
    <xf numFmtId="0" fontId="39" fillId="10" borderId="14" xfId="11" applyFont="1" applyFill="1" applyBorder="1" applyAlignment="1">
      <alignment horizontal="left" vertical="center"/>
    </xf>
    <xf numFmtId="0" fontId="40" fillId="10" borderId="14" xfId="11" applyFont="1" applyFill="1" applyBorder="1" applyAlignment="1">
      <alignment horizontal="left" vertical="center"/>
    </xf>
    <xf numFmtId="0" fontId="39" fillId="2" borderId="14" xfId="11" applyFont="1" applyFill="1" applyBorder="1" applyAlignment="1">
      <alignment horizontal="center" vertical="center"/>
    </xf>
    <xf numFmtId="0" fontId="39" fillId="2" borderId="0" xfId="11" applyFont="1" applyFill="1" applyAlignment="1">
      <alignment vertical="center"/>
    </xf>
    <xf numFmtId="0" fontId="26" fillId="2" borderId="14" xfId="11" applyFont="1" applyFill="1" applyBorder="1" applyAlignment="1">
      <alignment horizontal="left" vertical="center" indent="1"/>
    </xf>
    <xf numFmtId="14" fontId="37" fillId="2" borderId="0" xfId="11" applyNumberFormat="1" applyFont="1" applyFill="1"/>
    <xf numFmtId="2" fontId="37" fillId="2" borderId="14" xfId="11" applyNumberFormat="1" applyFont="1" applyFill="1" applyBorder="1" applyAlignment="1">
      <alignment horizontal="center" vertical="center"/>
    </xf>
    <xf numFmtId="0" fontId="37" fillId="2" borderId="9" xfId="11" applyFont="1" applyFill="1" applyBorder="1" applyAlignment="1">
      <alignment horizontal="center" vertical="center"/>
    </xf>
    <xf numFmtId="0" fontId="37" fillId="2" borderId="14" xfId="11" applyFont="1" applyFill="1" applyBorder="1" applyAlignment="1">
      <alignment vertical="center"/>
    </xf>
    <xf numFmtId="0" fontId="37" fillId="10" borderId="12" xfId="11" applyFont="1" applyFill="1" applyBorder="1" applyAlignment="1">
      <alignment horizontal="left" vertical="center"/>
    </xf>
    <xf numFmtId="0" fontId="38" fillId="10" borderId="12" xfId="11" applyFont="1" applyFill="1" applyBorder="1" applyAlignment="1">
      <alignment horizontal="left" vertical="center"/>
    </xf>
    <xf numFmtId="203" fontId="37" fillId="2" borderId="12" xfId="11" applyNumberFormat="1" applyFont="1" applyFill="1" applyBorder="1" applyAlignment="1">
      <alignment horizontal="center" vertical="center"/>
    </xf>
    <xf numFmtId="0" fontId="37" fillId="2" borderId="6" xfId="11" applyFont="1" applyFill="1" applyBorder="1" applyAlignment="1">
      <alignment horizontal="center" vertical="center" wrapText="1"/>
    </xf>
    <xf numFmtId="0" fontId="26" fillId="2" borderId="9" xfId="11" applyFont="1" applyFill="1" applyBorder="1" applyAlignment="1">
      <alignment horizontal="center" vertical="center" wrapText="1"/>
    </xf>
    <xf numFmtId="203" fontId="39" fillId="2" borderId="14" xfId="11" applyNumberFormat="1" applyFont="1" applyFill="1" applyBorder="1" applyAlignment="1">
      <alignment horizontal="center" vertical="center"/>
    </xf>
    <xf numFmtId="0" fontId="39" fillId="2" borderId="9" xfId="11" applyFont="1" applyFill="1" applyBorder="1" applyAlignment="1">
      <alignment horizontal="center" vertical="center" wrapText="1"/>
    </xf>
    <xf numFmtId="0" fontId="39" fillId="10" borderId="5" xfId="11" applyFont="1" applyFill="1" applyBorder="1" applyAlignment="1">
      <alignment horizontal="left" vertical="center"/>
    </xf>
    <xf numFmtId="0" fontId="40" fillId="10" borderId="5" xfId="11" applyFont="1" applyFill="1" applyBorder="1" applyAlignment="1">
      <alignment horizontal="left" vertical="center"/>
    </xf>
    <xf numFmtId="0" fontId="39" fillId="2" borderId="5" xfId="11" applyFont="1" applyFill="1" applyBorder="1" applyAlignment="1">
      <alignment horizontal="center" vertical="center"/>
    </xf>
    <xf numFmtId="203" fontId="39" fillId="2" borderId="5" xfId="11" applyNumberFormat="1" applyFont="1" applyFill="1" applyBorder="1" applyAlignment="1">
      <alignment horizontal="center" vertical="center"/>
    </xf>
    <xf numFmtId="0" fontId="39" fillId="2" borderId="7" xfId="11" applyFont="1" applyFill="1" applyBorder="1" applyAlignment="1">
      <alignment horizontal="center" vertical="center" wrapText="1"/>
    </xf>
    <xf numFmtId="0" fontId="28" fillId="2" borderId="15" xfId="11" applyFont="1" applyFill="1" applyBorder="1" applyAlignment="1">
      <alignment vertical="center"/>
    </xf>
    <xf numFmtId="0" fontId="26" fillId="2" borderId="15" xfId="11" applyFont="1" applyFill="1" applyBorder="1" applyAlignment="1">
      <alignment horizontal="center" vertical="center"/>
    </xf>
    <xf numFmtId="0" fontId="28" fillId="2" borderId="7" xfId="11" applyFont="1" applyFill="1" applyBorder="1" applyAlignment="1">
      <alignment horizontal="center" vertical="center"/>
    </xf>
    <xf numFmtId="0" fontId="28" fillId="2" borderId="15" xfId="11" applyFont="1" applyFill="1" applyBorder="1" applyAlignment="1">
      <alignment horizontal="center" vertical="center"/>
    </xf>
    <xf numFmtId="0" fontId="28" fillId="2" borderId="15" xfId="11" applyFont="1" applyFill="1" applyBorder="1" applyAlignment="1">
      <alignment horizontal="right" vertical="center"/>
    </xf>
    <xf numFmtId="184" fontId="37" fillId="2" borderId="12" xfId="11" applyNumberFormat="1" applyFont="1" applyFill="1" applyBorder="1" applyAlignment="1">
      <alignment horizontal="center" vertical="center"/>
    </xf>
    <xf numFmtId="0" fontId="41" fillId="2" borderId="0" xfId="11" applyFont="1" applyFill="1" applyAlignment="1">
      <alignment vertical="center"/>
    </xf>
    <xf numFmtId="0" fontId="37" fillId="10" borderId="5" xfId="11" applyFont="1" applyFill="1" applyBorder="1" applyAlignment="1">
      <alignment horizontal="left" vertical="center"/>
    </xf>
    <xf numFmtId="0" fontId="38" fillId="10" borderId="5" xfId="11" applyFont="1" applyFill="1" applyBorder="1" applyAlignment="1">
      <alignment horizontal="left" vertical="center"/>
    </xf>
    <xf numFmtId="184" fontId="37" fillId="2" borderId="5" xfId="11" applyNumberFormat="1" applyFont="1" applyFill="1" applyBorder="1" applyAlignment="1">
      <alignment horizontal="center" vertical="center"/>
    </xf>
    <xf numFmtId="0" fontId="39" fillId="10" borderId="12" xfId="11" applyFont="1" applyFill="1" applyBorder="1" applyAlignment="1">
      <alignment horizontal="left" vertical="center"/>
    </xf>
    <xf numFmtId="0" fontId="40" fillId="10" borderId="12" xfId="11" applyFont="1" applyFill="1" applyBorder="1" applyAlignment="1">
      <alignment horizontal="left" vertical="center"/>
    </xf>
    <xf numFmtId="0" fontId="39" fillId="2" borderId="12" xfId="11" applyFont="1" applyFill="1" applyBorder="1" applyAlignment="1">
      <alignment horizontal="center" vertical="center"/>
    </xf>
    <xf numFmtId="203" fontId="39" fillId="2" borderId="12" xfId="11" applyNumberFormat="1" applyFont="1" applyFill="1" applyBorder="1" applyAlignment="1">
      <alignment horizontal="center" vertical="center"/>
    </xf>
    <xf numFmtId="0" fontId="39" fillId="2" borderId="6" xfId="11" applyFont="1" applyFill="1" applyBorder="1" applyAlignment="1">
      <alignment horizontal="center" vertical="center"/>
    </xf>
    <xf numFmtId="0" fontId="37" fillId="2" borderId="12" xfId="11" applyFont="1" applyFill="1" applyBorder="1" applyAlignment="1">
      <alignment horizontal="center" vertical="center" wrapText="1"/>
    </xf>
    <xf numFmtId="203" fontId="37" fillId="2" borderId="5" xfId="11" applyNumberFormat="1" applyFont="1" applyFill="1" applyBorder="1" applyAlignment="1">
      <alignment horizontal="center" vertical="center"/>
    </xf>
    <xf numFmtId="0" fontId="37" fillId="2" borderId="14" xfId="11" applyFont="1" applyFill="1" applyBorder="1" applyAlignment="1">
      <alignment horizontal="center" vertical="center" wrapText="1"/>
    </xf>
    <xf numFmtId="0" fontId="37" fillId="2" borderId="14" xfId="11" applyFont="1" applyFill="1" applyBorder="1" applyAlignment="1">
      <alignment horizontal="left" vertical="center"/>
    </xf>
    <xf numFmtId="0" fontId="39" fillId="2" borderId="9" xfId="11" applyFont="1" applyFill="1" applyBorder="1" applyAlignment="1">
      <alignment horizontal="center" vertical="center"/>
    </xf>
    <xf numFmtId="0" fontId="39" fillId="2" borderId="14" xfId="11" applyFont="1" applyFill="1" applyBorder="1" applyAlignment="1">
      <alignment horizontal="center" vertical="center" wrapText="1"/>
    </xf>
    <xf numFmtId="0" fontId="39" fillId="2" borderId="14" xfId="11" applyFont="1" applyFill="1" applyBorder="1" applyAlignment="1">
      <alignment horizontal="left" vertical="center"/>
    </xf>
    <xf numFmtId="0" fontId="37" fillId="2" borderId="16" xfId="11" applyFont="1" applyFill="1" applyBorder="1" applyAlignment="1">
      <alignment horizontal="center" vertical="center"/>
    </xf>
    <xf numFmtId="49" fontId="37" fillId="2" borderId="6" xfId="11" applyNumberFormat="1" applyFont="1" applyFill="1" applyBorder="1" applyAlignment="1">
      <alignment horizontal="center" vertical="center"/>
    </xf>
    <xf numFmtId="0" fontId="39" fillId="2" borderId="17" xfId="11" applyFont="1" applyFill="1" applyBorder="1" applyAlignment="1">
      <alignment horizontal="center" vertical="center"/>
    </xf>
    <xf numFmtId="0" fontId="39" fillId="2" borderId="7" xfId="11" applyFont="1" applyFill="1" applyBorder="1" applyAlignment="1">
      <alignment horizontal="center" vertical="center"/>
    </xf>
    <xf numFmtId="0" fontId="39" fillId="2" borderId="5" xfId="11" applyFont="1" applyFill="1" applyBorder="1" applyAlignment="1">
      <alignment horizontal="center" vertical="center" wrapText="1"/>
    </xf>
    <xf numFmtId="0" fontId="39" fillId="2" borderId="5" xfId="11" applyFont="1" applyFill="1" applyBorder="1" applyAlignment="1">
      <alignment horizontal="left" vertical="center"/>
    </xf>
    <xf numFmtId="0" fontId="39" fillId="2" borderId="12" xfId="11" applyFont="1" applyFill="1" applyBorder="1" applyAlignment="1">
      <alignment horizontal="center" vertical="center" wrapText="1"/>
    </xf>
    <xf numFmtId="0" fontId="39" fillId="2" borderId="12" xfId="11" applyFont="1" applyFill="1" applyBorder="1" applyAlignment="1">
      <alignment horizontal="left" vertical="center"/>
    </xf>
    <xf numFmtId="0" fontId="39" fillId="10" borderId="10" xfId="11" applyFont="1" applyFill="1" applyBorder="1" applyAlignment="1">
      <alignment horizontal="left" vertical="center"/>
    </xf>
    <xf numFmtId="0" fontId="40" fillId="10" borderId="10" xfId="11" applyFont="1" applyFill="1" applyBorder="1" applyAlignment="1">
      <alignment horizontal="left" vertical="center"/>
    </xf>
    <xf numFmtId="0" fontId="39" fillId="2" borderId="10" xfId="11" applyFont="1" applyFill="1" applyBorder="1" applyAlignment="1">
      <alignment horizontal="center" vertical="center"/>
    </xf>
    <xf numFmtId="0" fontId="39" fillId="2" borderId="11" xfId="11" applyFont="1" applyFill="1" applyBorder="1" applyAlignment="1">
      <alignment horizontal="center" vertical="center"/>
    </xf>
    <xf numFmtId="0" fontId="39" fillId="2" borderId="10" xfId="11" applyFont="1" applyFill="1" applyBorder="1" applyAlignment="1">
      <alignment horizontal="center" vertical="center" wrapText="1"/>
    </xf>
    <xf numFmtId="0" fontId="39" fillId="2" borderId="10" xfId="11" applyFont="1" applyFill="1" applyBorder="1" applyAlignment="1">
      <alignment horizontal="left" vertical="center"/>
    </xf>
    <xf numFmtId="203" fontId="39" fillId="2" borderId="10" xfId="11" applyNumberFormat="1" applyFont="1" applyFill="1" applyBorder="1" applyAlignment="1">
      <alignment horizontal="center" vertical="center"/>
    </xf>
    <xf numFmtId="0" fontId="41" fillId="2" borderId="0" xfId="11" applyFont="1" applyFill="1" applyBorder="1" applyAlignment="1">
      <alignment horizontal="left" vertical="center" indent="1"/>
    </xf>
    <xf numFmtId="0" fontId="42" fillId="2" borderId="0" xfId="11" applyFont="1" applyFill="1" applyBorder="1" applyAlignment="1">
      <alignment horizontal="left" vertical="center" indent="1"/>
    </xf>
    <xf numFmtId="0" fontId="41" fillId="2" borderId="0" xfId="11" applyFont="1" applyFill="1" applyBorder="1" applyAlignment="1">
      <alignment horizontal="center" vertical="center"/>
    </xf>
    <xf numFmtId="203" fontId="41" fillId="2" borderId="0" xfId="11" applyNumberFormat="1" applyFont="1" applyFill="1" applyBorder="1" applyAlignment="1">
      <alignment horizontal="center" vertical="center"/>
    </xf>
    <xf numFmtId="0" fontId="41" fillId="2" borderId="0" xfId="11" applyFont="1" applyFill="1" applyBorder="1" applyAlignment="1">
      <alignment horizontal="left" vertical="center"/>
    </xf>
    <xf numFmtId="0" fontId="26" fillId="2" borderId="0" xfId="11" applyFont="1" applyFill="1" applyBorder="1" applyAlignment="1">
      <alignment horizontal="center" vertical="center"/>
    </xf>
    <xf numFmtId="0" fontId="26" fillId="2" borderId="0" xfId="11" applyFont="1" applyFill="1" applyBorder="1" applyAlignment="1">
      <alignment horizontal="left" vertical="center" indent="1"/>
    </xf>
    <xf numFmtId="0" fontId="34" fillId="2" borderId="0" xfId="11" applyFont="1" applyFill="1" applyBorder="1" applyAlignment="1">
      <alignment horizontal="left" vertical="center" indent="1"/>
    </xf>
    <xf numFmtId="0" fontId="26" fillId="2" borderId="0" xfId="11" applyFont="1" applyFill="1" applyBorder="1" applyAlignment="1">
      <alignment vertical="center"/>
    </xf>
    <xf numFmtId="0" fontId="37" fillId="10" borderId="13" xfId="11" applyFont="1" applyFill="1" applyBorder="1" applyAlignment="1">
      <alignment horizontal="left" vertical="center" indent="1"/>
    </xf>
    <xf numFmtId="0" fontId="38" fillId="10" borderId="13" xfId="11" applyFont="1" applyFill="1" applyBorder="1" applyAlignment="1">
      <alignment horizontal="left" vertical="center" indent="1"/>
    </xf>
    <xf numFmtId="0" fontId="37" fillId="10" borderId="13" xfId="11" applyFont="1" applyFill="1" applyBorder="1" applyAlignment="1">
      <alignment vertical="center"/>
    </xf>
    <xf numFmtId="0" fontId="37" fillId="2" borderId="0" xfId="11" applyFont="1" applyFill="1" applyAlignment="1">
      <alignment horizontal="center" vertical="center"/>
    </xf>
    <xf numFmtId="0" fontId="37" fillId="10" borderId="0" xfId="11" applyFont="1" applyFill="1" applyBorder="1" applyAlignment="1">
      <alignment horizontal="right" vertical="center"/>
    </xf>
    <xf numFmtId="0" fontId="37" fillId="10" borderId="0" xfId="11" applyFont="1" applyFill="1" applyBorder="1" applyAlignment="1">
      <alignment horizontal="left" vertical="center" indent="1"/>
    </xf>
    <xf numFmtId="0" fontId="37" fillId="10" borderId="0" xfId="11" applyFont="1" applyFill="1" applyBorder="1" applyAlignment="1">
      <alignment vertical="center"/>
    </xf>
    <xf numFmtId="0" fontId="37" fillId="10" borderId="15" xfId="11" applyFont="1" applyFill="1" applyBorder="1" applyAlignment="1">
      <alignment horizontal="right" vertical="center"/>
    </xf>
    <xf numFmtId="0" fontId="37" fillId="10" borderId="15" xfId="11" applyFont="1" applyFill="1" applyBorder="1" applyAlignment="1">
      <alignment horizontal="left" vertical="center" indent="1"/>
    </xf>
    <xf numFmtId="0" fontId="37" fillId="10" borderId="15" xfId="11" applyFont="1" applyFill="1" applyBorder="1" applyAlignment="1">
      <alignment vertical="center"/>
    </xf>
    <xf numFmtId="0" fontId="43" fillId="2" borderId="0" xfId="11" applyFont="1" applyFill="1" applyAlignment="1">
      <alignment horizontal="left" vertical="center" indent="1"/>
    </xf>
    <xf numFmtId="0" fontId="44" fillId="2" borderId="0" xfId="11" applyFont="1" applyFill="1" applyAlignment="1">
      <alignment horizontal="left" vertical="center" indent="1"/>
    </xf>
    <xf numFmtId="0" fontId="28" fillId="2" borderId="0" xfId="11" applyFont="1" applyFill="1" applyAlignment="1">
      <alignment horizontal="center" vertical="center"/>
    </xf>
    <xf numFmtId="0" fontId="28" fillId="2" borderId="0" xfId="11" applyFont="1" applyFill="1" applyAlignment="1">
      <alignment horizontal="left" vertical="center" indent="1"/>
    </xf>
    <xf numFmtId="0" fontId="45" fillId="2" borderId="0" xfId="11" applyFont="1" applyFill="1" applyAlignment="1">
      <alignment horizontal="left" vertical="center" indent="1"/>
    </xf>
    <xf numFmtId="0" fontId="28" fillId="0" borderId="0" xfId="11" applyFont="1" applyFill="1" applyAlignment="1">
      <alignment vertical="center"/>
    </xf>
    <xf numFmtId="0" fontId="28" fillId="0" borderId="0" xfId="11" applyFont="1" applyFill="1" applyAlignment="1">
      <alignment horizontal="center" vertical="center"/>
    </xf>
    <xf numFmtId="0" fontId="4" fillId="0" borderId="0" xfId="0" applyFont="1"/>
    <xf numFmtId="0" fontId="4" fillId="0" borderId="0" xfId="0" quotePrefix="1" applyFont="1"/>
    <xf numFmtId="0" fontId="8" fillId="5" borderId="0" xfId="0" applyFont="1" applyFill="1" applyProtection="1"/>
    <xf numFmtId="0" fontId="20" fillId="9" borderId="0" xfId="0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46" fillId="0" borderId="0" xfId="0" applyFont="1"/>
    <xf numFmtId="0" fontId="46" fillId="0" borderId="0" xfId="0" applyFont="1" applyProtection="1">
      <protection hidden="1"/>
    </xf>
    <xf numFmtId="0" fontId="0" fillId="0" borderId="0" xfId="0" applyAlignment="1">
      <alignment horizontal="center"/>
    </xf>
    <xf numFmtId="0" fontId="5" fillId="0" borderId="0" xfId="0" applyFont="1" applyFill="1"/>
    <xf numFmtId="185" fontId="6" fillId="0" borderId="0" xfId="0" applyNumberFormat="1" applyFont="1" applyFill="1"/>
    <xf numFmtId="186" fontId="5" fillId="5" borderId="0" xfId="0" applyNumberFormat="1" applyFont="1" applyFill="1" applyAlignment="1">
      <alignment horizontal="center"/>
    </xf>
    <xf numFmtId="0" fontId="6" fillId="0" borderId="0" xfId="0" applyFont="1" applyAlignment="1"/>
    <xf numFmtId="0" fontId="18" fillId="0" borderId="0" xfId="0" applyFont="1" applyFill="1" applyAlignment="1"/>
    <xf numFmtId="0" fontId="20" fillId="0" borderId="0" xfId="0" applyFont="1" applyFill="1" applyAlignment="1"/>
    <xf numFmtId="0" fontId="4" fillId="0" borderId="0" xfId="0" applyFont="1" applyFill="1"/>
    <xf numFmtId="185" fontId="0" fillId="0" borderId="0" xfId="0" applyNumberFormat="1" applyFill="1"/>
    <xf numFmtId="0" fontId="23" fillId="0" borderId="0" xfId="0" applyFont="1"/>
    <xf numFmtId="0" fontId="23" fillId="0" borderId="0" xfId="0" applyFont="1" applyFill="1"/>
    <xf numFmtId="0" fontId="23" fillId="0" borderId="0" xfId="0" applyFont="1" applyProtection="1"/>
    <xf numFmtId="0" fontId="17" fillId="0" borderId="0" xfId="0" applyFont="1" applyFill="1"/>
    <xf numFmtId="0" fontId="17" fillId="0" borderId="0" xfId="0" applyFont="1"/>
    <xf numFmtId="0" fontId="17" fillId="0" borderId="0" xfId="0" applyFont="1" applyProtection="1"/>
    <xf numFmtId="207" fontId="7" fillId="0" borderId="0" xfId="0" applyNumberFormat="1" applyFont="1" applyAlignment="1"/>
    <xf numFmtId="0" fontId="4" fillId="0" borderId="0" xfId="0" applyFont="1" applyFill="1" applyAlignment="1"/>
    <xf numFmtId="185" fontId="5" fillId="5" borderId="0" xfId="0" applyNumberFormat="1" applyFont="1" applyFill="1" applyAlignment="1"/>
    <xf numFmtId="0" fontId="4" fillId="0" borderId="0" xfId="0" applyNumberFormat="1" applyFont="1"/>
    <xf numFmtId="0" fontId="4" fillId="0" borderId="0" xfId="0" applyNumberFormat="1" applyFont="1" applyAlignment="1"/>
    <xf numFmtId="185" fontId="4" fillId="0" borderId="0" xfId="0" applyNumberFormat="1" applyFont="1" applyFill="1"/>
    <xf numFmtId="186" fontId="5" fillId="5" borderId="0" xfId="0" applyNumberFormat="1" applyFont="1" applyFill="1" applyAlignment="1">
      <alignment horizontal="center"/>
    </xf>
    <xf numFmtId="0" fontId="1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/>
    <xf numFmtId="206" fontId="6" fillId="5" borderId="0" xfId="0" applyNumberFormat="1" applyFont="1" applyFill="1" applyAlignment="1"/>
    <xf numFmtId="206" fontId="0" fillId="0" borderId="0" xfId="0" applyNumberFormat="1" applyAlignment="1"/>
    <xf numFmtId="0" fontId="20" fillId="9" borderId="0" xfId="0" applyFont="1" applyFill="1" applyAlignment="1">
      <alignment horizontal="center" vertical="center"/>
    </xf>
    <xf numFmtId="0" fontId="39" fillId="2" borderId="14" xfId="11" applyFont="1" applyFill="1" applyBorder="1" applyAlignment="1">
      <alignment horizontal="center" vertical="center"/>
    </xf>
    <xf numFmtId="0" fontId="39" fillId="2" borderId="5" xfId="11" applyFont="1" applyFill="1" applyBorder="1" applyAlignment="1">
      <alignment horizontal="center" vertical="center"/>
    </xf>
    <xf numFmtId="0" fontId="39" fillId="2" borderId="14" xfId="11" applyFont="1" applyFill="1" applyBorder="1" applyAlignment="1">
      <alignment horizontal="left" vertical="center"/>
    </xf>
    <xf numFmtId="0" fontId="39" fillId="2" borderId="5" xfId="11" applyFont="1" applyFill="1" applyBorder="1" applyAlignment="1">
      <alignment horizontal="left" vertical="center"/>
    </xf>
    <xf numFmtId="0" fontId="37" fillId="2" borderId="12" xfId="11" applyFont="1" applyFill="1" applyBorder="1" applyAlignment="1">
      <alignment horizontal="left" vertical="center"/>
    </xf>
    <xf numFmtId="0" fontId="37" fillId="2" borderId="14" xfId="11" applyFont="1" applyFill="1" applyBorder="1" applyAlignment="1">
      <alignment horizontal="left" vertical="center"/>
    </xf>
    <xf numFmtId="0" fontId="37" fillId="2" borderId="5" xfId="11" applyFont="1" applyFill="1" applyBorder="1" applyAlignment="1">
      <alignment horizontal="left" vertical="center"/>
    </xf>
    <xf numFmtId="0" fontId="39" fillId="2" borderId="12" xfId="11" applyFont="1" applyFill="1" applyBorder="1" applyAlignment="1">
      <alignment horizontal="center" vertical="center"/>
    </xf>
    <xf numFmtId="0" fontId="39" fillId="2" borderId="12" xfId="11" applyFont="1" applyFill="1" applyBorder="1" applyAlignment="1">
      <alignment horizontal="left" vertical="center"/>
    </xf>
    <xf numFmtId="0" fontId="37" fillId="2" borderId="14" xfId="11" applyFont="1" applyFill="1" applyBorder="1" applyAlignment="1">
      <alignment horizontal="center" vertical="center"/>
    </xf>
    <xf numFmtId="0" fontId="37" fillId="2" borderId="5" xfId="11" applyFont="1" applyFill="1" applyBorder="1" applyAlignment="1">
      <alignment horizontal="center" vertical="center"/>
    </xf>
    <xf numFmtId="0" fontId="36" fillId="2" borderId="8" xfId="11" applyFont="1" applyFill="1" applyBorder="1" applyAlignment="1">
      <alignment horizontal="left" vertical="center"/>
    </xf>
    <xf numFmtId="0" fontId="37" fillId="2" borderId="12" xfId="11" applyFont="1" applyFill="1" applyBorder="1" applyAlignment="1">
      <alignment horizontal="center" vertical="center"/>
    </xf>
    <xf numFmtId="0" fontId="26" fillId="2" borderId="12" xfId="11" applyFont="1" applyFill="1" applyBorder="1" applyAlignment="1">
      <alignment horizontal="center" vertical="center" wrapText="1"/>
    </xf>
    <xf numFmtId="0" fontId="26" fillId="2" borderId="14" xfId="11" applyFont="1" applyFill="1" applyBorder="1" applyAlignment="1">
      <alignment horizontal="center" vertical="center" wrapText="1"/>
    </xf>
    <xf numFmtId="0" fontId="26" fillId="2" borderId="5" xfId="11" applyFont="1" applyFill="1" applyBorder="1" applyAlignment="1">
      <alignment horizontal="center" vertical="center" wrapText="1"/>
    </xf>
    <xf numFmtId="0" fontId="26" fillId="2" borderId="14" xfId="11" applyFont="1" applyFill="1" applyBorder="1" applyAlignment="1">
      <alignment horizontal="left" vertical="center"/>
    </xf>
    <xf numFmtId="0" fontId="37" fillId="2" borderId="12" xfId="11" applyFont="1" applyFill="1" applyBorder="1" applyAlignment="1">
      <alignment horizontal="center" vertical="center" wrapText="1"/>
    </xf>
    <xf numFmtId="0" fontId="37" fillId="2" borderId="5" xfId="11" applyFont="1" applyFill="1" applyBorder="1" applyAlignment="1">
      <alignment horizontal="center" vertical="center" wrapText="1"/>
    </xf>
    <xf numFmtId="0" fontId="26" fillId="2" borderId="12" xfId="11" applyFont="1" applyFill="1" applyBorder="1" applyAlignment="1">
      <alignment horizontal="left" vertical="center" wrapText="1"/>
    </xf>
    <xf numFmtId="0" fontId="26" fillId="2" borderId="14" xfId="11" applyFont="1" applyFill="1" applyBorder="1" applyAlignment="1">
      <alignment horizontal="left" vertical="center" wrapText="1"/>
    </xf>
    <xf numFmtId="0" fontId="26" fillId="2" borderId="5" xfId="11" applyFont="1" applyFill="1" applyBorder="1" applyAlignment="1">
      <alignment horizontal="left" vertical="center"/>
    </xf>
    <xf numFmtId="0" fontId="37" fillId="2" borderId="6" xfId="11" applyFont="1" applyFill="1" applyBorder="1" applyAlignment="1">
      <alignment horizontal="center" vertical="center"/>
    </xf>
    <xf numFmtId="0" fontId="37" fillId="2" borderId="7" xfId="11" applyFont="1" applyFill="1" applyBorder="1" applyAlignment="1">
      <alignment horizontal="center" vertical="center"/>
    </xf>
    <xf numFmtId="0" fontId="26" fillId="2" borderId="14" xfId="11" applyFont="1" applyFill="1" applyBorder="1" applyAlignment="1">
      <alignment horizontal="center" vertical="center"/>
    </xf>
    <xf numFmtId="0" fontId="26" fillId="2" borderId="10" xfId="11" applyFont="1" applyFill="1" applyBorder="1" applyAlignment="1">
      <alignment horizontal="center" vertical="center" wrapText="1"/>
    </xf>
    <xf numFmtId="0" fontId="26" fillId="2" borderId="12" xfId="11" applyFont="1" applyFill="1" applyBorder="1" applyAlignment="1">
      <alignment horizontal="center" vertical="center"/>
    </xf>
    <xf numFmtId="0" fontId="26" fillId="2" borderId="5" xfId="11" applyFont="1" applyFill="1" applyBorder="1" applyAlignment="1">
      <alignment horizontal="center" vertical="center"/>
    </xf>
    <xf numFmtId="0" fontId="26" fillId="2" borderId="6" xfId="11" applyFont="1" applyFill="1" applyBorder="1" applyAlignment="1">
      <alignment horizontal="center" vertical="center"/>
    </xf>
    <xf numFmtId="0" fontId="26" fillId="2" borderId="7" xfId="11" applyFont="1" applyFill="1" applyBorder="1" applyAlignment="1">
      <alignment horizontal="center" vertical="center"/>
    </xf>
    <xf numFmtId="0" fontId="26" fillId="2" borderId="10" xfId="11" applyFont="1" applyFill="1" applyBorder="1" applyAlignment="1">
      <alignment horizontal="center" vertical="center"/>
    </xf>
    <xf numFmtId="0" fontId="26" fillId="2" borderId="9" xfId="11" applyFont="1" applyFill="1" applyBorder="1" applyAlignment="1">
      <alignment horizontal="center" vertical="center"/>
    </xf>
    <xf numFmtId="0" fontId="36" fillId="2" borderId="11" xfId="11" applyFont="1" applyFill="1" applyBorder="1" applyAlignment="1">
      <alignment horizontal="left" vertical="center"/>
    </xf>
    <xf numFmtId="0" fontId="36" fillId="2" borderId="10" xfId="11" applyFont="1" applyFill="1" applyBorder="1" applyAlignment="1">
      <alignment horizontal="left" vertical="center"/>
    </xf>
    <xf numFmtId="0" fontId="36" fillId="2" borderId="20" xfId="11" applyFont="1" applyFill="1" applyBorder="1" applyAlignment="1">
      <alignment horizontal="left" vertical="center"/>
    </xf>
    <xf numFmtId="0" fontId="26" fillId="2" borderId="10" xfId="11" applyFont="1" applyFill="1" applyBorder="1" applyAlignment="1">
      <alignment horizontal="left" vertical="center"/>
    </xf>
    <xf numFmtId="0" fontId="26" fillId="2" borderId="11" xfId="11" applyFont="1" applyFill="1" applyBorder="1" applyAlignment="1">
      <alignment horizontal="center" vertical="center"/>
    </xf>
    <xf numFmtId="0" fontId="26" fillId="10" borderId="12" xfId="11" applyFont="1" applyFill="1" applyBorder="1" applyAlignment="1">
      <alignment horizontal="center" vertical="center" wrapText="1"/>
    </xf>
    <xf numFmtId="0" fontId="26" fillId="10" borderId="5" xfId="11" applyFont="1" applyFill="1" applyBorder="1" applyAlignment="1">
      <alignment horizontal="center" vertical="center" wrapText="1"/>
    </xf>
    <xf numFmtId="0" fontId="26" fillId="10" borderId="6" xfId="11" applyFont="1" applyFill="1" applyBorder="1" applyAlignment="1">
      <alignment horizontal="center" vertical="center" wrapText="1"/>
    </xf>
    <xf numFmtId="0" fontId="26" fillId="10" borderId="9" xfId="11" applyFont="1" applyFill="1" applyBorder="1" applyAlignment="1">
      <alignment horizontal="center" vertical="center"/>
    </xf>
    <xf numFmtId="0" fontId="26" fillId="10" borderId="7" xfId="11" applyFont="1" applyFill="1" applyBorder="1" applyAlignment="1">
      <alignment horizontal="center" vertical="center"/>
    </xf>
    <xf numFmtId="0" fontId="26" fillId="10" borderId="6" xfId="11" applyFont="1" applyFill="1" applyBorder="1" applyAlignment="1">
      <alignment horizontal="center" vertical="center"/>
    </xf>
    <xf numFmtId="0" fontId="26" fillId="2" borderId="0" xfId="11" applyFont="1" applyFill="1" applyAlignment="1">
      <alignment horizontal="center" vertical="center" wrapText="1"/>
    </xf>
    <xf numFmtId="0" fontId="26" fillId="2" borderId="0" xfId="11" applyFont="1" applyFill="1" applyAlignment="1">
      <alignment horizontal="center" vertical="center"/>
    </xf>
    <xf numFmtId="0" fontId="26" fillId="10" borderId="18" xfId="11" applyFont="1" applyFill="1" applyBorder="1" applyAlignment="1">
      <alignment horizontal="center" vertical="center" wrapText="1"/>
    </xf>
    <xf numFmtId="0" fontId="26" fillId="10" borderId="2" xfId="11" applyFont="1" applyFill="1" applyBorder="1" applyAlignment="1">
      <alignment horizontal="center" vertical="center" wrapText="1"/>
    </xf>
    <xf numFmtId="0" fontId="26" fillId="10" borderId="19" xfId="11" applyFont="1" applyFill="1" applyBorder="1" applyAlignment="1">
      <alignment horizontal="center" vertical="center" wrapText="1"/>
    </xf>
    <xf numFmtId="0" fontId="26" fillId="10" borderId="12" xfId="11" applyFont="1" applyFill="1" applyBorder="1" applyAlignment="1">
      <alignment horizontal="center" vertical="center"/>
    </xf>
    <xf numFmtId="0" fontId="26" fillId="10" borderId="14" xfId="11" applyFont="1" applyFill="1" applyBorder="1" applyAlignment="1">
      <alignment horizontal="center" vertical="center"/>
    </xf>
    <xf numFmtId="0" fontId="26" fillId="10" borderId="5" xfId="11" applyFont="1" applyFill="1" applyBorder="1" applyAlignment="1">
      <alignment horizontal="center" vertical="center"/>
    </xf>
    <xf numFmtId="0" fontId="26" fillId="10" borderId="9" xfId="11" applyFont="1" applyFill="1" applyBorder="1" applyAlignment="1">
      <alignment horizontal="center" vertical="center" wrapText="1"/>
    </xf>
    <xf numFmtId="0" fontId="26" fillId="10" borderId="7" xfId="11" applyFont="1" applyFill="1" applyBorder="1" applyAlignment="1">
      <alignment horizontal="center" vertical="center" wrapText="1"/>
    </xf>
    <xf numFmtId="0" fontId="34" fillId="10" borderId="12" xfId="11" applyFont="1" applyFill="1" applyBorder="1" applyAlignment="1">
      <alignment horizontal="center" vertical="center" wrapText="1"/>
    </xf>
    <xf numFmtId="0" fontId="34" fillId="10" borderId="14" xfId="11" applyFont="1" applyFill="1" applyBorder="1" applyAlignment="1">
      <alignment horizontal="center" vertical="center" wrapText="1"/>
    </xf>
    <xf numFmtId="0" fontId="34" fillId="10" borderId="5" xfId="11" applyFont="1" applyFill="1" applyBorder="1" applyAlignment="1">
      <alignment horizontal="center" vertical="center" wrapText="1"/>
    </xf>
    <xf numFmtId="0" fontId="26" fillId="10" borderId="16" xfId="11" applyFont="1" applyFill="1" applyBorder="1" applyAlignment="1">
      <alignment horizontal="center" vertical="center"/>
    </xf>
    <xf numFmtId="0" fontId="26" fillId="10" borderId="13" xfId="11" applyFont="1" applyFill="1" applyBorder="1" applyAlignment="1">
      <alignment horizontal="center" vertical="center"/>
    </xf>
    <xf numFmtId="0" fontId="26" fillId="10" borderId="16" xfId="11" applyFont="1" applyFill="1" applyBorder="1" applyAlignment="1">
      <alignment horizontal="center" vertical="center" wrapText="1"/>
    </xf>
    <xf numFmtId="0" fontId="26" fillId="10" borderId="17" xfId="11" applyFont="1" applyFill="1" applyBorder="1" applyAlignment="1">
      <alignment horizontal="center" vertical="center" wrapText="1"/>
    </xf>
  </cellXfs>
  <cellStyles count="19">
    <cellStyle name="??&amp;O?&amp;H?_x0008__x000f__x0007_?_x0007__x0001__x0001_" xfId="2"/>
    <cellStyle name="??&amp;O?&amp;H?_x0008_??_x0007__x0001__x0001_" xfId="1"/>
    <cellStyle name="category" xfId="3"/>
    <cellStyle name="Grey" xfId="4"/>
    <cellStyle name="HEADER" xfId="5"/>
    <cellStyle name="Header1" xfId="6"/>
    <cellStyle name="Header2" xfId="7"/>
    <cellStyle name="Input [yellow]" xfId="8"/>
    <cellStyle name="Model" xfId="9"/>
    <cellStyle name="Normal" xfId="0" builtinId="0"/>
    <cellStyle name="Normal - Style1" xfId="10"/>
    <cellStyle name="Normal_Comparison table_temp" xfId="11"/>
    <cellStyle name="Percent [2]" xfId="12"/>
    <cellStyle name="PSChar" xfId="13"/>
    <cellStyle name="PSSpacer" xfId="14"/>
    <cellStyle name="subhead" xfId="15"/>
    <cellStyle name="콤마 [0]_10월2주 " xfId="16"/>
    <cellStyle name="콤마_10월2주 " xfId="17"/>
    <cellStyle name="常规_Sheet1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616438356164383"/>
          <c:y val="0.10212787177499953"/>
          <c:w val="0.84075342465753422"/>
          <c:h val="0.81702297419999625"/>
        </c:manualLayout>
      </c:layout>
      <c:scatterChart>
        <c:scatterStyle val="smoothMarker"/>
        <c:ser>
          <c:idx val="0"/>
          <c:order val="0"/>
          <c:tx>
            <c:v>Contorl-to-output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'Forward with reset winding'!$B$146:$B$165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winding'!$C$146:$C$165</c:f>
              <c:numCache>
                <c:formatCode>General</c:formatCode>
                <c:ptCount val="20"/>
                <c:pt idx="0">
                  <c:v>19.477292968331248</c:v>
                </c:pt>
                <c:pt idx="1">
                  <c:v>15.62401441065461</c:v>
                </c:pt>
                <c:pt idx="2">
                  <c:v>11.552511378552705</c:v>
                </c:pt>
                <c:pt idx="3">
                  <c:v>7.6137199220745488</c:v>
                </c:pt>
                <c:pt idx="4">
                  <c:v>3.6100132339956148</c:v>
                </c:pt>
                <c:pt idx="5">
                  <c:v>-0.45120502091368131</c:v>
                </c:pt>
                <c:pt idx="6">
                  <c:v>-4.2790834971374068</c:v>
                </c:pt>
                <c:pt idx="7">
                  <c:v>-8.2363054776028797</c:v>
                </c:pt>
                <c:pt idx="8">
                  <c:v>-11.892179746659714</c:v>
                </c:pt>
                <c:pt idx="9">
                  <c:v>-15.244780291200135</c:v>
                </c:pt>
                <c:pt idx="10">
                  <c:v>-17.97593001622808</c:v>
                </c:pt>
                <c:pt idx="11">
                  <c:v>-19.723878421849697</c:v>
                </c:pt>
                <c:pt idx="12">
                  <c:v>-20.744816242596492</c:v>
                </c:pt>
                <c:pt idx="13">
                  <c:v>-21.209132873015189</c:v>
                </c:pt>
                <c:pt idx="14">
                  <c:v>-21.413475158490542</c:v>
                </c:pt>
                <c:pt idx="15">
                  <c:v>-21.49820205583098</c:v>
                </c:pt>
                <c:pt idx="16">
                  <c:v>-21.530704077948656</c:v>
                </c:pt>
                <c:pt idx="17">
                  <c:v>-21.544518262627616</c:v>
                </c:pt>
                <c:pt idx="18">
                  <c:v>-21.549815389125509</c:v>
                </c:pt>
                <c:pt idx="19">
                  <c:v>-21.551974910216597</c:v>
                </c:pt>
              </c:numCache>
            </c:numRef>
          </c:yVal>
          <c:smooth val="1"/>
        </c:ser>
        <c:ser>
          <c:idx val="1"/>
          <c:order val="1"/>
          <c:tx>
            <c:v>Compensator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'Forward with reset winding'!$B$146:$B$165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winding'!$D$146:$D$165</c:f>
              <c:numCache>
                <c:formatCode>General</c:formatCode>
                <c:ptCount val="20"/>
                <c:pt idx="0">
                  <c:v>35.537149453902195</c:v>
                </c:pt>
                <c:pt idx="1">
                  <c:v>31.683303364954117</c:v>
                </c:pt>
                <c:pt idx="2">
                  <c:v>27.659938377008686</c:v>
                </c:pt>
                <c:pt idx="3">
                  <c:v>23.85449251173911</c:v>
                </c:pt>
                <c:pt idx="4">
                  <c:v>20.178869183862357</c:v>
                </c:pt>
                <c:pt idx="5">
                  <c:v>16.863925701980992</c:v>
                </c:pt>
                <c:pt idx="6">
                  <c:v>14.39396486767553</c:v>
                </c:pt>
                <c:pt idx="7">
                  <c:v>12.685708741895212</c:v>
                </c:pt>
                <c:pt idx="8">
                  <c:v>11.7747510288243</c:v>
                </c:pt>
                <c:pt idx="9">
                  <c:v>11.270168024461594</c:v>
                </c:pt>
                <c:pt idx="10">
                  <c:v>10.866208995380518</c:v>
                </c:pt>
                <c:pt idx="11">
                  <c:v>10.304571444947941</c:v>
                </c:pt>
                <c:pt idx="12">
                  <c:v>9.1919065635314272</c:v>
                </c:pt>
                <c:pt idx="13">
                  <c:v>7.3157803965734605</c:v>
                </c:pt>
                <c:pt idx="14">
                  <c:v>4.5495131280645689</c:v>
                </c:pt>
                <c:pt idx="15">
                  <c:v>1.089793571884053</c:v>
                </c:pt>
                <c:pt idx="16">
                  <c:v>-2.525363005075036</c:v>
                </c:pt>
                <c:pt idx="17">
                  <c:v>-6.492383147387474</c:v>
                </c:pt>
                <c:pt idx="18">
                  <c:v>-10.393020697063186</c:v>
                </c:pt>
                <c:pt idx="19">
                  <c:v>-14.387755683968496</c:v>
                </c:pt>
              </c:numCache>
            </c:numRef>
          </c:yVal>
          <c:smooth val="1"/>
        </c:ser>
        <c:ser>
          <c:idx val="2"/>
          <c:order val="2"/>
          <c:tx>
            <c:v>T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'Forward with reset winding'!$B$146:$B$165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winding'!$E$146:$E$165</c:f>
              <c:numCache>
                <c:formatCode>General</c:formatCode>
                <c:ptCount val="20"/>
                <c:pt idx="0">
                  <c:v>55.014442422233444</c:v>
                </c:pt>
                <c:pt idx="1">
                  <c:v>47.307317775608723</c:v>
                </c:pt>
                <c:pt idx="2">
                  <c:v>39.212449755561394</c:v>
                </c:pt>
                <c:pt idx="3">
                  <c:v>31.468212433813658</c:v>
                </c:pt>
                <c:pt idx="4">
                  <c:v>23.788882417857973</c:v>
                </c:pt>
                <c:pt idx="5">
                  <c:v>16.412720681067313</c:v>
                </c:pt>
                <c:pt idx="6">
                  <c:v>10.114881370538123</c:v>
                </c:pt>
                <c:pt idx="7">
                  <c:v>4.4494032642923322</c:v>
                </c:pt>
                <c:pt idx="8">
                  <c:v>-0.11742871783541453</c:v>
                </c:pt>
                <c:pt idx="9">
                  <c:v>-3.9746122667385411</c:v>
                </c:pt>
                <c:pt idx="10">
                  <c:v>-7.1097210208475623</c:v>
                </c:pt>
                <c:pt idx="11">
                  <c:v>-9.4193069769017566</c:v>
                </c:pt>
                <c:pt idx="12">
                  <c:v>-11.552909679065065</c:v>
                </c:pt>
                <c:pt idx="13">
                  <c:v>-13.893352476441729</c:v>
                </c:pt>
                <c:pt idx="14">
                  <c:v>-16.863962030425974</c:v>
                </c:pt>
                <c:pt idx="15">
                  <c:v>-20.408408483946928</c:v>
                </c:pt>
                <c:pt idx="16">
                  <c:v>-24.056067083023692</c:v>
                </c:pt>
                <c:pt idx="17">
                  <c:v>-28.036901410015091</c:v>
                </c:pt>
                <c:pt idx="18">
                  <c:v>-31.942836086188695</c:v>
                </c:pt>
                <c:pt idx="19">
                  <c:v>-35.939730594185093</c:v>
                </c:pt>
              </c:numCache>
            </c:numRef>
          </c:yVal>
          <c:smooth val="1"/>
        </c:ser>
        <c:axId val="149616512"/>
        <c:axId val="149618048"/>
      </c:scatterChart>
      <c:valAx>
        <c:axId val="149616512"/>
        <c:scaling>
          <c:logBase val="10"/>
          <c:orientation val="minMax"/>
          <c:max val="100000"/>
          <c:min val="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49618048"/>
        <c:crosses val="autoZero"/>
        <c:crossBetween val="midCat"/>
        <c:majorUnit val="10"/>
        <c:minorUnit val="10"/>
      </c:valAx>
      <c:valAx>
        <c:axId val="149618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/>
                  <a:t>Gain (dB)</a:t>
                </a:r>
              </a:p>
            </c:rich>
          </c:tx>
          <c:layout>
            <c:manualLayout>
              <c:xMode val="edge"/>
              <c:yMode val="edge"/>
              <c:x val="2.7397260273972601E-2"/>
              <c:y val="0.391490175137498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49616512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4657534246578"/>
          <c:y val="0.11489385574687447"/>
          <c:w val="0.23116438356164384"/>
          <c:h val="0.208511071540624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74849986132125"/>
          <c:y val="0.10000040690269736"/>
          <c:w val="0.82313061877295046"/>
          <c:h val="0.80416993884252463"/>
        </c:manualLayout>
      </c:layout>
      <c:scatterChart>
        <c:scatterStyle val="smoothMarker"/>
        <c:ser>
          <c:idx val="0"/>
          <c:order val="0"/>
          <c:tx>
            <c:v>Control-to-output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'Forward with reset winding'!$G$146:$G$165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winding'!$H$146:$H$165</c:f>
              <c:numCache>
                <c:formatCode>General</c:formatCode>
                <c:ptCount val="20"/>
                <c:pt idx="0">
                  <c:v>-84.152136620876092</c:v>
                </c:pt>
                <c:pt idx="1">
                  <c:v>-85.800247502630427</c:v>
                </c:pt>
                <c:pt idx="2">
                  <c:v>-86.618655903883507</c:v>
                </c:pt>
                <c:pt idx="3">
                  <c:v>-86.678799258603902</c:v>
                </c:pt>
                <c:pt idx="4">
                  <c:v>-86.016525026999176</c:v>
                </c:pt>
                <c:pt idx="5">
                  <c:v>-84.449758203691104</c:v>
                </c:pt>
                <c:pt idx="6">
                  <c:v>-81.829713307253726</c:v>
                </c:pt>
                <c:pt idx="7">
                  <c:v>-77.358108737667777</c:v>
                </c:pt>
                <c:pt idx="8">
                  <c:v>-70.702468401966172</c:v>
                </c:pt>
                <c:pt idx="9">
                  <c:v>-61.01774093367959</c:v>
                </c:pt>
                <c:pt idx="10">
                  <c:v>-48.486696773828449</c:v>
                </c:pt>
                <c:pt idx="11">
                  <c:v>-35.88059393195649</c:v>
                </c:pt>
                <c:pt idx="12">
                  <c:v>-24.331497837368264</c:v>
                </c:pt>
                <c:pt idx="13">
                  <c:v>-16.019617628865998</c:v>
                </c:pt>
                <c:pt idx="14">
                  <c:v>-10.253225107459214</c:v>
                </c:pt>
                <c:pt idx="15">
                  <c:v>-6.4502355724328426</c:v>
                </c:pt>
                <c:pt idx="16">
                  <c:v>-4.1384827938465465</c:v>
                </c:pt>
                <c:pt idx="17">
                  <c:v>-2.5892992899994804</c:v>
                </c:pt>
                <c:pt idx="18">
                  <c:v>-1.6446687715660282</c:v>
                </c:pt>
                <c:pt idx="19">
                  <c:v>-1.0363132367003995</c:v>
                </c:pt>
              </c:numCache>
            </c:numRef>
          </c:yVal>
          <c:smooth val="1"/>
        </c:ser>
        <c:ser>
          <c:idx val="1"/>
          <c:order val="1"/>
          <c:tx>
            <c:v>Compensator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'Forward with reset winding'!$G$146:$G$165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winding'!$I$146:$I$165</c:f>
              <c:numCache>
                <c:formatCode>General</c:formatCode>
                <c:ptCount val="20"/>
                <c:pt idx="0">
                  <c:v>-86.720977477738089</c:v>
                </c:pt>
                <c:pt idx="1">
                  <c:v>-84.885886049973806</c:v>
                </c:pt>
                <c:pt idx="2">
                  <c:v>-81.856537895943802</c:v>
                </c:pt>
                <c:pt idx="3">
                  <c:v>-77.31966789950917</c:v>
                </c:pt>
                <c:pt idx="4">
                  <c:v>-70.422990970012222</c:v>
                </c:pt>
                <c:pt idx="5">
                  <c:v>-60.626775543738482</c:v>
                </c:pt>
                <c:pt idx="6">
                  <c:v>-49.386743080675707</c:v>
                </c:pt>
                <c:pt idx="7">
                  <c:v>-37.846780374677877</c:v>
                </c:pt>
                <c:pt idx="8">
                  <c:v>-29.581920500609222</c:v>
                </c:pt>
                <c:pt idx="9">
                  <c:v>-25.50001632894967</c:v>
                </c:pt>
                <c:pt idx="10">
                  <c:v>-26.160475527397153</c:v>
                </c:pt>
                <c:pt idx="11">
                  <c:v>-31.250311745000445</c:v>
                </c:pt>
                <c:pt idx="12">
                  <c:v>-40.772631119072209</c:v>
                </c:pt>
                <c:pt idx="13">
                  <c:v>-52.278383657336271</c:v>
                </c:pt>
                <c:pt idx="14">
                  <c:v>-63.548104597236467</c:v>
                </c:pt>
                <c:pt idx="15">
                  <c:v>-72.588656090242893</c:v>
                </c:pt>
                <c:pt idx="16">
                  <c:v>-78.615726578407731</c:v>
                </c:pt>
                <c:pt idx="17">
                  <c:v>-82.817716761584506</c:v>
                </c:pt>
                <c:pt idx="18">
                  <c:v>-85.42314955671003</c:v>
                </c:pt>
                <c:pt idx="19">
                  <c:v>-87.112268477537739</c:v>
                </c:pt>
              </c:numCache>
            </c:numRef>
          </c:yVal>
          <c:smooth val="1"/>
        </c:ser>
        <c:ser>
          <c:idx val="2"/>
          <c:order val="2"/>
          <c:tx>
            <c:v>T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'Forward with reset winding'!$G$146:$G$165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reset winding'!$J$146:$J$165</c:f>
              <c:numCache>
                <c:formatCode>General</c:formatCode>
                <c:ptCount val="20"/>
                <c:pt idx="0">
                  <c:v>-170.87311409861417</c:v>
                </c:pt>
                <c:pt idx="1">
                  <c:v>-170.68613355260425</c:v>
                </c:pt>
                <c:pt idx="2">
                  <c:v>-168.47519379982731</c:v>
                </c:pt>
                <c:pt idx="3">
                  <c:v>-163.99846715811307</c:v>
                </c:pt>
                <c:pt idx="4">
                  <c:v>-156.4395159970114</c:v>
                </c:pt>
                <c:pt idx="5">
                  <c:v>-145.07653374742958</c:v>
                </c:pt>
                <c:pt idx="6">
                  <c:v>-131.21645638792944</c:v>
                </c:pt>
                <c:pt idx="7">
                  <c:v>-115.20488911234565</c:v>
                </c:pt>
                <c:pt idx="8">
                  <c:v>-100.28438890257539</c:v>
                </c:pt>
                <c:pt idx="9">
                  <c:v>-86.51775726262926</c:v>
                </c:pt>
                <c:pt idx="10">
                  <c:v>-74.647172301225595</c:v>
                </c:pt>
                <c:pt idx="11">
                  <c:v>-67.130905676956928</c:v>
                </c:pt>
                <c:pt idx="12">
                  <c:v>-65.104128956440476</c:v>
                </c:pt>
                <c:pt idx="13">
                  <c:v>-68.298001286202265</c:v>
                </c:pt>
                <c:pt idx="14">
                  <c:v>-73.801329704695675</c:v>
                </c:pt>
                <c:pt idx="15">
                  <c:v>-79.038891662675738</c:v>
                </c:pt>
                <c:pt idx="16">
                  <c:v>-82.75420937225428</c:v>
                </c:pt>
                <c:pt idx="17">
                  <c:v>-85.40701605158398</c:v>
                </c:pt>
                <c:pt idx="18">
                  <c:v>-87.067818328276061</c:v>
                </c:pt>
                <c:pt idx="19">
                  <c:v>-88.148581714238134</c:v>
                </c:pt>
              </c:numCache>
            </c:numRef>
          </c:yVal>
          <c:smooth val="1"/>
        </c:ser>
        <c:axId val="150622976"/>
        <c:axId val="150624512"/>
      </c:scatterChart>
      <c:valAx>
        <c:axId val="150622976"/>
        <c:scaling>
          <c:logBase val="10"/>
          <c:orientation val="minMax"/>
          <c:min val="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50624512"/>
        <c:crosses val="autoZero"/>
        <c:crossBetween val="midCat"/>
      </c:valAx>
      <c:valAx>
        <c:axId val="150624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/>
                  <a:t>Phase (degree)</a:t>
                </a:r>
              </a:p>
            </c:rich>
          </c:tx>
          <c:layout>
            <c:manualLayout>
              <c:xMode val="edge"/>
              <c:yMode val="edge"/>
              <c:x val="3.2312978836128221E-2"/>
              <c:y val="0.312501271570929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50622976"/>
        <c:crosses val="autoZero"/>
        <c:crossBetween val="midCat"/>
        <c:majorUnit val="3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616438356164383"/>
          <c:y val="0.10212787177499953"/>
          <c:w val="0.84075342465753422"/>
          <c:h val="0.81702297419999625"/>
        </c:manualLayout>
      </c:layout>
      <c:scatterChart>
        <c:scatterStyle val="smoothMarker"/>
        <c:ser>
          <c:idx val="0"/>
          <c:order val="0"/>
          <c:tx>
            <c:v>Contorl-to-output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'Forward with RCD reset'!$B$148:$B$167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reset'!$C$148:$C$167</c:f>
              <c:numCache>
                <c:formatCode>General</c:formatCode>
                <c:ptCount val="20"/>
                <c:pt idx="0">
                  <c:v>9.8078320173988534</c:v>
                </c:pt>
                <c:pt idx="1">
                  <c:v>9.7848703087852567</c:v>
                </c:pt>
                <c:pt idx="2">
                  <c:v>9.7248013991578439</c:v>
                </c:pt>
                <c:pt idx="3">
                  <c:v>9.5823634809379783</c:v>
                </c:pt>
                <c:pt idx="4">
                  <c:v>9.240365794059116</c:v>
                </c:pt>
                <c:pt idx="5">
                  <c:v>8.4681612092360545</c:v>
                </c:pt>
                <c:pt idx="6">
                  <c:v>7.0717352583683439</c:v>
                </c:pt>
                <c:pt idx="7">
                  <c:v>4.7720837722968605</c:v>
                </c:pt>
                <c:pt idx="8">
                  <c:v>1.9665212084189765</c:v>
                </c:pt>
                <c:pt idx="9">
                  <c:v>-0.98557427460972524</c:v>
                </c:pt>
                <c:pt idx="10">
                  <c:v>-3.5451239528824781</c:v>
                </c:pt>
                <c:pt idx="11">
                  <c:v>-5.2263176823080926</c:v>
                </c:pt>
                <c:pt idx="12">
                  <c:v>-6.218722457475053</c:v>
                </c:pt>
                <c:pt idx="13">
                  <c:v>-6.6720722029056345</c:v>
                </c:pt>
                <c:pt idx="14">
                  <c:v>-6.8719394188747707</c:v>
                </c:pt>
                <c:pt idx="15">
                  <c:v>-6.9548703846825592</c:v>
                </c:pt>
                <c:pt idx="16">
                  <c:v>-6.9866925220062921</c:v>
                </c:pt>
                <c:pt idx="17">
                  <c:v>-7.0002192437000952</c:v>
                </c:pt>
                <c:pt idx="18">
                  <c:v>-7.0054063781802984</c:v>
                </c:pt>
                <c:pt idx="19">
                  <c:v>-7.0075210956457745</c:v>
                </c:pt>
              </c:numCache>
            </c:numRef>
          </c:yVal>
          <c:smooth val="1"/>
        </c:ser>
        <c:ser>
          <c:idx val="1"/>
          <c:order val="1"/>
          <c:tx>
            <c:v>Compensator</c:v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'Forward with RCD reset'!$B$148:$B$167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reset'!$D$148:$D$167</c:f>
              <c:numCache>
                <c:formatCode>General</c:formatCode>
                <c:ptCount val="20"/>
                <c:pt idx="0">
                  <c:v>29.55352696546921</c:v>
                </c:pt>
                <c:pt idx="1">
                  <c:v>25.751971231320159</c:v>
                </c:pt>
                <c:pt idx="2">
                  <c:v>21.861331975396308</c:v>
                </c:pt>
                <c:pt idx="3">
                  <c:v>18.349097997673677</c:v>
                </c:pt>
                <c:pt idx="4">
                  <c:v>15.27609761530117</c:v>
                </c:pt>
                <c:pt idx="5">
                  <c:v>12.963632538171012</c:v>
                </c:pt>
                <c:pt idx="6">
                  <c:v>11.616397754099022</c:v>
                </c:pt>
                <c:pt idx="7">
                  <c:v>10.880199362973002</c:v>
                </c:pt>
                <c:pt idx="8">
                  <c:v>10.532972150465374</c:v>
                </c:pt>
                <c:pt idx="9">
                  <c:v>10.308868160508757</c:v>
                </c:pt>
                <c:pt idx="10">
                  <c:v>10.027969740638946</c:v>
                </c:pt>
                <c:pt idx="11">
                  <c:v>9.5146687818885454</c:v>
                </c:pt>
                <c:pt idx="12">
                  <c:v>8.42274357803824</c:v>
                </c:pt>
                <c:pt idx="13">
                  <c:v>6.5546014446961536</c:v>
                </c:pt>
                <c:pt idx="14">
                  <c:v>3.7915940912533843</c:v>
                </c:pt>
                <c:pt idx="15">
                  <c:v>0.33318312872908978</c:v>
                </c:pt>
                <c:pt idx="16">
                  <c:v>-3.281478005794721</c:v>
                </c:pt>
                <c:pt idx="17">
                  <c:v>-7.2482886613658266</c:v>
                </c:pt>
                <c:pt idx="18">
                  <c:v>-11.148846053820012</c:v>
                </c:pt>
                <c:pt idx="19">
                  <c:v>-15.143548389662417</c:v>
                </c:pt>
              </c:numCache>
            </c:numRef>
          </c:yVal>
          <c:smooth val="1"/>
        </c:ser>
        <c:ser>
          <c:idx val="2"/>
          <c:order val="2"/>
          <c:tx>
            <c:v>T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'Forward with RCD reset'!$B$148:$B$167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reset'!$E$148:$E$167</c:f>
              <c:numCache>
                <c:formatCode>General</c:formatCode>
                <c:ptCount val="20"/>
                <c:pt idx="0">
                  <c:v>39.361358982868062</c:v>
                </c:pt>
                <c:pt idx="1">
                  <c:v>35.536841540105414</c:v>
                </c:pt>
                <c:pt idx="2">
                  <c:v>31.586133374554151</c:v>
                </c:pt>
                <c:pt idx="3">
                  <c:v>27.931461478611656</c:v>
                </c:pt>
                <c:pt idx="4">
                  <c:v>24.516463409360284</c:v>
                </c:pt>
                <c:pt idx="5">
                  <c:v>21.431793747407067</c:v>
                </c:pt>
                <c:pt idx="6">
                  <c:v>18.688133012467368</c:v>
                </c:pt>
                <c:pt idx="7">
                  <c:v>15.652283135269862</c:v>
                </c:pt>
                <c:pt idx="8">
                  <c:v>12.499493358884351</c:v>
                </c:pt>
                <c:pt idx="9">
                  <c:v>9.323293885899032</c:v>
                </c:pt>
                <c:pt idx="10">
                  <c:v>6.4828457877564682</c:v>
                </c:pt>
                <c:pt idx="11">
                  <c:v>4.2883510995804528</c:v>
                </c:pt>
                <c:pt idx="12">
                  <c:v>2.204021120563187</c:v>
                </c:pt>
                <c:pt idx="13">
                  <c:v>-0.11747075820948094</c:v>
                </c:pt>
                <c:pt idx="14">
                  <c:v>-3.0803453276213864</c:v>
                </c:pt>
                <c:pt idx="15">
                  <c:v>-6.6216872559534696</c:v>
                </c:pt>
                <c:pt idx="16">
                  <c:v>-10.268170527801013</c:v>
                </c:pt>
                <c:pt idx="17">
                  <c:v>-14.248507905065921</c:v>
                </c:pt>
                <c:pt idx="18">
                  <c:v>-18.154252432000312</c:v>
                </c:pt>
                <c:pt idx="19">
                  <c:v>-22.151069485308192</c:v>
                </c:pt>
              </c:numCache>
            </c:numRef>
          </c:yVal>
          <c:smooth val="1"/>
        </c:ser>
        <c:axId val="85509248"/>
        <c:axId val="148469632"/>
      </c:scatterChart>
      <c:valAx>
        <c:axId val="85509248"/>
        <c:scaling>
          <c:logBase val="10"/>
          <c:orientation val="minMax"/>
          <c:max val="100000"/>
          <c:min val="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48469632"/>
        <c:crosses val="autoZero"/>
        <c:crossBetween val="midCat"/>
        <c:majorUnit val="10"/>
        <c:minorUnit val="10"/>
      </c:valAx>
      <c:valAx>
        <c:axId val="148469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/>
                  <a:t>Gain (dB)</a:t>
                </a:r>
              </a:p>
            </c:rich>
          </c:tx>
          <c:layout>
            <c:manualLayout>
              <c:xMode val="edge"/>
              <c:yMode val="edge"/>
              <c:x val="2.7397260273972601E-2"/>
              <c:y val="0.391490175137498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8550924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4657534246578"/>
          <c:y val="0.11489385574687447"/>
          <c:w val="0.23116438356164384"/>
          <c:h val="0.208511071540624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74849986132125"/>
          <c:y val="0.10000040690269736"/>
          <c:w val="0.82313061877295046"/>
          <c:h val="0.80416993884252463"/>
        </c:manualLayout>
      </c:layout>
      <c:scatterChart>
        <c:scatterStyle val="smoothMarker"/>
        <c:ser>
          <c:idx val="0"/>
          <c:order val="0"/>
          <c:tx>
            <c:v>Control-to-output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'Forward with RCD reset'!$G$148:$G$167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reset'!$H$148:$H$167</c:f>
              <c:numCache>
                <c:formatCode>General</c:formatCode>
                <c:ptCount val="20"/>
                <c:pt idx="0">
                  <c:v>-3.0087191311075259</c:v>
                </c:pt>
                <c:pt idx="1">
                  <c:v>-4.6912665404406715</c:v>
                </c:pt>
                <c:pt idx="2">
                  <c:v>-7.4648416515831393</c:v>
                </c:pt>
                <c:pt idx="3">
                  <c:v>-11.603986231872332</c:v>
                </c:pt>
                <c:pt idx="4">
                  <c:v>-17.841560973496492</c:v>
                </c:pt>
                <c:pt idx="5">
                  <c:v>-26.512126325254531</c:v>
                </c:pt>
                <c:pt idx="6">
                  <c:v>-35.966337902143103</c:v>
                </c:pt>
                <c:pt idx="7">
                  <c:v>-44.476459793551335</c:v>
                </c:pt>
                <c:pt idx="8">
                  <c:v>-48.358333710561233</c:v>
                </c:pt>
                <c:pt idx="9">
                  <c:v>-46.492107842573816</c:v>
                </c:pt>
                <c:pt idx="10">
                  <c:v>-39.286347809738935</c:v>
                </c:pt>
                <c:pt idx="11">
                  <c:v>-29.961870399881647</c:v>
                </c:pt>
                <c:pt idx="12">
                  <c:v>-20.624129690122004</c:v>
                </c:pt>
                <c:pt idx="13">
                  <c:v>-13.663738488035646</c:v>
                </c:pt>
                <c:pt idx="14">
                  <c:v>-8.7685083070406638</c:v>
                </c:pt>
                <c:pt idx="15">
                  <c:v>-5.5221588952293645</c:v>
                </c:pt>
                <c:pt idx="16">
                  <c:v>-3.5444825422380171</c:v>
                </c:pt>
                <c:pt idx="17">
                  <c:v>-2.2180408935012217</c:v>
                </c:pt>
                <c:pt idx="18">
                  <c:v>-1.4089471530833404</c:v>
                </c:pt>
                <c:pt idx="19">
                  <c:v>-0.88780810338648886</c:v>
                </c:pt>
              </c:numCache>
            </c:numRef>
          </c:yVal>
          <c:smooth val="1"/>
        </c:ser>
        <c:ser>
          <c:idx val="1"/>
          <c:order val="1"/>
          <c:tx>
            <c:v>Compensator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'Forward with RCD reset'!$G$148:$G$167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reset'!$I$148:$I$167</c:f>
              <c:numCache>
                <c:formatCode>General</c:formatCode>
                <c:ptCount val="20"/>
                <c:pt idx="0">
                  <c:v>-83.862413111383404</c:v>
                </c:pt>
                <c:pt idx="1">
                  <c:v>-80.466696828311171</c:v>
                </c:pt>
                <c:pt idx="2">
                  <c:v>-74.977616612512861</c:v>
                </c:pt>
                <c:pt idx="3">
                  <c:v>-67.149570914944405</c:v>
                </c:pt>
                <c:pt idx="4">
                  <c:v>-56.425587541504676</c:v>
                </c:pt>
                <c:pt idx="5">
                  <c:v>-43.84036058492925</c:v>
                </c:pt>
                <c:pt idx="6">
                  <c:v>-32.740116015182714</c:v>
                </c:pt>
                <c:pt idx="7">
                  <c:v>-24.171443569219875</c:v>
                </c:pt>
                <c:pt idx="8">
                  <c:v>-19.673875874863498</c:v>
                </c:pt>
                <c:pt idx="9">
                  <c:v>-18.870304362818032</c:v>
                </c:pt>
                <c:pt idx="10">
                  <c:v>-21.910138588504751</c:v>
                </c:pt>
                <c:pt idx="11">
                  <c:v>-28.503206824315235</c:v>
                </c:pt>
                <c:pt idx="12">
                  <c:v>-39.048474335395056</c:v>
                </c:pt>
                <c:pt idx="13">
                  <c:v>-51.181916592894368</c:v>
                </c:pt>
                <c:pt idx="14">
                  <c:v>-62.856876446243845</c:v>
                </c:pt>
                <c:pt idx="15">
                  <c:v>-72.156524612453978</c:v>
                </c:pt>
                <c:pt idx="16">
                  <c:v>-78.339134837183835</c:v>
                </c:pt>
                <c:pt idx="17">
                  <c:v>-82.64483963069317</c:v>
                </c:pt>
                <c:pt idx="18">
                  <c:v>-85.313384527298425</c:v>
                </c:pt>
                <c:pt idx="19">
                  <c:v>-87.043116054348545</c:v>
                </c:pt>
              </c:numCache>
            </c:numRef>
          </c:yVal>
          <c:smooth val="1"/>
        </c:ser>
        <c:ser>
          <c:idx val="2"/>
          <c:order val="2"/>
          <c:tx>
            <c:v>T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'Forward with RCD reset'!$G$148:$G$167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40</c:v>
                </c:pt>
                <c:pt idx="3">
                  <c:v>63</c:v>
                </c:pt>
                <c:pt idx="4">
                  <c:v>100</c:v>
                </c:pt>
                <c:pt idx="5">
                  <c:v>160</c:v>
                </c:pt>
                <c:pt idx="6">
                  <c:v>250</c:v>
                </c:pt>
                <c:pt idx="7">
                  <c:v>400</c:v>
                </c:pt>
                <c:pt idx="8">
                  <c:v>630</c:v>
                </c:pt>
                <c:pt idx="9">
                  <c:v>1000</c:v>
                </c:pt>
                <c:pt idx="10">
                  <c:v>1600</c:v>
                </c:pt>
                <c:pt idx="11">
                  <c:v>2500</c:v>
                </c:pt>
                <c:pt idx="12">
                  <c:v>4000</c:v>
                </c:pt>
                <c:pt idx="13">
                  <c:v>6300</c:v>
                </c:pt>
                <c:pt idx="14">
                  <c:v>10000</c:v>
                </c:pt>
                <c:pt idx="15">
                  <c:v>16000</c:v>
                </c:pt>
                <c:pt idx="16">
                  <c:v>25000</c:v>
                </c:pt>
                <c:pt idx="17">
                  <c:v>40000</c:v>
                </c:pt>
                <c:pt idx="18">
                  <c:v>63000</c:v>
                </c:pt>
                <c:pt idx="19">
                  <c:v>100000</c:v>
                </c:pt>
              </c:numCache>
            </c:numRef>
          </c:xVal>
          <c:yVal>
            <c:numRef>
              <c:f>'Forward with RCD reset'!$J$148:$J$167</c:f>
              <c:numCache>
                <c:formatCode>General</c:formatCode>
                <c:ptCount val="20"/>
                <c:pt idx="0">
                  <c:v>-86.87113224249093</c:v>
                </c:pt>
                <c:pt idx="1">
                  <c:v>-85.157963368751837</c:v>
                </c:pt>
                <c:pt idx="2">
                  <c:v>-82.442458264096004</c:v>
                </c:pt>
                <c:pt idx="3">
                  <c:v>-78.753557146816732</c:v>
                </c:pt>
                <c:pt idx="4">
                  <c:v>-74.267148515001168</c:v>
                </c:pt>
                <c:pt idx="5">
                  <c:v>-70.352486910183785</c:v>
                </c:pt>
                <c:pt idx="6">
                  <c:v>-68.706453917325817</c:v>
                </c:pt>
                <c:pt idx="7">
                  <c:v>-68.647903362771217</c:v>
                </c:pt>
                <c:pt idx="8">
                  <c:v>-68.032209585424738</c:v>
                </c:pt>
                <c:pt idx="9">
                  <c:v>-65.362412205391848</c:v>
                </c:pt>
                <c:pt idx="10">
                  <c:v>-61.196486398243685</c:v>
                </c:pt>
                <c:pt idx="11">
                  <c:v>-58.465077224196882</c:v>
                </c:pt>
                <c:pt idx="12">
                  <c:v>-59.67260402551706</c:v>
                </c:pt>
                <c:pt idx="13">
                  <c:v>-64.845655080930015</c:v>
                </c:pt>
                <c:pt idx="14">
                  <c:v>-71.625384753284507</c:v>
                </c:pt>
                <c:pt idx="15">
                  <c:v>-77.678683507683346</c:v>
                </c:pt>
                <c:pt idx="16">
                  <c:v>-81.88361737942185</c:v>
                </c:pt>
                <c:pt idx="17">
                  <c:v>-84.862880524194395</c:v>
                </c:pt>
                <c:pt idx="18">
                  <c:v>-86.722331680381771</c:v>
                </c:pt>
                <c:pt idx="19">
                  <c:v>-87.930924157735035</c:v>
                </c:pt>
              </c:numCache>
            </c:numRef>
          </c:yVal>
          <c:smooth val="1"/>
        </c:ser>
        <c:axId val="149572608"/>
        <c:axId val="149586688"/>
      </c:scatterChart>
      <c:valAx>
        <c:axId val="149572608"/>
        <c:scaling>
          <c:logBase val="10"/>
          <c:orientation val="minMax"/>
          <c:min val="1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49586688"/>
        <c:crosses val="autoZero"/>
        <c:crossBetween val="midCat"/>
      </c:valAx>
      <c:valAx>
        <c:axId val="149586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en-US"/>
                  <a:t>Phase (degree)</a:t>
                </a:r>
              </a:p>
            </c:rich>
          </c:tx>
          <c:layout>
            <c:manualLayout>
              <c:xMode val="edge"/>
              <c:yMode val="edge"/>
              <c:x val="3.2312978836128221E-2"/>
              <c:y val="0.312501271570929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en-US"/>
          </a:p>
        </c:txPr>
        <c:crossAx val="149572608"/>
        <c:crosses val="autoZero"/>
        <c:crossBetween val="midCat"/>
        <c:majorUnit val="3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144</xdr:row>
      <xdr:rowOff>9525</xdr:rowOff>
    </xdr:from>
    <xdr:to>
      <xdr:col>8</xdr:col>
      <xdr:colOff>476250</xdr:colOff>
      <xdr:row>157</xdr:row>
      <xdr:rowOff>19050</xdr:rowOff>
    </xdr:to>
    <xdr:graphicFrame macro="">
      <xdr:nvGraphicFramePr>
        <xdr:cNvPr id="1083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157</xdr:row>
      <xdr:rowOff>19050</xdr:rowOff>
    </xdr:from>
    <xdr:to>
      <xdr:col>8</xdr:col>
      <xdr:colOff>485775</xdr:colOff>
      <xdr:row>170</xdr:row>
      <xdr:rowOff>76200</xdr:rowOff>
    </xdr:to>
    <xdr:graphicFrame macro="">
      <xdr:nvGraphicFramePr>
        <xdr:cNvPr id="1084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146</xdr:row>
      <xdr:rowOff>28575</xdr:rowOff>
    </xdr:from>
    <xdr:to>
      <xdr:col>9</xdr:col>
      <xdr:colOff>0</xdr:colOff>
      <xdr:row>159</xdr:row>
      <xdr:rowOff>38100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159</xdr:row>
      <xdr:rowOff>57150</xdr:rowOff>
    </xdr:from>
    <xdr:to>
      <xdr:col>9</xdr:col>
      <xdr:colOff>28575</xdr:colOff>
      <xdr:row>172</xdr:row>
      <xdr:rowOff>114300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1"/>
  <sheetViews>
    <sheetView tabSelected="1" topLeftCell="A63" workbookViewId="0">
      <selection activeCell="C84" sqref="C84"/>
    </sheetView>
  </sheetViews>
  <sheetFormatPr defaultRowHeight="13.5"/>
  <cols>
    <col min="1" max="1" width="3.5546875" customWidth="1"/>
    <col min="2" max="2" width="32" customWidth="1"/>
    <col min="3" max="3" width="8.21875" customWidth="1"/>
    <col min="4" max="4" width="4.44140625" customWidth="1"/>
    <col min="5" max="5" width="3.77734375" customWidth="1"/>
    <col min="6" max="6" width="3.21875" customWidth="1"/>
    <col min="7" max="7" width="5.44140625" customWidth="1"/>
    <col min="8" max="8" width="2.33203125" customWidth="1"/>
    <col min="9" max="9" width="5.77734375" customWidth="1"/>
    <col min="10" max="10" width="2.44140625" customWidth="1"/>
    <col min="11" max="11" width="5.109375" customWidth="1"/>
    <col min="12" max="12" width="12.6640625" bestFit="1" customWidth="1"/>
  </cols>
  <sheetData>
    <row r="1" spans="1:14">
      <c r="B1" s="4"/>
      <c r="C1" s="252" t="s">
        <v>106</v>
      </c>
      <c r="D1" s="253"/>
      <c r="E1" s="253"/>
      <c r="F1" s="253"/>
      <c r="G1" s="253"/>
      <c r="H1" s="254"/>
      <c r="I1" s="4"/>
    </row>
    <row r="2" spans="1:14">
      <c r="A2" s="4"/>
      <c r="B2" s="4"/>
      <c r="C2" s="254"/>
      <c r="D2" s="254"/>
      <c r="E2" s="254"/>
      <c r="F2" s="254"/>
      <c r="G2" s="254"/>
      <c r="H2" s="254"/>
      <c r="I2" s="4" t="s">
        <v>107</v>
      </c>
    </row>
    <row r="3" spans="1:14" ht="15">
      <c r="A3" s="4"/>
      <c r="B3" s="4"/>
      <c r="C3" s="228" t="s">
        <v>313</v>
      </c>
      <c r="D3" s="228"/>
      <c r="E3" s="228"/>
      <c r="F3" s="228"/>
      <c r="G3" s="228"/>
      <c r="H3" s="228"/>
      <c r="I3" s="229"/>
    </row>
    <row r="4" spans="1:14">
      <c r="I4" s="4"/>
    </row>
    <row r="5" spans="1:14">
      <c r="C5" s="5" t="s">
        <v>1</v>
      </c>
      <c r="D5" s="19" t="s">
        <v>0</v>
      </c>
      <c r="E5" s="19"/>
      <c r="F5" s="19"/>
      <c r="G5" s="19"/>
      <c r="H5" s="4"/>
    </row>
    <row r="6" spans="1:14">
      <c r="C6" s="6" t="s">
        <v>2</v>
      </c>
      <c r="D6" s="19" t="s">
        <v>11</v>
      </c>
      <c r="E6" s="19"/>
      <c r="F6" s="19"/>
      <c r="G6" s="19"/>
      <c r="H6" s="4"/>
    </row>
    <row r="7" spans="1:14">
      <c r="I7" s="4"/>
    </row>
    <row r="8" spans="1:14">
      <c r="A8" s="17" t="s">
        <v>30</v>
      </c>
      <c r="B8" s="23"/>
      <c r="C8" s="23"/>
      <c r="D8" s="23"/>
      <c r="E8" s="23"/>
      <c r="F8" s="23"/>
      <c r="G8" s="23"/>
      <c r="H8" s="23"/>
      <c r="I8" s="23"/>
    </row>
    <row r="9" spans="1:14">
      <c r="A9" s="4"/>
      <c r="B9" s="9" t="s">
        <v>111</v>
      </c>
      <c r="C9" s="21">
        <v>270</v>
      </c>
      <c r="D9" s="10" t="s">
        <v>74</v>
      </c>
      <c r="G9" s="4"/>
      <c r="H9" s="4"/>
      <c r="I9" s="4"/>
    </row>
    <row r="10" spans="1:14">
      <c r="B10" s="9" t="s">
        <v>112</v>
      </c>
      <c r="C10" s="21">
        <v>271</v>
      </c>
      <c r="D10" s="10" t="s">
        <v>74</v>
      </c>
      <c r="E10" s="12"/>
      <c r="F10" s="12"/>
    </row>
    <row r="11" spans="1:14">
      <c r="B11" s="11" t="s">
        <v>113</v>
      </c>
      <c r="C11" s="21">
        <v>60</v>
      </c>
      <c r="D11" s="12" t="s">
        <v>4</v>
      </c>
      <c r="N11" s="50"/>
    </row>
    <row r="12" spans="1:14">
      <c r="N12" s="50"/>
    </row>
    <row r="13" spans="1:14">
      <c r="B13" s="25"/>
      <c r="C13" s="26" t="s">
        <v>40</v>
      </c>
      <c r="D13" s="25"/>
      <c r="E13" s="26" t="s">
        <v>108</v>
      </c>
      <c r="F13" s="25"/>
      <c r="G13" s="26" t="s">
        <v>109</v>
      </c>
      <c r="H13" s="26"/>
      <c r="I13" s="26" t="s">
        <v>110</v>
      </c>
      <c r="N13" s="50"/>
    </row>
    <row r="14" spans="1:14">
      <c r="B14" s="11" t="s">
        <v>31</v>
      </c>
      <c r="C14" s="21">
        <v>48</v>
      </c>
      <c r="D14" s="12" t="s">
        <v>3</v>
      </c>
      <c r="E14" s="21">
        <v>2</v>
      </c>
      <c r="F14" s="12" t="s">
        <v>22</v>
      </c>
      <c r="G14" s="14">
        <f>C14*E14</f>
        <v>96</v>
      </c>
      <c r="H14" s="3" t="s">
        <v>25</v>
      </c>
      <c r="I14" s="14">
        <f>G14/C$18*100</f>
        <v>100</v>
      </c>
      <c r="J14" s="3" t="s">
        <v>27</v>
      </c>
      <c r="N14" s="50"/>
    </row>
    <row r="15" spans="1:14">
      <c r="B15" s="11" t="s">
        <v>18</v>
      </c>
      <c r="C15" s="21">
        <v>0</v>
      </c>
      <c r="D15" s="12" t="s">
        <v>3</v>
      </c>
      <c r="E15" s="21">
        <v>0</v>
      </c>
      <c r="F15" s="12" t="s">
        <v>21</v>
      </c>
      <c r="G15" s="14">
        <f>C15*E15</f>
        <v>0</v>
      </c>
      <c r="H15" s="3" t="s">
        <v>26</v>
      </c>
      <c r="I15" s="14">
        <f>G15/C$18*100</f>
        <v>0</v>
      </c>
      <c r="J15" s="3" t="s">
        <v>28</v>
      </c>
      <c r="N15" s="50"/>
    </row>
    <row r="16" spans="1:14">
      <c r="B16" s="11" t="s">
        <v>19</v>
      </c>
      <c r="C16" s="21">
        <v>0</v>
      </c>
      <c r="D16" s="12" t="s">
        <v>3</v>
      </c>
      <c r="E16" s="21">
        <v>0</v>
      </c>
      <c r="F16" s="12" t="s">
        <v>23</v>
      </c>
      <c r="G16" s="14">
        <f>C16*E16</f>
        <v>0</v>
      </c>
      <c r="H16" s="3" t="s">
        <v>5</v>
      </c>
      <c r="I16" s="14">
        <f>G16/C$18*100</f>
        <v>0</v>
      </c>
      <c r="J16" s="3" t="s">
        <v>29</v>
      </c>
      <c r="N16" s="50"/>
    </row>
    <row r="17" spans="1:14">
      <c r="B17" s="11" t="s">
        <v>20</v>
      </c>
      <c r="C17" s="21">
        <v>0</v>
      </c>
      <c r="D17" s="12" t="s">
        <v>3</v>
      </c>
      <c r="E17" s="21">
        <v>0</v>
      </c>
      <c r="F17" s="12" t="s">
        <v>23</v>
      </c>
      <c r="G17" s="14">
        <f>C17*E17</f>
        <v>0</v>
      </c>
      <c r="H17" s="3" t="s">
        <v>25</v>
      </c>
      <c r="I17" s="14">
        <f>G17/C$18*100</f>
        <v>0</v>
      </c>
      <c r="J17" s="3" t="s">
        <v>29</v>
      </c>
      <c r="N17" s="50"/>
    </row>
    <row r="18" spans="1:14">
      <c r="B18" s="3" t="s">
        <v>96</v>
      </c>
      <c r="C18" s="13">
        <f>SUM(G14:G17)</f>
        <v>96</v>
      </c>
      <c r="D18" s="3" t="s">
        <v>24</v>
      </c>
      <c r="N18" s="50"/>
    </row>
    <row r="19" spans="1:14">
      <c r="B19" s="11" t="s">
        <v>114</v>
      </c>
      <c r="C19" s="21">
        <v>70</v>
      </c>
      <c r="D19" s="12" t="s">
        <v>6</v>
      </c>
      <c r="N19" s="50"/>
    </row>
    <row r="20" spans="1:14">
      <c r="B20" s="3" t="s">
        <v>97</v>
      </c>
      <c r="C20" s="13">
        <f>Po/Eff</f>
        <v>137.14285714285714</v>
      </c>
      <c r="D20" s="3" t="s">
        <v>24</v>
      </c>
      <c r="N20" s="50"/>
    </row>
    <row r="21" spans="1:14">
      <c r="N21" s="50"/>
    </row>
    <row r="22" spans="1:14">
      <c r="A22" s="18" t="s">
        <v>311</v>
      </c>
      <c r="B22" s="18"/>
      <c r="C22" s="18"/>
      <c r="D22" s="18"/>
      <c r="E22" s="18"/>
      <c r="F22" s="18"/>
      <c r="G22" s="18"/>
      <c r="H22" s="18"/>
      <c r="I22" s="18"/>
      <c r="N22" s="50"/>
    </row>
    <row r="23" spans="1:14">
      <c r="B23" s="11" t="s">
        <v>15</v>
      </c>
      <c r="C23" s="21">
        <v>1000</v>
      </c>
      <c r="D23" s="12" t="s">
        <v>12</v>
      </c>
      <c r="N23" s="50"/>
    </row>
    <row r="24" spans="1:14">
      <c r="B24" s="3" t="s">
        <v>7</v>
      </c>
      <c r="C24" s="14">
        <f>Pin*0.8/(SQRT(2)*V_line_min*2*fL*Cdc)</f>
        <v>2.394435661160796</v>
      </c>
      <c r="D24" s="3" t="s">
        <v>3</v>
      </c>
      <c r="N24" s="50"/>
    </row>
    <row r="25" spans="1:14">
      <c r="B25" s="3" t="s">
        <v>8</v>
      </c>
      <c r="C25" s="14">
        <f>SQRT(2)*V_line_min-C24</f>
        <v>379.44322617957488</v>
      </c>
      <c r="D25" s="3" t="s">
        <v>3</v>
      </c>
      <c r="N25" s="50"/>
    </row>
    <row r="26" spans="1:14">
      <c r="B26" s="3" t="s">
        <v>312</v>
      </c>
      <c r="C26" s="14">
        <f>SQRT(2)*V_line_max</f>
        <v>383.25187540310878</v>
      </c>
      <c r="D26" s="3" t="s">
        <v>3</v>
      </c>
      <c r="N26" s="50"/>
    </row>
    <row r="27" spans="1:14">
      <c r="N27" s="50"/>
    </row>
    <row r="28" spans="1:14">
      <c r="A28" s="18" t="s">
        <v>314</v>
      </c>
      <c r="B28" s="18"/>
      <c r="C28" s="18"/>
      <c r="D28" s="18"/>
      <c r="E28" s="18"/>
      <c r="F28" s="18"/>
      <c r="G28" s="18"/>
      <c r="H28" s="18"/>
      <c r="I28" s="18"/>
      <c r="N28" s="50"/>
    </row>
    <row r="29" spans="1:14">
      <c r="B29" s="11" t="s">
        <v>13</v>
      </c>
      <c r="C29" s="21">
        <v>0.4</v>
      </c>
      <c r="D29" s="12"/>
      <c r="F29" s="2"/>
      <c r="N29" s="50"/>
    </row>
    <row r="30" spans="1:14">
      <c r="B30" s="11" t="s">
        <v>315</v>
      </c>
      <c r="C30" s="21">
        <v>1</v>
      </c>
      <c r="D30" s="230" t="s">
        <v>316</v>
      </c>
      <c r="E30" s="255">
        <f>Dmax/(1-Dmax)</f>
        <v>0.66666666666666674</v>
      </c>
      <c r="F30" s="256"/>
      <c r="N30" s="50"/>
    </row>
    <row r="31" spans="1:14">
      <c r="B31" s="3" t="s">
        <v>310</v>
      </c>
      <c r="C31" s="14">
        <f>Vdc_max*(1+C30)</f>
        <v>766.50375080621757</v>
      </c>
      <c r="D31" s="3" t="s">
        <v>9</v>
      </c>
      <c r="N31" s="50"/>
    </row>
    <row r="32" spans="1:14">
      <c r="B32" s="231"/>
      <c r="C32" s="232"/>
      <c r="D32" s="231"/>
      <c r="N32" s="50"/>
    </row>
    <row r="33" spans="1:14">
      <c r="A33" s="18" t="s">
        <v>317</v>
      </c>
      <c r="B33" s="18"/>
      <c r="C33" s="18"/>
      <c r="D33" s="18"/>
      <c r="E33" s="18"/>
      <c r="F33" s="18"/>
      <c r="G33" s="18"/>
      <c r="H33" s="18"/>
      <c r="I33" s="18"/>
      <c r="N33" s="50"/>
    </row>
    <row r="34" spans="1:14">
      <c r="B34" s="11" t="s">
        <v>346</v>
      </c>
      <c r="C34" s="21">
        <v>0.1</v>
      </c>
      <c r="N34" s="50"/>
    </row>
    <row r="35" spans="1:14">
      <c r="B35" s="3" t="s">
        <v>14</v>
      </c>
      <c r="C35" s="51">
        <f>Pin/(Vdc_min*Dmax)*(1+KRF)</f>
        <v>0.99393751455289114</v>
      </c>
      <c r="D35" s="3" t="s">
        <v>22</v>
      </c>
      <c r="N35" s="50"/>
    </row>
    <row r="36" spans="1:14">
      <c r="B36" s="3" t="s">
        <v>318</v>
      </c>
      <c r="C36" s="51">
        <f>Pin/(Vdc_min*Dmax)*SQRT((3+KRF^2)*Dmax/3)</f>
        <v>0.57242555461309963</v>
      </c>
      <c r="D36" s="3" t="s">
        <v>22</v>
      </c>
      <c r="N36" s="50"/>
    </row>
    <row r="37" spans="1:14">
      <c r="B37" s="11" t="s">
        <v>348</v>
      </c>
      <c r="C37" s="21">
        <v>4</v>
      </c>
      <c r="D37" s="12" t="s">
        <v>22</v>
      </c>
      <c r="N37" s="50"/>
    </row>
    <row r="38" spans="1:14">
      <c r="N38" s="50"/>
    </row>
    <row r="39" spans="1:14">
      <c r="N39" s="50"/>
    </row>
    <row r="40" spans="1:14">
      <c r="N40" s="50"/>
    </row>
    <row r="41" spans="1:14">
      <c r="N41" s="50"/>
    </row>
    <row r="42" spans="1:14">
      <c r="N42" s="50"/>
    </row>
    <row r="43" spans="1:14">
      <c r="N43" s="50"/>
    </row>
    <row r="44" spans="1:14">
      <c r="N44" s="50"/>
    </row>
    <row r="45" spans="1:14">
      <c r="N45" s="50"/>
    </row>
    <row r="46" spans="1:14">
      <c r="N46" s="50"/>
    </row>
    <row r="47" spans="1:14">
      <c r="N47" s="50"/>
    </row>
    <row r="48" spans="1:14">
      <c r="A48" s="18" t="s">
        <v>319</v>
      </c>
      <c r="B48" s="18"/>
      <c r="C48" s="18"/>
      <c r="D48" s="18"/>
      <c r="E48" s="18"/>
      <c r="F48" s="18"/>
      <c r="G48" s="18"/>
      <c r="H48" s="18"/>
      <c r="I48" s="18"/>
      <c r="N48" s="50"/>
    </row>
    <row r="49" spans="1:14">
      <c r="B49" s="11" t="s">
        <v>32</v>
      </c>
      <c r="C49" s="21">
        <v>100</v>
      </c>
      <c r="D49" s="12" t="s">
        <v>33</v>
      </c>
      <c r="E49" s="12"/>
      <c r="F49" s="12"/>
      <c r="G49" s="12"/>
      <c r="N49" s="50"/>
    </row>
    <row r="50" spans="1:14">
      <c r="B50" s="11" t="s">
        <v>307</v>
      </c>
      <c r="C50" s="52">
        <v>0.32</v>
      </c>
      <c r="D50" s="12" t="s">
        <v>36</v>
      </c>
      <c r="F50" s="224" t="s">
        <v>393</v>
      </c>
      <c r="G50" s="223" t="s">
        <v>391</v>
      </c>
      <c r="H50" s="223"/>
      <c r="I50" s="223"/>
      <c r="K50" s="12"/>
      <c r="N50" s="50"/>
    </row>
    <row r="51" spans="1:14" ht="15.75">
      <c r="B51" s="8" t="s">
        <v>16</v>
      </c>
      <c r="C51" s="14">
        <f>(11.1*Pin/0.141/Bmax/fs)^1.31*10000</f>
        <v>2409.0536721008903</v>
      </c>
      <c r="D51" s="3" t="s">
        <v>17</v>
      </c>
      <c r="G51" s="223" t="s">
        <v>394</v>
      </c>
      <c r="H51" s="223"/>
      <c r="I51" s="223"/>
      <c r="N51" s="50"/>
    </row>
    <row r="52" spans="1:14" ht="15.75">
      <c r="B52" s="11" t="s">
        <v>98</v>
      </c>
      <c r="C52" s="21">
        <v>52</v>
      </c>
      <c r="D52" s="12" t="s">
        <v>34</v>
      </c>
      <c r="G52" s="223" t="s">
        <v>395</v>
      </c>
      <c r="H52" s="223"/>
      <c r="I52" s="223"/>
      <c r="N52" s="50"/>
    </row>
    <row r="53" spans="1:14">
      <c r="B53" s="8" t="s">
        <v>35</v>
      </c>
      <c r="C53" s="13">
        <f>Vdc_min*Dmax/Ae/fs/Bmax*1000000</f>
        <v>91.212313985474722</v>
      </c>
      <c r="D53" s="3" t="s">
        <v>36</v>
      </c>
      <c r="E53" s="22"/>
      <c r="G53" s="223" t="s">
        <v>396</v>
      </c>
      <c r="H53" s="223"/>
      <c r="I53" s="223"/>
      <c r="N53" s="50"/>
    </row>
    <row r="54" spans="1:14">
      <c r="B54" s="3"/>
      <c r="C54" s="232"/>
      <c r="D54" s="3"/>
      <c r="N54" s="50"/>
    </row>
    <row r="55" spans="1:14">
      <c r="A55" s="18" t="s">
        <v>39</v>
      </c>
      <c r="B55" s="18"/>
      <c r="C55" s="18"/>
      <c r="D55" s="18"/>
      <c r="E55" s="18"/>
      <c r="F55" s="18"/>
      <c r="G55" s="18"/>
      <c r="H55" s="18"/>
      <c r="I55" s="18"/>
      <c r="N55" s="50"/>
    </row>
    <row r="56" spans="1:14">
      <c r="N56" s="50"/>
    </row>
    <row r="57" spans="1:14">
      <c r="B57" s="25"/>
      <c r="C57" s="26" t="s">
        <v>40</v>
      </c>
      <c r="D57" s="25"/>
      <c r="E57" s="26" t="s">
        <v>41</v>
      </c>
      <c r="F57" s="25"/>
      <c r="G57" s="25"/>
      <c r="H57" s="26" t="s">
        <v>44</v>
      </c>
      <c r="I57" s="26"/>
      <c r="J57" s="26"/>
      <c r="N57" s="50"/>
    </row>
    <row r="58" spans="1:14">
      <c r="B58" s="8" t="s">
        <v>77</v>
      </c>
      <c r="C58" s="21">
        <v>12</v>
      </c>
      <c r="D58" s="12" t="s">
        <v>37</v>
      </c>
      <c r="E58" s="21">
        <v>1.2</v>
      </c>
      <c r="F58" s="12" t="s">
        <v>37</v>
      </c>
      <c r="G58" s="28">
        <f>Nr*(Vcc+VFC)/Vdc_min</f>
        <v>3.2727272727272729</v>
      </c>
      <c r="H58" s="27" t="s">
        <v>42</v>
      </c>
      <c r="I58" s="16">
        <f>ROUND(G58,0)</f>
        <v>3</v>
      </c>
      <c r="J58" s="3" t="s">
        <v>43</v>
      </c>
      <c r="N58" s="50"/>
    </row>
    <row r="59" spans="1:14">
      <c r="B59" s="8" t="s">
        <v>78</v>
      </c>
      <c r="C59" s="225">
        <f>_Vo1</f>
        <v>48</v>
      </c>
      <c r="D59" s="12" t="s">
        <v>37</v>
      </c>
      <c r="E59" s="21">
        <v>0.4</v>
      </c>
      <c r="F59" s="12" t="s">
        <v>37</v>
      </c>
      <c r="G59" s="24">
        <v>30</v>
      </c>
      <c r="H59" s="27" t="s">
        <v>42</v>
      </c>
      <c r="I59" s="16">
        <f>ROUND(G59,0)</f>
        <v>30</v>
      </c>
      <c r="J59" s="3" t="s">
        <v>43</v>
      </c>
      <c r="N59" s="50"/>
    </row>
    <row r="60" spans="1:14">
      <c r="B60" s="8" t="s">
        <v>79</v>
      </c>
      <c r="C60" s="225">
        <f>_Vo2</f>
        <v>0</v>
      </c>
      <c r="D60" s="12" t="s">
        <v>37</v>
      </c>
      <c r="E60" s="21">
        <v>0.4</v>
      </c>
      <c r="F60" s="12" t="s">
        <v>37</v>
      </c>
      <c r="G60" s="28">
        <f>_Ns1*(_Vo2+_VF2)/(_Vo1+_VF1)</f>
        <v>0.24793388429752067</v>
      </c>
      <c r="H60" s="27" t="s">
        <v>42</v>
      </c>
      <c r="I60" s="16">
        <f>ROUND(G60,0)</f>
        <v>0</v>
      </c>
      <c r="J60" s="3" t="s">
        <v>43</v>
      </c>
      <c r="N60" s="50"/>
    </row>
    <row r="61" spans="1:14">
      <c r="B61" s="8" t="s">
        <v>80</v>
      </c>
      <c r="C61" s="225">
        <f>_Vo3</f>
        <v>0</v>
      </c>
      <c r="D61" s="12" t="s">
        <v>37</v>
      </c>
      <c r="E61" s="21">
        <v>1</v>
      </c>
      <c r="F61" s="12" t="s">
        <v>37</v>
      </c>
      <c r="G61" s="28">
        <f>_Ns1*(_Vo3+_VF3)/(_Vo1+_VF1)</f>
        <v>0.6198347107438017</v>
      </c>
      <c r="H61" s="27" t="s">
        <v>42</v>
      </c>
      <c r="I61" s="16">
        <f>ROUND(G61,0)</f>
        <v>1</v>
      </c>
      <c r="J61" s="3" t="s">
        <v>43</v>
      </c>
      <c r="N61" s="50"/>
    </row>
    <row r="62" spans="1:14">
      <c r="B62" s="8" t="s">
        <v>20</v>
      </c>
      <c r="C62" s="225">
        <f>_Vo4</f>
        <v>0</v>
      </c>
      <c r="D62" s="12" t="s">
        <v>37</v>
      </c>
      <c r="E62" s="21">
        <v>0</v>
      </c>
      <c r="F62" s="12" t="s">
        <v>37</v>
      </c>
      <c r="G62" s="28">
        <f>_Ns1*(_Vo4+_VF4)/(_Vo1+_VF1)</f>
        <v>0</v>
      </c>
      <c r="H62" s="27" t="s">
        <v>42</v>
      </c>
      <c r="I62" s="16">
        <f>ROUND(G62,0)</f>
        <v>0</v>
      </c>
      <c r="J62" s="3" t="s">
        <v>43</v>
      </c>
      <c r="N62" s="50"/>
    </row>
    <row r="63" spans="1:14">
      <c r="B63" s="15" t="s">
        <v>38</v>
      </c>
      <c r="E63" s="234" t="s">
        <v>323</v>
      </c>
      <c r="F63" s="234"/>
      <c r="G63" s="234"/>
      <c r="H63" s="234"/>
      <c r="I63" s="14">
        <f>Np/NpNr</f>
        <v>94.076832937084689</v>
      </c>
      <c r="J63" s="3" t="s">
        <v>43</v>
      </c>
      <c r="N63" s="50"/>
    </row>
    <row r="64" spans="1:14">
      <c r="E64" s="234" t="s">
        <v>322</v>
      </c>
      <c r="F64" s="234"/>
      <c r="G64" s="234"/>
      <c r="H64" s="234"/>
      <c r="I64" s="14">
        <f>Vdc_min*Dmax*_Ns1/(_Vo1+_VF1)</f>
        <v>94.076832937084689</v>
      </c>
      <c r="J64" s="3" t="s">
        <v>43</v>
      </c>
    </row>
    <row r="65" spans="1:13">
      <c r="D65" s="8"/>
      <c r="E65" s="30" t="str">
        <f>IF(I64&lt;C53,"-&gt;More turns required !!!","-&gt;enough turns")</f>
        <v>-&gt;enough turns</v>
      </c>
      <c r="F65" s="30"/>
      <c r="G65" s="30"/>
      <c r="H65" s="30"/>
      <c r="I65" s="30"/>
      <c r="J65" s="30"/>
    </row>
    <row r="66" spans="1:13" ht="15.75">
      <c r="B66" s="11" t="s">
        <v>105</v>
      </c>
      <c r="C66" s="21">
        <v>2490</v>
      </c>
      <c r="D66" t="s">
        <v>76</v>
      </c>
    </row>
    <row r="67" spans="1:13">
      <c r="B67" s="8" t="s">
        <v>320</v>
      </c>
      <c r="C67" s="7">
        <f>AL*Np^2/1000000</f>
        <v>22.037621733725636</v>
      </c>
      <c r="D67" s="3" t="s">
        <v>321</v>
      </c>
      <c r="F67" s="2" t="s">
        <v>390</v>
      </c>
      <c r="G67" s="223" t="s">
        <v>391</v>
      </c>
    </row>
    <row r="69" spans="1:13">
      <c r="A69" s="18" t="s">
        <v>324</v>
      </c>
      <c r="B69" s="18"/>
      <c r="C69" s="18"/>
      <c r="D69" s="18"/>
      <c r="E69" s="18"/>
      <c r="F69" s="18"/>
      <c r="G69" s="18"/>
      <c r="H69" s="18"/>
      <c r="I69" s="18"/>
    </row>
    <row r="70" spans="1:13">
      <c r="B70" s="11"/>
      <c r="C70" s="44"/>
      <c r="D70" s="35"/>
      <c r="E70" s="35"/>
    </row>
    <row r="71" spans="1:13" ht="15.75">
      <c r="B71" s="25"/>
      <c r="C71" s="26" t="s">
        <v>45</v>
      </c>
      <c r="D71" s="26"/>
      <c r="E71" s="33" t="s">
        <v>49</v>
      </c>
      <c r="F71" s="33"/>
      <c r="G71" s="26" t="s">
        <v>61</v>
      </c>
      <c r="H71" s="26"/>
      <c r="I71" s="45" t="s">
        <v>50</v>
      </c>
      <c r="J71" s="32"/>
    </row>
    <row r="72" spans="1:13">
      <c r="B72" s="8" t="s">
        <v>325</v>
      </c>
      <c r="C72" s="29">
        <v>0.4</v>
      </c>
      <c r="D72" s="12" t="s">
        <v>47</v>
      </c>
      <c r="E72" s="29">
        <v>1</v>
      </c>
      <c r="F72" t="s">
        <v>36</v>
      </c>
      <c r="G72" s="31">
        <f>Ids_rms</f>
        <v>0.57242555461309963</v>
      </c>
      <c r="H72" s="3" t="s">
        <v>22</v>
      </c>
      <c r="I72" s="251">
        <f t="shared" ref="I72:I78" si="0">G72/E72/(3.14/4*C72^2)</f>
        <v>4.5575283010597101</v>
      </c>
      <c r="J72" s="251"/>
    </row>
    <row r="73" spans="1:13">
      <c r="B73" s="8" t="s">
        <v>326</v>
      </c>
      <c r="C73" s="29">
        <v>0.2</v>
      </c>
      <c r="D73" s="12" t="s">
        <v>47</v>
      </c>
      <c r="E73" s="29">
        <v>1</v>
      </c>
      <c r="F73" t="s">
        <v>36</v>
      </c>
      <c r="G73" s="31">
        <f>Vdc_min/Lm*Dmax/fs*SQRT(Dmax/3)</f>
        <v>2.5148462543703311E-2</v>
      </c>
      <c r="H73" s="3" t="s">
        <v>22</v>
      </c>
      <c r="I73" s="251">
        <f t="shared" si="0"/>
        <v>0.80090645043641107</v>
      </c>
      <c r="J73" s="251"/>
      <c r="M73" s="50"/>
    </row>
    <row r="74" spans="1:13">
      <c r="B74" s="8" t="s">
        <v>81</v>
      </c>
      <c r="C74" s="29">
        <v>0.2</v>
      </c>
      <c r="D74" s="12" t="s">
        <v>47</v>
      </c>
      <c r="E74" s="29">
        <v>1</v>
      </c>
      <c r="F74" t="s">
        <v>46</v>
      </c>
      <c r="G74" s="31">
        <v>0.1</v>
      </c>
      <c r="H74" s="3" t="s">
        <v>22</v>
      </c>
      <c r="I74" s="251">
        <f t="shared" si="0"/>
        <v>3.1847133757961781</v>
      </c>
      <c r="J74" s="251"/>
      <c r="M74" s="50"/>
    </row>
    <row r="75" spans="1:13">
      <c r="B75" s="8" t="s">
        <v>82</v>
      </c>
      <c r="C75" s="29">
        <v>0.63</v>
      </c>
      <c r="D75" s="12" t="s">
        <v>47</v>
      </c>
      <c r="E75" s="29">
        <v>1</v>
      </c>
      <c r="F75" t="s">
        <v>46</v>
      </c>
      <c r="G75" s="53">
        <f>Io_1*SQRT((3+KRF^2)*Dmax/3)</f>
        <v>1.2670174952751574</v>
      </c>
      <c r="H75" s="3" t="s">
        <v>22</v>
      </c>
      <c r="I75" s="251">
        <f t="shared" si="0"/>
        <v>4.0666037435833351</v>
      </c>
      <c r="J75" s="251"/>
      <c r="M75" s="50"/>
    </row>
    <row r="76" spans="1:13">
      <c r="B76" s="8" t="s">
        <v>83</v>
      </c>
      <c r="C76" s="29">
        <v>0.63</v>
      </c>
      <c r="D76" s="12" t="s">
        <v>47</v>
      </c>
      <c r="E76" s="29">
        <v>1</v>
      </c>
      <c r="F76" t="s">
        <v>46</v>
      </c>
      <c r="G76" s="53">
        <f>Io_2*SQRT((3+KRF^2)*Dmax/3)</f>
        <v>0</v>
      </c>
      <c r="H76" s="3" t="s">
        <v>22</v>
      </c>
      <c r="I76" s="251">
        <f t="shared" si="0"/>
        <v>0</v>
      </c>
      <c r="J76" s="251"/>
      <c r="M76" s="50"/>
    </row>
    <row r="77" spans="1:13">
      <c r="B77" s="8" t="s">
        <v>84</v>
      </c>
      <c r="C77" s="29">
        <v>0.68</v>
      </c>
      <c r="D77" s="12" t="s">
        <v>47</v>
      </c>
      <c r="E77" s="29">
        <v>2</v>
      </c>
      <c r="F77" t="s">
        <v>46</v>
      </c>
      <c r="G77" s="53">
        <f>Io_3*SQRT((3+KRF^2)*Dmax/3)</f>
        <v>0</v>
      </c>
      <c r="H77" s="3" t="s">
        <v>22</v>
      </c>
      <c r="I77" s="251">
        <f t="shared" si="0"/>
        <v>0</v>
      </c>
      <c r="J77" s="251"/>
      <c r="M77" s="50"/>
    </row>
    <row r="78" spans="1:13">
      <c r="B78" s="8" t="s">
        <v>85</v>
      </c>
      <c r="C78" s="29">
        <v>0</v>
      </c>
      <c r="D78" s="12" t="s">
        <v>47</v>
      </c>
      <c r="E78" s="29">
        <v>0</v>
      </c>
      <c r="F78" t="s">
        <v>48</v>
      </c>
      <c r="G78" s="53">
        <f>Io_4*SQRT((3+KRF^2)*Dmax/3)</f>
        <v>0</v>
      </c>
      <c r="H78" s="3" t="s">
        <v>22</v>
      </c>
      <c r="I78" s="251" t="e">
        <f t="shared" si="0"/>
        <v>#DIV/0!</v>
      </c>
      <c r="J78" s="251"/>
      <c r="M78" s="50"/>
    </row>
    <row r="79" spans="1:13" ht="15.75">
      <c r="A79" s="36"/>
      <c r="B79" s="37" t="s">
        <v>51</v>
      </c>
      <c r="C79" s="7">
        <f>C72^2/4*3.14*E72*Np +C73^2/4*3.14*E73*Nr + C74^2/4*3.14*E74*Nc +C75^2/4*3.14*E75*_Ns1 +C76^2/4*3.14*E76*_Ns2 +C77^2/4*3.14*E77*_Ns3 +C78^2/4*3.14*E78*_Ns4</f>
        <v>24.9372257711223</v>
      </c>
      <c r="D79" s="3" t="s">
        <v>52</v>
      </c>
      <c r="E79" s="39"/>
      <c r="F79" s="36"/>
      <c r="G79" s="40"/>
      <c r="H79" s="38"/>
      <c r="I79" s="36"/>
      <c r="J79" s="38"/>
    </row>
    <row r="80" spans="1:13">
      <c r="A80" s="43"/>
      <c r="B80" s="11" t="s">
        <v>53</v>
      </c>
      <c r="C80" s="21">
        <v>0.4</v>
      </c>
      <c r="D80" s="12"/>
      <c r="E80" s="41"/>
      <c r="F80" s="42"/>
      <c r="G80" s="42"/>
      <c r="H80" s="42"/>
      <c r="I80" s="42"/>
      <c r="J80" s="36"/>
    </row>
    <row r="81" spans="1:13" ht="15.75">
      <c r="B81" s="37" t="s">
        <v>54</v>
      </c>
      <c r="C81" s="7">
        <f>C79/C80</f>
        <v>62.34306442780575</v>
      </c>
      <c r="D81" s="3" t="s">
        <v>52</v>
      </c>
      <c r="E81" s="2" t="s">
        <v>390</v>
      </c>
      <c r="F81" s="223" t="s">
        <v>391</v>
      </c>
      <c r="G81" s="49"/>
      <c r="H81" s="246" t="s">
        <v>392</v>
      </c>
      <c r="I81" s="246"/>
      <c r="J81" s="36"/>
      <c r="L81" s="223"/>
    </row>
    <row r="82" spans="1:13">
      <c r="K82" s="223"/>
      <c r="L82" s="223"/>
      <c r="M82" s="50"/>
    </row>
    <row r="83" spans="1:13">
      <c r="A83" s="18" t="s">
        <v>327</v>
      </c>
      <c r="B83" s="18"/>
      <c r="C83" s="18"/>
      <c r="D83" s="18"/>
      <c r="E83" s="18"/>
      <c r="F83" s="18"/>
      <c r="G83" s="18"/>
      <c r="H83" s="18"/>
      <c r="I83" s="18"/>
      <c r="K83" s="223"/>
      <c r="L83" s="223"/>
    </row>
    <row r="84" spans="1:13" ht="15.75">
      <c r="B84" s="11" t="s">
        <v>328</v>
      </c>
      <c r="C84" s="21">
        <v>32</v>
      </c>
      <c r="D84" s="12" t="s">
        <v>34</v>
      </c>
      <c r="E84" s="2" t="s">
        <v>390</v>
      </c>
      <c r="F84" s="223" t="s">
        <v>391</v>
      </c>
      <c r="K84" s="223"/>
    </row>
    <row r="85" spans="1:13">
      <c r="B85" s="11" t="s">
        <v>329</v>
      </c>
      <c r="C85" s="21">
        <v>0.38</v>
      </c>
      <c r="D85" s="12" t="s">
        <v>36</v>
      </c>
    </row>
    <row r="86" spans="1:13">
      <c r="B86" s="8" t="s">
        <v>339</v>
      </c>
      <c r="C86" s="13">
        <f>_Vo1*(_Vo1+_VF1)*(1-Dmax*Vdc_min/Vdc_max)/(2*KRF*Po*fs)*1000000</f>
        <v>730.80985571760459</v>
      </c>
      <c r="D86" s="3" t="s">
        <v>10</v>
      </c>
    </row>
    <row r="87" spans="1:13">
      <c r="B87" s="8" t="s">
        <v>340</v>
      </c>
      <c r="C87" s="13">
        <f>L_1*Po*(1+KRF)/_Vo1/Bsat/Ael*1000000</f>
        <v>132.21888836996135</v>
      </c>
      <c r="D87" s="3" t="s">
        <v>36</v>
      </c>
    </row>
    <row r="88" spans="1:13">
      <c r="B88" s="11" t="s">
        <v>330</v>
      </c>
      <c r="C88" s="24">
        <v>133</v>
      </c>
      <c r="D88" s="27" t="s">
        <v>42</v>
      </c>
      <c r="E88" s="16">
        <f>ROUND(C88,0)</f>
        <v>133</v>
      </c>
      <c r="F88" s="3" t="s">
        <v>43</v>
      </c>
    </row>
    <row r="89" spans="1:13">
      <c r="B89" s="8" t="s">
        <v>331</v>
      </c>
      <c r="C89" s="28">
        <f>_Nl1*_Ns2/_Ns1</f>
        <v>0</v>
      </c>
      <c r="D89" s="27" t="s">
        <v>42</v>
      </c>
      <c r="E89" s="16">
        <f>ROUND(C89,0)</f>
        <v>0</v>
      </c>
      <c r="F89" s="3" t="s">
        <v>43</v>
      </c>
    </row>
    <row r="90" spans="1:13">
      <c r="B90" s="8" t="s">
        <v>332</v>
      </c>
      <c r="C90" s="28">
        <f>_Nl1*_Ns3/_Ns1</f>
        <v>4.4333333333333336</v>
      </c>
      <c r="D90" s="27" t="s">
        <v>42</v>
      </c>
      <c r="E90" s="16">
        <f>ROUND(C90,0)</f>
        <v>4</v>
      </c>
      <c r="F90" s="3" t="s">
        <v>43</v>
      </c>
    </row>
    <row r="91" spans="1:13">
      <c r="B91" s="8" t="s">
        <v>333</v>
      </c>
      <c r="C91" s="28">
        <f>_Nl1*_Ns4/_Ns1</f>
        <v>0</v>
      </c>
      <c r="D91" s="27" t="s">
        <v>42</v>
      </c>
      <c r="E91" s="16">
        <f>ROUND(C91,0)</f>
        <v>0</v>
      </c>
      <c r="F91" s="3" t="s">
        <v>43</v>
      </c>
      <c r="M91" s="50"/>
    </row>
    <row r="92" spans="1:13">
      <c r="B92" s="8"/>
      <c r="D92" s="3"/>
      <c r="M92" s="50"/>
    </row>
    <row r="93" spans="1:13">
      <c r="A93" s="18" t="s">
        <v>334</v>
      </c>
      <c r="B93" s="18"/>
      <c r="C93" s="18"/>
      <c r="D93" s="18"/>
      <c r="E93" s="18"/>
      <c r="F93" s="18"/>
      <c r="G93" s="18"/>
      <c r="H93" s="18"/>
      <c r="I93" s="18"/>
      <c r="M93" s="50"/>
    </row>
    <row r="94" spans="1:13">
      <c r="B94" s="11"/>
      <c r="C94" s="44"/>
      <c r="D94" s="35"/>
      <c r="E94" s="35"/>
      <c r="M94" s="50"/>
    </row>
    <row r="95" spans="1:13" ht="15.75">
      <c r="B95" s="25"/>
      <c r="C95" s="26" t="s">
        <v>45</v>
      </c>
      <c r="D95" s="26"/>
      <c r="E95" s="33" t="s">
        <v>49</v>
      </c>
      <c r="F95" s="33"/>
      <c r="G95" s="26" t="s">
        <v>61</v>
      </c>
      <c r="H95" s="26"/>
      <c r="I95" s="45" t="s">
        <v>50</v>
      </c>
      <c r="J95" s="32"/>
      <c r="M95" s="50"/>
    </row>
    <row r="96" spans="1:13">
      <c r="B96" s="8" t="s">
        <v>335</v>
      </c>
      <c r="C96" s="29">
        <v>0.68</v>
      </c>
      <c r="D96" s="12" t="s">
        <v>47</v>
      </c>
      <c r="E96" s="29">
        <v>5</v>
      </c>
      <c r="F96" t="s">
        <v>46</v>
      </c>
      <c r="G96" s="53">
        <f>Io_1*SQRT((3+KRF^2)/3)</f>
        <v>2.0033305601755624</v>
      </c>
      <c r="H96" s="3" t="s">
        <v>22</v>
      </c>
      <c r="I96" s="251">
        <f>G96/E96/(3.14/4*C96^2)</f>
        <v>1.1038120469087134</v>
      </c>
      <c r="J96" s="251"/>
      <c r="M96" s="50"/>
    </row>
    <row r="97" spans="1:13">
      <c r="B97" s="8" t="s">
        <v>337</v>
      </c>
      <c r="C97" s="29">
        <v>0.68</v>
      </c>
      <c r="D97" s="12" t="s">
        <v>47</v>
      </c>
      <c r="E97" s="29">
        <v>3</v>
      </c>
      <c r="F97" t="s">
        <v>46</v>
      </c>
      <c r="G97" s="53">
        <f>Io_2*SQRT((3+KRF^2)/3)</f>
        <v>0</v>
      </c>
      <c r="H97" s="3" t="s">
        <v>22</v>
      </c>
      <c r="I97" s="251">
        <f>G97/E97/(3.14/4*C97^2)</f>
        <v>0</v>
      </c>
      <c r="J97" s="251"/>
      <c r="M97" s="50"/>
    </row>
    <row r="98" spans="1:13">
      <c r="B98" s="8" t="s">
        <v>338</v>
      </c>
      <c r="C98" s="29">
        <v>0.68</v>
      </c>
      <c r="D98" s="12" t="s">
        <v>47</v>
      </c>
      <c r="E98" s="29">
        <v>2</v>
      </c>
      <c r="F98" t="s">
        <v>46</v>
      </c>
      <c r="G98" s="53">
        <f>Io_3*SQRT((3+KRF^2)/3)</f>
        <v>0</v>
      </c>
      <c r="H98" s="3" t="s">
        <v>22</v>
      </c>
      <c r="I98" s="251">
        <f>G98/E98/(3.14/4*C98^2)</f>
        <v>0</v>
      </c>
      <c r="J98" s="251"/>
      <c r="M98" s="50"/>
    </row>
    <row r="99" spans="1:13">
      <c r="B99" s="8" t="s">
        <v>336</v>
      </c>
      <c r="C99" s="29">
        <v>0</v>
      </c>
      <c r="D99" s="12" t="s">
        <v>47</v>
      </c>
      <c r="E99" s="29">
        <v>0</v>
      </c>
      <c r="F99" t="s">
        <v>48</v>
      </c>
      <c r="G99" s="53">
        <f>Io_4*SQRT((3+KRF^2)/3)</f>
        <v>0</v>
      </c>
      <c r="H99" s="3" t="s">
        <v>22</v>
      </c>
      <c r="I99" s="251" t="e">
        <f>G99/E99/(3.14/4*C99^2)</f>
        <v>#DIV/0!</v>
      </c>
      <c r="J99" s="251"/>
      <c r="L99" s="50"/>
      <c r="M99" s="50"/>
    </row>
    <row r="100" spans="1:13" ht="15.75">
      <c r="B100" s="37" t="s">
        <v>51</v>
      </c>
      <c r="C100" s="7">
        <f>C96^2/4*3.14*E96*_Nl1+C97^2/4*3.14*E97*_Nl2+C98^2/4*3.14*E98*_Nl3+C99^2/4*3.14*E99*_Nl4</f>
        <v>244.28823200000005</v>
      </c>
      <c r="D100" s="3" t="s">
        <v>52</v>
      </c>
      <c r="L100" s="50"/>
      <c r="M100" s="50"/>
    </row>
    <row r="101" spans="1:13">
      <c r="B101" s="11" t="s">
        <v>53</v>
      </c>
      <c r="C101" s="21">
        <v>0.25</v>
      </c>
      <c r="D101" s="12"/>
      <c r="L101" s="50"/>
      <c r="M101" s="50"/>
    </row>
    <row r="102" spans="1:13" ht="15.75">
      <c r="B102" s="37" t="s">
        <v>54</v>
      </c>
      <c r="C102" s="7">
        <f>C100/C101</f>
        <v>977.1529280000002</v>
      </c>
      <c r="D102" s="3" t="s">
        <v>52</v>
      </c>
      <c r="E102" s="2" t="s">
        <v>390</v>
      </c>
      <c r="F102" s="223" t="s">
        <v>397</v>
      </c>
      <c r="G102" s="49"/>
      <c r="H102" s="246"/>
      <c r="I102" s="246"/>
      <c r="L102" s="50"/>
      <c r="M102" s="50"/>
    </row>
    <row r="103" spans="1:13">
      <c r="A103" s="36"/>
      <c r="E103" s="39"/>
      <c r="F103" s="36"/>
      <c r="G103" s="40"/>
      <c r="H103" s="38"/>
      <c r="I103" s="36"/>
      <c r="J103" s="38"/>
      <c r="L103" s="50"/>
      <c r="M103" s="50"/>
    </row>
    <row r="104" spans="1:13">
      <c r="A104" s="18" t="s">
        <v>341</v>
      </c>
      <c r="B104" s="18"/>
      <c r="C104" s="18"/>
      <c r="D104" s="18"/>
      <c r="E104" s="18"/>
      <c r="F104" s="18"/>
      <c r="G104" s="18"/>
      <c r="H104" s="18"/>
      <c r="I104" s="18"/>
      <c r="J104" s="36"/>
      <c r="L104" s="50"/>
      <c r="M104" s="50"/>
    </row>
    <row r="105" spans="1:13">
      <c r="B105" s="11"/>
      <c r="C105" s="44"/>
      <c r="D105" s="35"/>
      <c r="E105" s="35"/>
      <c r="J105" s="36"/>
      <c r="L105" s="50"/>
      <c r="M105" s="50"/>
    </row>
    <row r="106" spans="1:13">
      <c r="B106" s="25"/>
      <c r="C106" s="26" t="s">
        <v>60</v>
      </c>
      <c r="D106" s="26"/>
      <c r="E106" s="26"/>
      <c r="F106" s="47"/>
      <c r="G106" s="48" t="s">
        <v>309</v>
      </c>
      <c r="H106" s="46"/>
      <c r="I106" s="46"/>
      <c r="L106" s="50"/>
      <c r="M106" s="50"/>
    </row>
    <row r="107" spans="1:13">
      <c r="B107" s="8" t="s">
        <v>55</v>
      </c>
      <c r="C107" s="82">
        <f>Vcc*Vdc_max/Vdc_min+Vdc_max*Nc/Np</f>
        <v>24.341902977716423</v>
      </c>
      <c r="D107" s="82"/>
      <c r="E107" s="3" t="s">
        <v>3</v>
      </c>
      <c r="G107" s="31">
        <v>0.1</v>
      </c>
      <c r="H107" s="3" t="s">
        <v>22</v>
      </c>
      <c r="I107" s="224" t="s">
        <v>398</v>
      </c>
      <c r="J107" s="223"/>
      <c r="K107" s="223"/>
      <c r="L107" s="248"/>
      <c r="M107" s="50"/>
    </row>
    <row r="108" spans="1:13">
      <c r="B108" s="8" t="s">
        <v>56</v>
      </c>
      <c r="C108" s="82">
        <f>Vdc_max/Np*_Ns1</f>
        <v>122.21453362255964</v>
      </c>
      <c r="D108" s="82"/>
      <c r="E108" s="3" t="s">
        <v>3</v>
      </c>
      <c r="G108" s="53">
        <f>Io_1*SQRT((3+KRF^2)*Dmax/3)</f>
        <v>1.2670174952751574</v>
      </c>
      <c r="H108" s="3" t="s">
        <v>22</v>
      </c>
      <c r="I108" s="224" t="s">
        <v>399</v>
      </c>
      <c r="J108" s="223"/>
      <c r="K108" s="223"/>
      <c r="L108" s="249"/>
      <c r="M108" s="55"/>
    </row>
    <row r="109" spans="1:13">
      <c r="B109" s="8" t="s">
        <v>57</v>
      </c>
      <c r="C109" s="82">
        <f>Vdc_max/Np*_Ns2</f>
        <v>0</v>
      </c>
      <c r="D109" s="82"/>
      <c r="E109" s="3" t="s">
        <v>3</v>
      </c>
      <c r="G109" s="53">
        <f>Io_2*SQRT((3+KRF^2)*Dmax/3)</f>
        <v>0</v>
      </c>
      <c r="H109" s="3" t="s">
        <v>22</v>
      </c>
      <c r="I109" s="224" t="s">
        <v>400</v>
      </c>
      <c r="J109" s="223"/>
      <c r="K109" s="223"/>
      <c r="L109" s="223"/>
      <c r="M109" s="56"/>
    </row>
    <row r="110" spans="1:13">
      <c r="B110" s="8" t="s">
        <v>58</v>
      </c>
      <c r="C110" s="82">
        <f>Vdc_max/Np*_Ns3</f>
        <v>4.0738177874186547</v>
      </c>
      <c r="D110" s="82"/>
      <c r="E110" s="3" t="s">
        <v>3</v>
      </c>
      <c r="G110" s="31">
        <f>Io3rms</f>
        <v>0</v>
      </c>
      <c r="H110" s="3" t="s">
        <v>22</v>
      </c>
      <c r="I110" s="224" t="s">
        <v>401</v>
      </c>
      <c r="J110" s="223"/>
      <c r="K110" s="223"/>
      <c r="L110" s="223"/>
      <c r="M110" s="56"/>
    </row>
    <row r="111" spans="1:13">
      <c r="B111" s="8" t="s">
        <v>59</v>
      </c>
      <c r="C111" s="82">
        <f>Vdc_max/Np*_Ns4</f>
        <v>0</v>
      </c>
      <c r="D111" s="82"/>
      <c r="E111" s="3" t="s">
        <v>3</v>
      </c>
      <c r="G111" s="31">
        <f>Io4rms</f>
        <v>0</v>
      </c>
      <c r="H111" s="3" t="s">
        <v>22</v>
      </c>
      <c r="J111" s="223"/>
      <c r="L111" s="56"/>
      <c r="M111" s="56"/>
    </row>
    <row r="112" spans="1:13">
      <c r="A112" s="22"/>
      <c r="B112" s="36"/>
      <c r="C112" s="43"/>
      <c r="D112" s="43"/>
      <c r="E112" s="43"/>
      <c r="F112" s="235"/>
      <c r="G112" s="236"/>
      <c r="H112" s="43"/>
      <c r="I112" s="43"/>
      <c r="J112" s="237"/>
      <c r="M112" s="54"/>
    </row>
    <row r="113" spans="1:13">
      <c r="A113" s="18" t="s">
        <v>342</v>
      </c>
      <c r="B113" s="18"/>
      <c r="C113" s="18"/>
      <c r="D113" s="18"/>
      <c r="E113" s="18"/>
      <c r="F113" s="18"/>
      <c r="G113" s="18"/>
      <c r="H113" s="18"/>
      <c r="I113" s="18"/>
      <c r="L113" s="67"/>
      <c r="M113" s="56"/>
    </row>
    <row r="114" spans="1:13">
      <c r="B114" s="11"/>
      <c r="C114" s="44"/>
      <c r="D114" s="35"/>
      <c r="E114" s="35"/>
      <c r="L114" s="68"/>
      <c r="M114" s="56"/>
    </row>
    <row r="115" spans="1:13">
      <c r="B115" s="25"/>
      <c r="C115" s="1" t="s">
        <v>308</v>
      </c>
      <c r="D115" s="1"/>
      <c r="E115" s="226" t="s">
        <v>67</v>
      </c>
      <c r="F115" s="226"/>
      <c r="G115" s="227" t="s">
        <v>70</v>
      </c>
      <c r="H115" s="227"/>
      <c r="I115" s="48" t="s">
        <v>72</v>
      </c>
      <c r="J115" s="48"/>
      <c r="L115" s="67"/>
      <c r="M115" s="56"/>
    </row>
    <row r="116" spans="1:13">
      <c r="B116" s="25"/>
      <c r="C116" s="1"/>
      <c r="D116" s="1"/>
      <c r="E116" s="226"/>
      <c r="F116" s="226"/>
      <c r="G116" s="227" t="s">
        <v>69</v>
      </c>
      <c r="H116" s="227"/>
      <c r="I116" s="32" t="s">
        <v>71</v>
      </c>
      <c r="J116" s="32"/>
      <c r="L116" s="67"/>
      <c r="M116" s="54"/>
    </row>
    <row r="117" spans="1:13">
      <c r="B117" s="8" t="s">
        <v>63</v>
      </c>
      <c r="C117" s="29">
        <v>4400</v>
      </c>
      <c r="D117" s="12" t="s">
        <v>62</v>
      </c>
      <c r="E117" s="29">
        <v>20</v>
      </c>
      <c r="F117" s="35" t="s">
        <v>68</v>
      </c>
      <c r="G117" s="53">
        <f>KRF*Io_1/SQRT(3)</f>
        <v>0.11547005383792516</v>
      </c>
      <c r="H117" s="34" t="s">
        <v>3</v>
      </c>
      <c r="I117" s="31">
        <f>Io_1*KRF/4/C117/fs*1000000+2*KRF*Io_1*E117/1000</f>
        <v>8.1136363636363645E-3</v>
      </c>
      <c r="J117" s="34" t="s">
        <v>3</v>
      </c>
      <c r="L117" s="67"/>
      <c r="M117" s="56"/>
    </row>
    <row r="118" spans="1:13">
      <c r="B118" s="8" t="s">
        <v>64</v>
      </c>
      <c r="C118" s="29">
        <v>4400</v>
      </c>
      <c r="D118" s="12" t="s">
        <v>62</v>
      </c>
      <c r="E118" s="29">
        <v>20</v>
      </c>
      <c r="F118" s="35" t="s">
        <v>68</v>
      </c>
      <c r="G118" s="53">
        <f>KRF*Io_2/SQRT(3)</f>
        <v>0</v>
      </c>
      <c r="H118" s="34" t="s">
        <v>3</v>
      </c>
      <c r="I118" s="31">
        <f>Io_2*KRF/4/C118/fs*1000000+2*KRF*Io_2*E118/1000</f>
        <v>0</v>
      </c>
      <c r="J118" s="34" t="s">
        <v>3</v>
      </c>
      <c r="L118" s="68"/>
      <c r="M118" s="55"/>
    </row>
    <row r="119" spans="1:13">
      <c r="B119" s="8" t="s">
        <v>65</v>
      </c>
      <c r="C119" s="29">
        <v>2000</v>
      </c>
      <c r="D119" s="12" t="s">
        <v>62</v>
      </c>
      <c r="E119" s="29">
        <v>60</v>
      </c>
      <c r="F119" s="35" t="s">
        <v>68</v>
      </c>
      <c r="G119" s="53">
        <f>KRF*Io_3/SQRT(3)</f>
        <v>0</v>
      </c>
      <c r="H119" s="34" t="s">
        <v>3</v>
      </c>
      <c r="I119" s="31">
        <f>Io_3*KRF/4/C119/fs*1000000+2*KRF*Io_3*E119/1000</f>
        <v>0</v>
      </c>
      <c r="J119" s="34" t="s">
        <v>3</v>
      </c>
      <c r="L119" s="67"/>
      <c r="M119" s="55"/>
    </row>
    <row r="120" spans="1:13">
      <c r="B120" s="8" t="s">
        <v>66</v>
      </c>
      <c r="C120" s="29">
        <v>0</v>
      </c>
      <c r="D120" s="12" t="s">
        <v>62</v>
      </c>
      <c r="E120" s="29">
        <v>0</v>
      </c>
      <c r="F120" s="35" t="s">
        <v>68</v>
      </c>
      <c r="G120" s="53">
        <f>KRF*Io_4/SQRT(3)</f>
        <v>0</v>
      </c>
      <c r="H120" s="34" t="s">
        <v>3</v>
      </c>
      <c r="I120" s="31" t="e">
        <f>Io_1*KRF/4/C120/fs*1000000+2*KRF*Io_1*E120/1000</f>
        <v>#DIV/0!</v>
      </c>
      <c r="J120" s="34" t="s">
        <v>3</v>
      </c>
      <c r="L120" s="69"/>
      <c r="M120" s="50"/>
    </row>
    <row r="121" spans="1:13">
      <c r="L121" s="70"/>
      <c r="M121" s="50"/>
    </row>
    <row r="122" spans="1:13">
      <c r="A122" s="18" t="s">
        <v>343</v>
      </c>
      <c r="B122" s="18"/>
      <c r="C122" s="18"/>
      <c r="D122" s="18"/>
      <c r="E122" s="18"/>
      <c r="F122" s="18"/>
      <c r="G122" s="18"/>
      <c r="H122" s="18"/>
      <c r="I122" s="18"/>
      <c r="L122" s="71"/>
      <c r="M122" s="50"/>
    </row>
    <row r="123" spans="1:13">
      <c r="B123" s="8" t="s">
        <v>344</v>
      </c>
      <c r="C123" s="31">
        <f>Vdc_min/Lm*Dmax/fs*SQRT(Dmax/3)</f>
        <v>2.5148462543703311E-2</v>
      </c>
      <c r="D123" s="3" t="s">
        <v>22</v>
      </c>
      <c r="E123" s="22"/>
      <c r="F123" s="22"/>
      <c r="G123" s="22"/>
      <c r="H123" s="22"/>
      <c r="I123" s="22"/>
      <c r="J123" s="22"/>
      <c r="L123" s="71"/>
      <c r="M123" s="50"/>
    </row>
    <row r="124" spans="1:13">
      <c r="B124" s="8" t="s">
        <v>345</v>
      </c>
      <c r="C124" s="247">
        <f>Vdc_max*(1+Nr/Np)</f>
        <v>766.50375080621757</v>
      </c>
      <c r="D124" s="3" t="s">
        <v>3</v>
      </c>
      <c r="E124" s="224" t="s">
        <v>402</v>
      </c>
      <c r="F124" s="250"/>
      <c r="G124" s="22"/>
      <c r="H124" s="22"/>
      <c r="I124" s="22"/>
      <c r="J124" s="22"/>
      <c r="L124" s="71"/>
      <c r="M124" s="50"/>
    </row>
    <row r="125" spans="1:13" ht="12" customHeight="1">
      <c r="B125" s="20"/>
      <c r="C125" s="44"/>
      <c r="D125" s="59"/>
      <c r="E125" s="22"/>
      <c r="F125" s="22"/>
      <c r="G125" s="22"/>
      <c r="H125" s="22"/>
      <c r="I125" s="22"/>
      <c r="J125" s="22"/>
      <c r="L125" s="71"/>
      <c r="M125" s="50"/>
    </row>
    <row r="126" spans="1:13">
      <c r="A126" s="18" t="s">
        <v>347</v>
      </c>
      <c r="B126" s="18"/>
      <c r="C126" s="18"/>
      <c r="D126" s="18"/>
      <c r="E126" s="18"/>
      <c r="F126" s="18"/>
      <c r="G126" s="18"/>
      <c r="H126" s="18"/>
      <c r="I126" s="18"/>
      <c r="K126" s="15"/>
      <c r="L126" s="71"/>
      <c r="M126" s="50"/>
    </row>
    <row r="127" spans="1:13">
      <c r="K127" s="15"/>
      <c r="L127" s="71"/>
      <c r="M127" s="50"/>
    </row>
    <row r="128" spans="1:13">
      <c r="J128" s="57"/>
      <c r="K128" s="15"/>
      <c r="L128" s="71"/>
      <c r="M128" s="50"/>
    </row>
    <row r="129" spans="1:13">
      <c r="B129" s="72" t="s">
        <v>102</v>
      </c>
      <c r="C129" s="64">
        <f>Ilim/3*(_Vo1^2/Po)*Np/_Ns1</f>
        <v>100.34862179955699</v>
      </c>
      <c r="D129" s="65"/>
      <c r="G129" s="57"/>
      <c r="H129" s="57"/>
      <c r="I129" s="57"/>
      <c r="L129" s="71"/>
      <c r="M129" s="50"/>
    </row>
    <row r="130" spans="1:13">
      <c r="B130" s="72" t="s">
        <v>103</v>
      </c>
      <c r="C130" s="63">
        <f>1/(2*3.14*Rc_1*Co_1)*10^9</f>
        <v>1809.4962362478286</v>
      </c>
      <c r="D130" s="3" t="s">
        <v>75</v>
      </c>
      <c r="E130" s="3"/>
      <c r="K130" s="15"/>
      <c r="L130" s="71"/>
      <c r="M130" s="50"/>
    </row>
    <row r="131" spans="1:13">
      <c r="B131" s="72" t="s">
        <v>104</v>
      </c>
      <c r="C131" s="63">
        <f>1/(2*3.14*_Vo1^2/Po*Co_1)*10^6</f>
        <v>1.5079135302065236</v>
      </c>
      <c r="D131" s="3" t="s">
        <v>4</v>
      </c>
      <c r="K131" s="15"/>
      <c r="L131" s="71"/>
      <c r="M131" s="50"/>
    </row>
    <row r="132" spans="1:13">
      <c r="E132" s="49"/>
      <c r="F132" s="49"/>
      <c r="K132" s="15"/>
      <c r="L132" s="71"/>
      <c r="M132" s="50"/>
    </row>
    <row r="133" spans="1:13">
      <c r="B133" s="11" t="s">
        <v>99</v>
      </c>
      <c r="C133" s="21">
        <v>5</v>
      </c>
      <c r="D133" s="12" t="s">
        <v>100</v>
      </c>
      <c r="K133" s="15"/>
      <c r="L133" s="71"/>
      <c r="M133" s="50"/>
    </row>
    <row r="134" spans="1:13">
      <c r="B134" s="11" t="s">
        <v>90</v>
      </c>
      <c r="C134" s="21">
        <v>5</v>
      </c>
      <c r="D134" s="12" t="s">
        <v>73</v>
      </c>
      <c r="K134" s="58"/>
      <c r="L134" s="71"/>
      <c r="M134" s="50"/>
    </row>
    <row r="135" spans="1:13">
      <c r="B135" s="11" t="s">
        <v>89</v>
      </c>
      <c r="C135" s="21">
        <v>1</v>
      </c>
      <c r="D135" s="12" t="s">
        <v>101</v>
      </c>
      <c r="E135" s="61"/>
      <c r="F135" s="62"/>
      <c r="G135" s="62"/>
      <c r="K135" s="58"/>
      <c r="L135" s="71"/>
      <c r="M135" s="50"/>
    </row>
    <row r="136" spans="1:13">
      <c r="B136" s="11" t="s">
        <v>91</v>
      </c>
      <c r="C136" s="21">
        <v>1.2</v>
      </c>
      <c r="D136" s="12" t="s">
        <v>101</v>
      </c>
      <c r="E136" s="66"/>
      <c r="F136" s="62"/>
      <c r="G136" s="62"/>
      <c r="K136" s="58"/>
      <c r="L136" s="71"/>
      <c r="M136" s="50"/>
    </row>
    <row r="137" spans="1:13">
      <c r="B137" s="20" t="s">
        <v>93</v>
      </c>
      <c r="C137" s="21">
        <v>10</v>
      </c>
      <c r="D137" s="59" t="s">
        <v>92</v>
      </c>
      <c r="K137" s="58"/>
      <c r="L137" s="71"/>
      <c r="M137" s="50"/>
    </row>
    <row r="138" spans="1:13">
      <c r="B138" s="20" t="s">
        <v>94</v>
      </c>
      <c r="C138" s="21">
        <v>100</v>
      </c>
      <c r="D138" s="59" t="s">
        <v>92</v>
      </c>
      <c r="K138" s="58"/>
      <c r="L138" s="71"/>
      <c r="M138" s="50"/>
    </row>
    <row r="139" spans="1:13">
      <c r="B139" s="20" t="s">
        <v>95</v>
      </c>
      <c r="C139" s="21">
        <v>1</v>
      </c>
      <c r="D139" s="59" t="s">
        <v>73</v>
      </c>
      <c r="K139" s="58"/>
      <c r="L139" s="71"/>
      <c r="M139" s="50"/>
    </row>
    <row r="140" spans="1:13">
      <c r="K140" s="58"/>
      <c r="L140" s="71"/>
    </row>
    <row r="141" spans="1:13">
      <c r="B141" s="8" t="s">
        <v>86</v>
      </c>
      <c r="C141" s="60">
        <f>3/(2*3.14*C133*C135*C138)*1000000</f>
        <v>955.41401273885356</v>
      </c>
      <c r="D141" s="3" t="s">
        <v>4</v>
      </c>
      <c r="E141" s="49"/>
      <c r="F141" s="49"/>
      <c r="K141" s="58"/>
      <c r="L141" s="71"/>
    </row>
    <row r="142" spans="1:13">
      <c r="B142" s="8" t="s">
        <v>87</v>
      </c>
      <c r="C142" s="7">
        <f>1/(2*3.14*C138*(C139+C133))*10^6</f>
        <v>265.39278131634819</v>
      </c>
      <c r="D142" s="3" t="s">
        <v>4</v>
      </c>
      <c r="K142" s="58"/>
      <c r="L142" s="15"/>
    </row>
    <row r="143" spans="1:13">
      <c r="B143" s="8" t="s">
        <v>88</v>
      </c>
      <c r="C143" s="7">
        <f>1/(2*3.14*3*C137)*1000000</f>
        <v>5307.8556263269638</v>
      </c>
      <c r="D143" s="3" t="s">
        <v>4</v>
      </c>
      <c r="K143" s="58"/>
      <c r="L143" s="15"/>
    </row>
    <row r="144" spans="1:13">
      <c r="A144" s="239"/>
      <c r="B144" s="239"/>
      <c r="C144" s="239"/>
      <c r="D144" s="239"/>
      <c r="E144" s="240"/>
      <c r="F144" s="239"/>
      <c r="G144" s="239"/>
      <c r="H144" s="239"/>
      <c r="I144" s="239"/>
      <c r="J144" s="239"/>
      <c r="K144" s="240"/>
      <c r="L144" s="239"/>
    </row>
    <row r="145" spans="1:13">
      <c r="A145" s="239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3"/>
    </row>
    <row r="146" spans="1:13">
      <c r="A146" s="239"/>
      <c r="B146" s="58">
        <v>16</v>
      </c>
      <c r="C146" s="58">
        <f>20*LOG(K_1*SQRT(1+B146^2/fz_1^2)/SQRT(1+B146^2/fp_1^2))</f>
        <v>19.477292968331248</v>
      </c>
      <c r="D146" s="58">
        <f t="shared" ref="D146:D165" si="1">20*LOG(fi/B146*SQRT(1+B146^2/fz^2)/SQRT(1+B146^2/fp^2))</f>
        <v>35.537149453902195</v>
      </c>
      <c r="E146" s="58">
        <f t="shared" ref="E146:E165" si="2">SUM(C146:D146)</f>
        <v>55.014442422233444</v>
      </c>
      <c r="F146" s="58"/>
      <c r="G146" s="58">
        <v>16</v>
      </c>
      <c r="H146" s="58">
        <f>180/3.14*(ATAN(G146/fz_1)-ATAN(G146/fp_1))</f>
        <v>-84.152136620876092</v>
      </c>
      <c r="I146" s="58">
        <f t="shared" ref="I146:I165" si="3">180/3.14*(ATAN(G146/fz)-ATAN(G146/fp))-90</f>
        <v>-86.720977477738089</v>
      </c>
      <c r="J146" s="58">
        <f t="shared" ref="J146:J165" si="4">SUM(H146:I146)</f>
        <v>-170.87311409861417</v>
      </c>
      <c r="K146" s="242"/>
      <c r="L146" s="243"/>
    </row>
    <row r="147" spans="1:13">
      <c r="A147" s="239"/>
      <c r="B147" s="58">
        <v>25</v>
      </c>
      <c r="C147" s="58">
        <f t="shared" ref="C147:C165" si="5">20*LOG(K_1*SQRT(1+B147^2/fz_1^2)/SQRT(1+B147^2/fp_1^2))</f>
        <v>15.62401441065461</v>
      </c>
      <c r="D147" s="58">
        <f t="shared" si="1"/>
        <v>31.683303364954117</v>
      </c>
      <c r="E147" s="58">
        <f t="shared" si="2"/>
        <v>47.307317775608723</v>
      </c>
      <c r="F147" s="58"/>
      <c r="G147" s="58">
        <v>25</v>
      </c>
      <c r="H147" s="58">
        <f t="shared" ref="H147:H165" si="6">180/3.14*(ATAN(G147/fz_1)-ATAN(G147/fp_1))</f>
        <v>-85.800247502630427</v>
      </c>
      <c r="I147" s="58">
        <f t="shared" si="3"/>
        <v>-84.885886049973806</v>
      </c>
      <c r="J147" s="58">
        <f t="shared" si="4"/>
        <v>-170.68613355260425</v>
      </c>
      <c r="K147" s="242"/>
      <c r="L147" s="243"/>
    </row>
    <row r="148" spans="1:13">
      <c r="A148" s="239"/>
      <c r="B148" s="58">
        <v>40</v>
      </c>
      <c r="C148" s="58">
        <f t="shared" si="5"/>
        <v>11.552511378552705</v>
      </c>
      <c r="D148" s="58">
        <f t="shared" si="1"/>
        <v>27.659938377008686</v>
      </c>
      <c r="E148" s="58">
        <f t="shared" si="2"/>
        <v>39.212449755561394</v>
      </c>
      <c r="F148" s="58"/>
      <c r="G148" s="58">
        <v>40</v>
      </c>
      <c r="H148" s="58">
        <f t="shared" si="6"/>
        <v>-86.618655903883507</v>
      </c>
      <c r="I148" s="58">
        <f t="shared" si="3"/>
        <v>-81.856537895943802</v>
      </c>
      <c r="J148" s="58">
        <f t="shared" si="4"/>
        <v>-168.47519379982731</v>
      </c>
      <c r="K148" s="242"/>
      <c r="L148" s="243"/>
    </row>
    <row r="149" spans="1:13">
      <c r="A149" s="239"/>
      <c r="B149" s="58">
        <v>63</v>
      </c>
      <c r="C149" s="58">
        <f t="shared" si="5"/>
        <v>7.6137199220745488</v>
      </c>
      <c r="D149" s="58">
        <f t="shared" si="1"/>
        <v>23.85449251173911</v>
      </c>
      <c r="E149" s="58">
        <f t="shared" si="2"/>
        <v>31.468212433813658</v>
      </c>
      <c r="F149" s="58"/>
      <c r="G149" s="58">
        <v>63</v>
      </c>
      <c r="H149" s="58">
        <f t="shared" si="6"/>
        <v>-86.678799258603902</v>
      </c>
      <c r="I149" s="58">
        <f t="shared" si="3"/>
        <v>-77.31966789950917</v>
      </c>
      <c r="J149" s="58">
        <f t="shared" si="4"/>
        <v>-163.99846715811307</v>
      </c>
      <c r="K149" s="242"/>
      <c r="L149" s="243"/>
    </row>
    <row r="150" spans="1:13">
      <c r="A150" s="239"/>
      <c r="B150" s="58">
        <v>100</v>
      </c>
      <c r="C150" s="58">
        <f t="shared" si="5"/>
        <v>3.6100132339956148</v>
      </c>
      <c r="D150" s="58">
        <f t="shared" si="1"/>
        <v>20.178869183862357</v>
      </c>
      <c r="E150" s="58">
        <f t="shared" si="2"/>
        <v>23.788882417857973</v>
      </c>
      <c r="F150" s="58"/>
      <c r="G150" s="58">
        <v>100</v>
      </c>
      <c r="H150" s="58">
        <f t="shared" si="6"/>
        <v>-86.016525026999176</v>
      </c>
      <c r="I150" s="58">
        <f t="shared" si="3"/>
        <v>-70.422990970012222</v>
      </c>
      <c r="J150" s="58">
        <f t="shared" si="4"/>
        <v>-156.4395159970114</v>
      </c>
      <c r="K150" s="242"/>
      <c r="L150" s="243"/>
    </row>
    <row r="151" spans="1:13">
      <c r="A151" s="239"/>
      <c r="B151" s="58">
        <v>160</v>
      </c>
      <c r="C151" s="58">
        <f t="shared" si="5"/>
        <v>-0.45120502091368131</v>
      </c>
      <c r="D151" s="58">
        <f t="shared" si="1"/>
        <v>16.863925701980992</v>
      </c>
      <c r="E151" s="58">
        <f t="shared" si="2"/>
        <v>16.412720681067313</v>
      </c>
      <c r="F151" s="58"/>
      <c r="G151" s="58">
        <v>160</v>
      </c>
      <c r="H151" s="58">
        <f t="shared" si="6"/>
        <v>-84.449758203691104</v>
      </c>
      <c r="I151" s="58">
        <f t="shared" si="3"/>
        <v>-60.626775543738482</v>
      </c>
      <c r="J151" s="58">
        <f t="shared" si="4"/>
        <v>-145.07653374742958</v>
      </c>
      <c r="K151" s="242"/>
      <c r="L151" s="243"/>
    </row>
    <row r="152" spans="1:13">
      <c r="A152" s="239"/>
      <c r="B152" s="58">
        <v>250</v>
      </c>
      <c r="C152" s="58">
        <f t="shared" si="5"/>
        <v>-4.2790834971374068</v>
      </c>
      <c r="D152" s="58">
        <f t="shared" si="1"/>
        <v>14.39396486767553</v>
      </c>
      <c r="E152" s="58">
        <f t="shared" si="2"/>
        <v>10.114881370538123</v>
      </c>
      <c r="F152" s="58"/>
      <c r="G152" s="58">
        <v>250</v>
      </c>
      <c r="H152" s="58">
        <f t="shared" si="6"/>
        <v>-81.829713307253726</v>
      </c>
      <c r="I152" s="58">
        <f t="shared" si="3"/>
        <v>-49.386743080675707</v>
      </c>
      <c r="J152" s="58">
        <f t="shared" si="4"/>
        <v>-131.21645638792944</v>
      </c>
      <c r="K152" s="242"/>
      <c r="L152" s="243"/>
    </row>
    <row r="153" spans="1:13">
      <c r="A153" s="239"/>
      <c r="B153" s="58">
        <v>400</v>
      </c>
      <c r="C153" s="58">
        <f t="shared" si="5"/>
        <v>-8.2363054776028797</v>
      </c>
      <c r="D153" s="58">
        <f t="shared" si="1"/>
        <v>12.685708741895212</v>
      </c>
      <c r="E153" s="58">
        <f t="shared" si="2"/>
        <v>4.4494032642923322</v>
      </c>
      <c r="F153" s="58"/>
      <c r="G153" s="58">
        <v>400</v>
      </c>
      <c r="H153" s="58">
        <f t="shared" si="6"/>
        <v>-77.358108737667777</v>
      </c>
      <c r="I153" s="58">
        <f t="shared" si="3"/>
        <v>-37.846780374677877</v>
      </c>
      <c r="J153" s="58">
        <f t="shared" si="4"/>
        <v>-115.20488911234565</v>
      </c>
      <c r="K153" s="242"/>
      <c r="L153" s="243"/>
    </row>
    <row r="154" spans="1:13">
      <c r="A154" s="239"/>
      <c r="B154" s="58">
        <v>630</v>
      </c>
      <c r="C154" s="58">
        <f t="shared" si="5"/>
        <v>-11.892179746659714</v>
      </c>
      <c r="D154" s="58">
        <f t="shared" si="1"/>
        <v>11.7747510288243</v>
      </c>
      <c r="E154" s="58">
        <f t="shared" si="2"/>
        <v>-0.11742871783541453</v>
      </c>
      <c r="F154" s="58"/>
      <c r="G154" s="58">
        <v>630</v>
      </c>
      <c r="H154" s="58">
        <f t="shared" si="6"/>
        <v>-70.702468401966172</v>
      </c>
      <c r="I154" s="58">
        <f t="shared" si="3"/>
        <v>-29.581920500609222</v>
      </c>
      <c r="J154" s="58">
        <f t="shared" si="4"/>
        <v>-100.28438890257539</v>
      </c>
      <c r="K154" s="242"/>
      <c r="L154" s="243"/>
    </row>
    <row r="155" spans="1:13">
      <c r="A155" s="239"/>
      <c r="B155" s="58">
        <v>1000</v>
      </c>
      <c r="C155" s="58">
        <f t="shared" si="5"/>
        <v>-15.244780291200135</v>
      </c>
      <c r="D155" s="58">
        <f t="shared" si="1"/>
        <v>11.270168024461594</v>
      </c>
      <c r="E155" s="58">
        <f t="shared" si="2"/>
        <v>-3.9746122667385411</v>
      </c>
      <c r="F155" s="58"/>
      <c r="G155" s="58">
        <v>1000</v>
      </c>
      <c r="H155" s="58">
        <f t="shared" si="6"/>
        <v>-61.01774093367959</v>
      </c>
      <c r="I155" s="58">
        <f t="shared" si="3"/>
        <v>-25.50001632894967</v>
      </c>
      <c r="J155" s="58">
        <f t="shared" si="4"/>
        <v>-86.51775726262926</v>
      </c>
      <c r="K155" s="242"/>
      <c r="L155" s="243"/>
    </row>
    <row r="156" spans="1:13">
      <c r="A156" s="239"/>
      <c r="B156" s="58">
        <v>1600</v>
      </c>
      <c r="C156" s="58">
        <f t="shared" si="5"/>
        <v>-17.97593001622808</v>
      </c>
      <c r="D156" s="58">
        <f t="shared" si="1"/>
        <v>10.866208995380518</v>
      </c>
      <c r="E156" s="58">
        <f t="shared" si="2"/>
        <v>-7.1097210208475623</v>
      </c>
      <c r="F156" s="58"/>
      <c r="G156" s="58">
        <v>1600</v>
      </c>
      <c r="H156" s="58">
        <f t="shared" si="6"/>
        <v>-48.486696773828449</v>
      </c>
      <c r="I156" s="58">
        <f t="shared" si="3"/>
        <v>-26.160475527397153</v>
      </c>
      <c r="J156" s="58">
        <f t="shared" si="4"/>
        <v>-74.647172301225595</v>
      </c>
      <c r="K156" s="243"/>
      <c r="L156" s="243"/>
    </row>
    <row r="157" spans="1:13">
      <c r="A157" s="239"/>
      <c r="B157" s="58">
        <v>2500</v>
      </c>
      <c r="C157" s="58">
        <f t="shared" si="5"/>
        <v>-19.723878421849697</v>
      </c>
      <c r="D157" s="58">
        <f t="shared" si="1"/>
        <v>10.304571444947941</v>
      </c>
      <c r="E157" s="58">
        <f t="shared" si="2"/>
        <v>-9.4193069769017566</v>
      </c>
      <c r="F157" s="58"/>
      <c r="G157" s="58">
        <v>2500</v>
      </c>
      <c r="H157" s="58">
        <f t="shared" si="6"/>
        <v>-35.88059393195649</v>
      </c>
      <c r="I157" s="58">
        <f t="shared" si="3"/>
        <v>-31.250311745000445</v>
      </c>
      <c r="J157" s="58">
        <f t="shared" si="4"/>
        <v>-67.130905676956928</v>
      </c>
      <c r="K157" s="243"/>
      <c r="L157" s="243"/>
      <c r="M157" s="73"/>
    </row>
    <row r="158" spans="1:13">
      <c r="A158" s="239"/>
      <c r="B158" s="58">
        <v>4000</v>
      </c>
      <c r="C158" s="58">
        <f t="shared" si="5"/>
        <v>-20.744816242596492</v>
      </c>
      <c r="D158" s="58">
        <f t="shared" si="1"/>
        <v>9.1919065635314272</v>
      </c>
      <c r="E158" s="58">
        <f t="shared" si="2"/>
        <v>-11.552909679065065</v>
      </c>
      <c r="F158" s="58"/>
      <c r="G158" s="58">
        <v>4000</v>
      </c>
      <c r="H158" s="58">
        <f t="shared" si="6"/>
        <v>-24.331497837368264</v>
      </c>
      <c r="I158" s="58">
        <f t="shared" si="3"/>
        <v>-40.772631119072209</v>
      </c>
      <c r="J158" s="58">
        <f t="shared" si="4"/>
        <v>-65.104128956440476</v>
      </c>
      <c r="K158" s="243"/>
      <c r="L158" s="243"/>
      <c r="M158" s="73"/>
    </row>
    <row r="159" spans="1:13">
      <c r="A159" s="239"/>
      <c r="B159" s="58">
        <v>6300</v>
      </c>
      <c r="C159" s="58">
        <f t="shared" si="5"/>
        <v>-21.209132873015189</v>
      </c>
      <c r="D159" s="58">
        <f t="shared" si="1"/>
        <v>7.3157803965734605</v>
      </c>
      <c r="E159" s="58">
        <f t="shared" si="2"/>
        <v>-13.893352476441729</v>
      </c>
      <c r="F159" s="58"/>
      <c r="G159" s="58">
        <v>6300</v>
      </c>
      <c r="H159" s="58">
        <f t="shared" si="6"/>
        <v>-16.019617628865998</v>
      </c>
      <c r="I159" s="58">
        <f t="shared" si="3"/>
        <v>-52.278383657336271</v>
      </c>
      <c r="J159" s="58">
        <f t="shared" si="4"/>
        <v>-68.298001286202265</v>
      </c>
      <c r="K159" s="243"/>
      <c r="L159" s="244"/>
      <c r="M159" s="73"/>
    </row>
    <row r="160" spans="1:13">
      <c r="A160" s="239"/>
      <c r="B160" s="58">
        <v>10000</v>
      </c>
      <c r="C160" s="58">
        <f t="shared" si="5"/>
        <v>-21.413475158490542</v>
      </c>
      <c r="D160" s="58">
        <f t="shared" si="1"/>
        <v>4.5495131280645689</v>
      </c>
      <c r="E160" s="58">
        <f t="shared" si="2"/>
        <v>-16.863962030425974</v>
      </c>
      <c r="F160" s="58"/>
      <c r="G160" s="58">
        <v>10000</v>
      </c>
      <c r="H160" s="58">
        <f t="shared" si="6"/>
        <v>-10.253225107459214</v>
      </c>
      <c r="I160" s="58">
        <f t="shared" si="3"/>
        <v>-63.548104597236467</v>
      </c>
      <c r="J160" s="58">
        <f t="shared" si="4"/>
        <v>-73.801329704695675</v>
      </c>
      <c r="K160" s="243"/>
      <c r="L160" s="244"/>
      <c r="M160" s="73"/>
    </row>
    <row r="161" spans="1:13">
      <c r="A161" s="239"/>
      <c r="B161" s="58">
        <v>16000</v>
      </c>
      <c r="C161" s="58">
        <f t="shared" si="5"/>
        <v>-21.49820205583098</v>
      </c>
      <c r="D161" s="58">
        <f t="shared" si="1"/>
        <v>1.089793571884053</v>
      </c>
      <c r="E161" s="58">
        <f t="shared" si="2"/>
        <v>-20.408408483946928</v>
      </c>
      <c r="F161" s="58"/>
      <c r="G161" s="58">
        <v>16000</v>
      </c>
      <c r="H161" s="58">
        <f t="shared" si="6"/>
        <v>-6.4502355724328426</v>
      </c>
      <c r="I161" s="58">
        <f t="shared" si="3"/>
        <v>-72.588656090242893</v>
      </c>
      <c r="J161" s="58">
        <f t="shared" si="4"/>
        <v>-79.038891662675738</v>
      </c>
      <c r="K161" s="243"/>
      <c r="L161" s="244"/>
      <c r="M161" s="73"/>
    </row>
    <row r="162" spans="1:13">
      <c r="A162" s="239"/>
      <c r="B162" s="58">
        <v>25000</v>
      </c>
      <c r="C162" s="58">
        <f t="shared" si="5"/>
        <v>-21.530704077948656</v>
      </c>
      <c r="D162" s="58">
        <f t="shared" si="1"/>
        <v>-2.525363005075036</v>
      </c>
      <c r="E162" s="58">
        <f t="shared" si="2"/>
        <v>-24.056067083023692</v>
      </c>
      <c r="F162" s="58"/>
      <c r="G162" s="58">
        <v>25000</v>
      </c>
      <c r="H162" s="58">
        <f t="shared" si="6"/>
        <v>-4.1384827938465465</v>
      </c>
      <c r="I162" s="58">
        <f t="shared" si="3"/>
        <v>-78.615726578407731</v>
      </c>
      <c r="J162" s="58">
        <f t="shared" si="4"/>
        <v>-82.75420937225428</v>
      </c>
      <c r="K162" s="243"/>
      <c r="L162" s="244"/>
      <c r="M162" s="73"/>
    </row>
    <row r="163" spans="1:13">
      <c r="A163" s="239"/>
      <c r="B163" s="58">
        <v>40000</v>
      </c>
      <c r="C163" s="58">
        <f t="shared" si="5"/>
        <v>-21.544518262627616</v>
      </c>
      <c r="D163" s="58">
        <f t="shared" si="1"/>
        <v>-6.492383147387474</v>
      </c>
      <c r="E163" s="58">
        <f t="shared" si="2"/>
        <v>-28.036901410015091</v>
      </c>
      <c r="F163" s="58"/>
      <c r="G163" s="58">
        <v>40000</v>
      </c>
      <c r="H163" s="58">
        <f t="shared" si="6"/>
        <v>-2.5892992899994804</v>
      </c>
      <c r="I163" s="58">
        <f t="shared" si="3"/>
        <v>-82.817716761584506</v>
      </c>
      <c r="J163" s="58">
        <f t="shared" si="4"/>
        <v>-85.40701605158398</v>
      </c>
      <c r="K163" s="244"/>
      <c r="L163" s="244"/>
      <c r="M163" s="73"/>
    </row>
    <row r="164" spans="1:13">
      <c r="A164" s="239"/>
      <c r="B164" s="58">
        <v>63000</v>
      </c>
      <c r="C164" s="58">
        <f t="shared" si="5"/>
        <v>-21.549815389125509</v>
      </c>
      <c r="D164" s="58">
        <f t="shared" si="1"/>
        <v>-10.393020697063186</v>
      </c>
      <c r="E164" s="58">
        <f t="shared" si="2"/>
        <v>-31.942836086188695</v>
      </c>
      <c r="F164" s="58"/>
      <c r="G164" s="58">
        <v>63000</v>
      </c>
      <c r="H164" s="58">
        <f t="shared" si="6"/>
        <v>-1.6446687715660282</v>
      </c>
      <c r="I164" s="58">
        <f t="shared" si="3"/>
        <v>-85.42314955671003</v>
      </c>
      <c r="J164" s="58">
        <f t="shared" si="4"/>
        <v>-87.067818328276061</v>
      </c>
      <c r="K164" s="244"/>
      <c r="L164" s="244"/>
      <c r="M164" s="73"/>
    </row>
    <row r="165" spans="1:13">
      <c r="A165" s="239"/>
      <c r="B165" s="58">
        <v>100000</v>
      </c>
      <c r="C165" s="58">
        <f t="shared" si="5"/>
        <v>-21.551974910216597</v>
      </c>
      <c r="D165" s="58">
        <f t="shared" si="1"/>
        <v>-14.387755683968496</v>
      </c>
      <c r="E165" s="58">
        <f t="shared" si="2"/>
        <v>-35.939730594185093</v>
      </c>
      <c r="F165" s="58"/>
      <c r="G165" s="58">
        <v>100000</v>
      </c>
      <c r="H165" s="58">
        <f t="shared" si="6"/>
        <v>-1.0363132367003995</v>
      </c>
      <c r="I165" s="58">
        <f t="shared" si="3"/>
        <v>-87.112268477537739</v>
      </c>
      <c r="J165" s="58">
        <f t="shared" si="4"/>
        <v>-88.148581714238134</v>
      </c>
      <c r="K165" s="244"/>
      <c r="L165" s="244"/>
      <c r="M165" s="73"/>
    </row>
    <row r="166" spans="1:13">
      <c r="A166" s="239"/>
      <c r="B166" s="242"/>
      <c r="C166" s="242"/>
      <c r="D166" s="242"/>
      <c r="E166" s="242"/>
      <c r="F166" s="242"/>
      <c r="G166" s="242"/>
      <c r="H166" s="242"/>
      <c r="I166" s="242"/>
      <c r="J166" s="242"/>
      <c r="K166" s="244"/>
      <c r="L166" s="244"/>
      <c r="M166" s="73"/>
    </row>
    <row r="167" spans="1:13">
      <c r="A167" s="239"/>
      <c r="B167" s="243"/>
      <c r="C167" s="243"/>
      <c r="D167" s="243"/>
      <c r="E167" s="243"/>
      <c r="F167" s="243"/>
      <c r="G167" s="243"/>
      <c r="H167" s="243"/>
      <c r="I167" s="243"/>
      <c r="J167" s="243"/>
      <c r="K167" s="244"/>
      <c r="L167" s="244"/>
      <c r="M167" s="73"/>
    </row>
    <row r="168" spans="1:13">
      <c r="A168" s="239"/>
      <c r="B168" s="243"/>
      <c r="C168" s="243"/>
      <c r="D168" s="243"/>
      <c r="E168" s="243"/>
      <c r="F168" s="243"/>
      <c r="G168" s="243"/>
      <c r="H168" s="243"/>
      <c r="I168" s="243"/>
      <c r="J168" s="243"/>
      <c r="K168" s="244"/>
      <c r="L168" s="244"/>
      <c r="M168" s="73"/>
    </row>
    <row r="169" spans="1:13">
      <c r="B169" s="243"/>
      <c r="C169" s="243"/>
      <c r="D169" s="243"/>
      <c r="E169" s="243"/>
      <c r="F169" s="243"/>
      <c r="G169" s="243"/>
      <c r="H169" s="243"/>
      <c r="I169" s="243"/>
      <c r="J169" s="243"/>
      <c r="K169" s="244"/>
      <c r="L169" s="244"/>
      <c r="M169" s="73"/>
    </row>
    <row r="170" spans="1:13">
      <c r="G170" s="15"/>
      <c r="H170" s="15"/>
      <c r="I170" s="15"/>
      <c r="J170" s="15"/>
      <c r="K170" s="73"/>
      <c r="L170" s="73"/>
      <c r="M170" s="73"/>
    </row>
    <row r="171" spans="1:13">
      <c r="A171" s="22"/>
      <c r="F171" s="22"/>
      <c r="G171" s="22"/>
      <c r="H171" s="22"/>
      <c r="I171" s="22"/>
      <c r="J171" s="22"/>
      <c r="K171" s="73"/>
      <c r="L171" s="73"/>
      <c r="M171" s="73"/>
    </row>
    <row r="172" spans="1:13">
      <c r="A172" s="43"/>
      <c r="F172" s="43"/>
      <c r="G172" s="43"/>
      <c r="H172" s="43"/>
      <c r="I172" s="43"/>
      <c r="J172" s="58"/>
      <c r="K172" s="73"/>
      <c r="L172" s="73"/>
      <c r="M172" s="73"/>
    </row>
    <row r="173" spans="1:13">
      <c r="L173" s="73"/>
      <c r="M173" s="73"/>
    </row>
    <row r="174" spans="1:13">
      <c r="L174" s="73"/>
      <c r="M174" s="73"/>
    </row>
    <row r="175" spans="1:13">
      <c r="L175" s="73"/>
      <c r="M175" s="73"/>
    </row>
    <row r="176" spans="1:13">
      <c r="L176" s="73"/>
      <c r="M176" s="73"/>
    </row>
    <row r="177" spans="1:13">
      <c r="L177" s="73"/>
      <c r="M177" s="73"/>
    </row>
    <row r="178" spans="1:13">
      <c r="L178" s="73"/>
      <c r="M178" s="73"/>
    </row>
    <row r="179" spans="1:13">
      <c r="L179" s="73"/>
      <c r="M179" s="73"/>
    </row>
    <row r="180" spans="1:13">
      <c r="L180" s="73"/>
      <c r="M180" s="73"/>
    </row>
    <row r="181" spans="1:13">
      <c r="L181" s="73"/>
      <c r="M181" s="73"/>
    </row>
    <row r="182" spans="1:13">
      <c r="L182" s="73"/>
      <c r="M182" s="73"/>
    </row>
    <row r="183" spans="1:13">
      <c r="L183" s="73"/>
      <c r="M183" s="73"/>
    </row>
    <row r="184" spans="1:13">
      <c r="L184" s="73"/>
      <c r="M184" s="73"/>
    </row>
    <row r="185" spans="1:13">
      <c r="L185" s="73"/>
      <c r="M185" s="73"/>
    </row>
    <row r="186" spans="1:13">
      <c r="A186" s="22"/>
      <c r="F186" s="22"/>
      <c r="G186" s="22"/>
      <c r="H186" s="22"/>
      <c r="I186" s="22"/>
      <c r="J186" s="22"/>
      <c r="K186" s="73"/>
      <c r="L186" s="73"/>
      <c r="M186" s="73"/>
    </row>
    <row r="187" spans="1:1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spans="1:1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</row>
    <row r="190" spans="1:13">
      <c r="A190" s="74"/>
      <c r="B190" s="74"/>
      <c r="C190" s="74"/>
      <c r="D190" s="74"/>
      <c r="E190" s="74"/>
      <c r="F190" s="74"/>
      <c r="G190" s="74"/>
      <c r="H190" s="74"/>
      <c r="I190" s="74"/>
      <c r="J190" s="73"/>
      <c r="K190" s="73"/>
      <c r="L190" s="73"/>
      <c r="M190" s="73"/>
    </row>
    <row r="191" spans="1:13">
      <c r="A191" s="74"/>
      <c r="B191" s="76"/>
      <c r="C191" s="76"/>
      <c r="D191" s="77"/>
      <c r="E191" s="74"/>
      <c r="F191" s="74"/>
      <c r="G191" s="74"/>
      <c r="H191" s="74"/>
      <c r="I191" s="74"/>
      <c r="J191" s="73"/>
      <c r="K191" s="73"/>
      <c r="L191" s="73"/>
      <c r="M191" s="73"/>
    </row>
    <row r="192" spans="1:13">
      <c r="A192" s="74"/>
      <c r="B192" s="74"/>
      <c r="C192" s="74"/>
      <c r="D192" s="74"/>
      <c r="E192" s="74"/>
      <c r="F192" s="74"/>
      <c r="G192" s="74"/>
      <c r="H192" s="74"/>
      <c r="I192" s="74"/>
      <c r="J192" s="73"/>
      <c r="K192" s="73"/>
      <c r="L192" s="73"/>
      <c r="M192" s="73"/>
    </row>
    <row r="193" spans="1:13">
      <c r="A193" s="74"/>
      <c r="B193" s="75"/>
      <c r="C193" s="75"/>
      <c r="D193" s="75"/>
      <c r="E193" s="75"/>
      <c r="F193" s="75"/>
      <c r="G193" s="75"/>
      <c r="H193" s="75"/>
      <c r="I193" s="75"/>
      <c r="J193" s="78"/>
      <c r="K193" s="73"/>
      <c r="L193" s="73"/>
      <c r="M193" s="73"/>
    </row>
    <row r="194" spans="1:13">
      <c r="A194" s="79"/>
      <c r="B194" s="79"/>
      <c r="C194" s="79"/>
      <c r="D194" s="79"/>
      <c r="E194" s="79"/>
      <c r="F194" s="79"/>
      <c r="G194" s="79"/>
      <c r="H194" s="79"/>
      <c r="I194" s="79"/>
      <c r="J194" s="78"/>
      <c r="K194" s="73"/>
      <c r="L194" s="73"/>
      <c r="M194" s="73"/>
    </row>
    <row r="195" spans="1:13">
      <c r="A195" s="79"/>
      <c r="B195" s="79"/>
      <c r="C195" s="79"/>
      <c r="D195" s="79"/>
      <c r="E195" s="79"/>
      <c r="F195" s="79"/>
      <c r="G195" s="79"/>
      <c r="H195" s="79"/>
      <c r="I195" s="79"/>
      <c r="J195" s="78"/>
      <c r="K195" s="73"/>
      <c r="L195" s="73"/>
      <c r="M195" s="73"/>
    </row>
    <row r="196" spans="1:13">
      <c r="A196" s="80"/>
      <c r="B196" s="80"/>
      <c r="C196" s="80"/>
      <c r="D196" s="79"/>
      <c r="E196" s="80"/>
      <c r="F196" s="80"/>
      <c r="G196" s="80"/>
      <c r="H196" s="80"/>
      <c r="I196" s="79"/>
      <c r="J196" s="78"/>
      <c r="K196" s="73"/>
      <c r="L196" s="73"/>
      <c r="M196" s="73"/>
    </row>
    <row r="197" spans="1:13">
      <c r="A197" s="80"/>
      <c r="B197" s="80"/>
      <c r="C197" s="80"/>
      <c r="D197" s="79"/>
      <c r="E197" s="80"/>
      <c r="F197" s="80"/>
      <c r="G197" s="80"/>
      <c r="H197" s="80"/>
      <c r="I197" s="79"/>
      <c r="J197" s="78"/>
      <c r="K197" s="73"/>
      <c r="L197" s="73"/>
      <c r="M197" s="73"/>
    </row>
    <row r="198" spans="1:13">
      <c r="A198" s="80"/>
      <c r="B198" s="80"/>
      <c r="C198" s="80"/>
      <c r="D198" s="79"/>
      <c r="E198" s="80"/>
      <c r="F198" s="80"/>
      <c r="G198" s="80"/>
      <c r="H198" s="80"/>
      <c r="I198" s="79"/>
      <c r="J198" s="78"/>
      <c r="K198" s="73"/>
      <c r="L198" s="73"/>
      <c r="M198" s="73"/>
    </row>
    <row r="199" spans="1:13">
      <c r="A199" s="80"/>
      <c r="B199" s="80"/>
      <c r="C199" s="80"/>
      <c r="D199" s="79"/>
      <c r="E199" s="80"/>
      <c r="F199" s="80"/>
      <c r="G199" s="80"/>
      <c r="H199" s="80"/>
      <c r="I199" s="79"/>
      <c r="J199" s="78"/>
      <c r="K199" s="73"/>
      <c r="L199" s="73"/>
      <c r="M199" s="73"/>
    </row>
    <row r="200" spans="1:13">
      <c r="A200" s="80"/>
      <c r="B200" s="80"/>
      <c r="C200" s="80"/>
      <c r="D200" s="79"/>
      <c r="E200" s="80"/>
      <c r="F200" s="80"/>
      <c r="G200" s="80"/>
      <c r="H200" s="80"/>
      <c r="I200" s="79"/>
      <c r="J200" s="78"/>
      <c r="K200" s="73"/>
      <c r="L200" s="73"/>
      <c r="M200" s="73"/>
    </row>
    <row r="201" spans="1:13">
      <c r="A201" s="80"/>
      <c r="B201" s="80"/>
      <c r="C201" s="80"/>
      <c r="D201" s="79"/>
      <c r="E201" s="80"/>
      <c r="F201" s="80"/>
      <c r="G201" s="80"/>
      <c r="H201" s="80"/>
      <c r="I201" s="79"/>
      <c r="J201" s="78"/>
      <c r="K201" s="73"/>
      <c r="L201" s="73"/>
      <c r="M201" s="73"/>
    </row>
    <row r="202" spans="1:13">
      <c r="A202" s="80"/>
      <c r="B202" s="80"/>
      <c r="C202" s="80"/>
      <c r="D202" s="79"/>
      <c r="E202" s="80"/>
      <c r="F202" s="80"/>
      <c r="G202" s="80"/>
      <c r="H202" s="80"/>
      <c r="I202" s="79"/>
      <c r="J202" s="78"/>
      <c r="K202" s="73"/>
      <c r="L202" s="73"/>
      <c r="M202" s="73"/>
    </row>
    <row r="203" spans="1:13">
      <c r="A203" s="80"/>
      <c r="B203" s="80"/>
      <c r="C203" s="80"/>
      <c r="D203" s="79"/>
      <c r="E203" s="80"/>
      <c r="F203" s="80"/>
      <c r="G203" s="80"/>
      <c r="H203" s="80"/>
      <c r="I203" s="79"/>
      <c r="J203" s="78"/>
      <c r="K203" s="73"/>
      <c r="L203" s="73"/>
      <c r="M203" s="73"/>
    </row>
    <row r="204" spans="1:13">
      <c r="A204" s="80"/>
      <c r="B204" s="80"/>
      <c r="C204" s="80"/>
      <c r="D204" s="79"/>
      <c r="E204" s="80"/>
      <c r="F204" s="80"/>
      <c r="G204" s="80"/>
      <c r="H204" s="80"/>
      <c r="I204" s="79"/>
      <c r="J204" s="78"/>
      <c r="K204" s="73"/>
      <c r="L204" s="73"/>
      <c r="M204" s="73"/>
    </row>
    <row r="205" spans="1:13">
      <c r="A205" s="80"/>
      <c r="B205" s="80"/>
      <c r="C205" s="80"/>
      <c r="D205" s="79"/>
      <c r="E205" s="80"/>
      <c r="F205" s="80"/>
      <c r="G205" s="80"/>
      <c r="H205" s="80"/>
      <c r="I205" s="79"/>
      <c r="J205" s="78"/>
      <c r="K205" s="73"/>
      <c r="L205" s="73"/>
      <c r="M205" s="73"/>
    </row>
    <row r="206" spans="1:13">
      <c r="A206" s="80"/>
      <c r="B206" s="80"/>
      <c r="C206" s="80"/>
      <c r="D206" s="79"/>
      <c r="E206" s="80"/>
      <c r="F206" s="80"/>
      <c r="G206" s="80"/>
      <c r="H206" s="80"/>
      <c r="I206" s="79"/>
      <c r="J206" s="78"/>
      <c r="K206" s="73"/>
      <c r="L206" s="73"/>
      <c r="M206" s="73"/>
    </row>
    <row r="207" spans="1:13">
      <c r="A207" s="80"/>
      <c r="B207" s="80"/>
      <c r="C207" s="80"/>
      <c r="D207" s="79"/>
      <c r="E207" s="80"/>
      <c r="F207" s="80"/>
      <c r="G207" s="80"/>
      <c r="H207" s="80"/>
      <c r="I207" s="79"/>
      <c r="J207" s="78"/>
      <c r="K207" s="73"/>
      <c r="L207" s="73"/>
      <c r="M207" s="73"/>
    </row>
    <row r="208" spans="1:13">
      <c r="A208" s="80"/>
      <c r="B208" s="80"/>
      <c r="C208" s="80"/>
      <c r="D208" s="79"/>
      <c r="E208" s="80"/>
      <c r="F208" s="80"/>
      <c r="G208" s="80"/>
      <c r="H208" s="80"/>
      <c r="I208" s="79"/>
      <c r="J208" s="78"/>
      <c r="K208" s="73"/>
      <c r="L208" s="73"/>
      <c r="M208" s="73"/>
    </row>
    <row r="209" spans="1:13">
      <c r="A209" s="80"/>
      <c r="B209" s="80"/>
      <c r="C209" s="80"/>
      <c r="D209" s="79"/>
      <c r="E209" s="80"/>
      <c r="F209" s="80"/>
      <c r="G209" s="80"/>
      <c r="H209" s="80"/>
      <c r="I209" s="79"/>
      <c r="J209" s="78"/>
      <c r="K209" s="73"/>
      <c r="L209" s="73"/>
      <c r="M209" s="73"/>
    </row>
    <row r="210" spans="1:13">
      <c r="A210" s="80"/>
      <c r="B210" s="80"/>
      <c r="C210" s="80"/>
      <c r="D210" s="79"/>
      <c r="E210" s="80"/>
      <c r="F210" s="80"/>
      <c r="G210" s="80"/>
      <c r="H210" s="80"/>
      <c r="I210" s="79"/>
      <c r="J210" s="78"/>
      <c r="K210" s="73"/>
      <c r="L210" s="73"/>
      <c r="M210" s="73"/>
    </row>
    <row r="211" spans="1:13">
      <c r="A211" s="80"/>
      <c r="B211" s="80"/>
      <c r="C211" s="80"/>
      <c r="D211" s="79"/>
      <c r="E211" s="80"/>
      <c r="F211" s="80"/>
      <c r="G211" s="80"/>
      <c r="H211" s="80"/>
      <c r="I211" s="79"/>
      <c r="J211" s="78"/>
      <c r="K211" s="73"/>
      <c r="L211" s="73"/>
      <c r="M211" s="73"/>
    </row>
    <row r="212" spans="1:13">
      <c r="A212" s="80"/>
      <c r="B212" s="80"/>
      <c r="C212" s="80"/>
      <c r="D212" s="79"/>
      <c r="E212" s="80"/>
      <c r="F212" s="80"/>
      <c r="G212" s="80"/>
      <c r="H212" s="80"/>
      <c r="I212" s="79"/>
      <c r="J212" s="78"/>
      <c r="K212" s="73"/>
      <c r="L212" s="73"/>
      <c r="M212" s="73"/>
    </row>
    <row r="213" spans="1:13">
      <c r="A213" s="80"/>
      <c r="B213" s="80"/>
      <c r="C213" s="80"/>
      <c r="D213" s="79"/>
      <c r="E213" s="80"/>
      <c r="F213" s="80"/>
      <c r="G213" s="80"/>
      <c r="H213" s="80"/>
      <c r="I213" s="79"/>
      <c r="J213" s="78"/>
      <c r="K213" s="73"/>
      <c r="L213" s="73"/>
      <c r="M213" s="73"/>
    </row>
    <row r="214" spans="1:13">
      <c r="A214" s="80"/>
      <c r="B214" s="80"/>
      <c r="C214" s="80"/>
      <c r="D214" s="79"/>
      <c r="E214" s="80"/>
      <c r="F214" s="80"/>
      <c r="G214" s="80"/>
      <c r="H214" s="80"/>
      <c r="I214" s="79"/>
      <c r="J214" s="78"/>
      <c r="K214" s="73"/>
      <c r="L214" s="73"/>
      <c r="M214" s="73"/>
    </row>
    <row r="215" spans="1:13">
      <c r="A215" s="80"/>
      <c r="B215" s="80"/>
      <c r="C215" s="80"/>
      <c r="D215" s="79"/>
      <c r="E215" s="80"/>
      <c r="F215" s="80"/>
      <c r="G215" s="80"/>
      <c r="H215" s="80"/>
      <c r="I215" s="79"/>
      <c r="J215" s="78"/>
      <c r="K215" s="73"/>
      <c r="L215" s="73"/>
      <c r="M215" s="73"/>
    </row>
    <row r="216" spans="1:13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3"/>
      <c r="L216" s="73"/>
      <c r="M216" s="73"/>
    </row>
    <row r="217" spans="1:13">
      <c r="A217" s="73"/>
      <c r="B217" s="78"/>
      <c r="C217" s="78"/>
      <c r="D217" s="78"/>
      <c r="E217" s="78"/>
      <c r="F217" s="78"/>
      <c r="G217" s="78"/>
      <c r="H217" s="78"/>
      <c r="I217" s="78"/>
      <c r="J217" s="78"/>
      <c r="K217" s="73"/>
      <c r="L217" s="73"/>
      <c r="M217" s="73"/>
    </row>
    <row r="218" spans="1:13">
      <c r="A218" s="73"/>
      <c r="B218" s="73"/>
      <c r="C218" s="78"/>
      <c r="D218" s="78"/>
      <c r="E218" s="78"/>
      <c r="F218" s="78"/>
      <c r="G218" s="78"/>
      <c r="H218" s="78"/>
      <c r="I218" s="78"/>
      <c r="J218" s="73"/>
      <c r="K218" s="73"/>
      <c r="L218" s="73"/>
      <c r="M218" s="73"/>
    </row>
    <row r="219" spans="1:13">
      <c r="A219" s="73"/>
      <c r="B219" s="73"/>
      <c r="C219" s="78"/>
      <c r="D219" s="78"/>
      <c r="E219" s="78"/>
      <c r="F219" s="78"/>
      <c r="G219" s="78"/>
      <c r="H219" s="78"/>
      <c r="I219" s="78"/>
      <c r="J219" s="73"/>
      <c r="K219" s="73"/>
      <c r="L219" s="73"/>
      <c r="M219" s="73"/>
    </row>
    <row r="220" spans="1:13">
      <c r="A220" s="73"/>
      <c r="B220" s="73"/>
      <c r="C220" s="78"/>
      <c r="D220" s="78"/>
      <c r="E220" s="78"/>
      <c r="F220" s="78"/>
      <c r="G220" s="78"/>
      <c r="H220" s="75"/>
      <c r="I220" s="78"/>
      <c r="J220" s="73"/>
      <c r="K220" s="73"/>
      <c r="L220" s="73"/>
      <c r="M220" s="73"/>
    </row>
    <row r="221" spans="1:13">
      <c r="A221" s="73"/>
      <c r="B221" s="73"/>
      <c r="C221" s="78"/>
      <c r="D221" s="81"/>
      <c r="E221" s="81"/>
      <c r="F221" s="81"/>
      <c r="G221" s="81"/>
      <c r="H221" s="75"/>
      <c r="I221" s="78"/>
      <c r="J221" s="73"/>
      <c r="K221" s="73"/>
      <c r="L221" s="73"/>
      <c r="M221" s="73"/>
    </row>
    <row r="222" spans="1:13">
      <c r="A222" s="73"/>
      <c r="B222" s="73"/>
      <c r="C222" s="78"/>
      <c r="D222" s="78"/>
      <c r="E222" s="78"/>
      <c r="F222" s="78"/>
      <c r="G222" s="78"/>
      <c r="H222" s="78"/>
      <c r="I222" s="78"/>
      <c r="J222" s="73"/>
      <c r="K222" s="73"/>
      <c r="L222" s="73"/>
      <c r="M222" s="73"/>
    </row>
    <row r="223" spans="1:13">
      <c r="A223" s="73"/>
      <c r="B223" s="73"/>
      <c r="C223" s="78"/>
      <c r="D223" s="78"/>
      <c r="E223" s="78"/>
      <c r="F223" s="78"/>
      <c r="G223" s="78"/>
      <c r="H223" s="78"/>
      <c r="I223" s="78"/>
      <c r="J223" s="73"/>
      <c r="K223" s="73"/>
      <c r="L223" s="73"/>
      <c r="M223" s="73"/>
    </row>
    <row r="224" spans="1:13">
      <c r="A224" s="73"/>
      <c r="B224" s="73"/>
      <c r="C224" s="78"/>
      <c r="D224" s="78"/>
      <c r="E224" s="78"/>
      <c r="F224" s="78"/>
      <c r="G224" s="78"/>
      <c r="H224" s="78"/>
      <c r="I224" s="78"/>
      <c r="J224" s="73"/>
      <c r="K224" s="73"/>
      <c r="L224" s="73"/>
      <c r="M224" s="73"/>
    </row>
    <row r="225" spans="1:1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</row>
    <row r="226" spans="1:1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</row>
    <row r="227" spans="1:1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spans="1:1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</row>
    <row r="229" spans="1:1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</row>
    <row r="230" spans="1:1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</row>
    <row r="231" spans="1:1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</row>
    <row r="232" spans="1:1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</row>
    <row r="233" spans="1:1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</row>
    <row r="234" spans="1:1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</row>
    <row r="235" spans="1:1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</row>
    <row r="236" spans="1:1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</row>
    <row r="237" spans="1:1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</row>
    <row r="238" spans="1:1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</row>
    <row r="239" spans="1:1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</row>
    <row r="240" spans="1:1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</row>
    <row r="241" spans="1:1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</row>
    <row r="242" spans="1:1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</row>
    <row r="243" spans="1:1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</row>
    <row r="244" spans="1:1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</row>
    <row r="245" spans="1:1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</row>
    <row r="246" spans="1:1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</row>
    <row r="247" spans="1:1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</row>
    <row r="248" spans="1:1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</row>
    <row r="249" spans="1:1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</row>
    <row r="250" spans="1:1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</row>
    <row r="251" spans="1:1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</row>
    <row r="252" spans="1:1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</row>
    <row r="253" spans="1:1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</row>
    <row r="254" spans="1:1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</row>
    <row r="255" spans="1:1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</row>
    <row r="256" spans="1:1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</row>
    <row r="257" spans="1:1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</row>
    <row r="258" spans="1:1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</row>
    <row r="259" spans="1:1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</row>
    <row r="260" spans="1:1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</row>
    <row r="261" spans="1:1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spans="1:1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</row>
    <row r="263" spans="1:1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</row>
    <row r="264" spans="1:1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</row>
    <row r="265" spans="1:1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</row>
    <row r="266" spans="1:1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</row>
    <row r="267" spans="1:1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</row>
    <row r="268" spans="1:1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</row>
    <row r="269" spans="1:1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</row>
    <row r="270" spans="1:1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</row>
    <row r="271" spans="1:1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</row>
    <row r="272" spans="1:1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</row>
    <row r="273" spans="1:1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</row>
    <row r="274" spans="1:1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</row>
    <row r="275" spans="1:1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</row>
    <row r="276" spans="1:1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</row>
    <row r="277" spans="1:1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</row>
    <row r="278" spans="1:1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</row>
    <row r="279" spans="1:1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</row>
    <row r="280" spans="1:1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</row>
    <row r="281" spans="1:1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</row>
    <row r="282" spans="1:1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</row>
    <row r="283" spans="1:1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</row>
    <row r="284" spans="1:1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</row>
    <row r="285" spans="1:1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</row>
    <row r="286" spans="1:1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</row>
    <row r="287" spans="1:1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</row>
    <row r="288" spans="1:1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</row>
    <row r="289" spans="1:1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</row>
    <row r="290" spans="1:1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</row>
    <row r="291" spans="1:1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</row>
    <row r="292" spans="1:1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</row>
    <row r="293" spans="1:1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</row>
    <row r="294" spans="1:1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</row>
    <row r="295" spans="1:1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</row>
    <row r="296" spans="1:1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</row>
    <row r="297" spans="1:1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</row>
    <row r="298" spans="1:1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299" spans="1:1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</row>
    <row r="300" spans="1:1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</row>
    <row r="301" spans="1:1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</row>
    <row r="302" spans="1:1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  <row r="303" spans="1:1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</row>
    <row r="304" spans="1:1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</row>
    <row r="305" spans="1:1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</row>
    <row r="306" spans="1:1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</row>
    <row r="307" spans="1:1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</row>
    <row r="308" spans="1:1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</row>
    <row r="309" spans="1:1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</row>
    <row r="310" spans="1:1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</row>
    <row r="311" spans="1:1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</row>
    <row r="312" spans="1:1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</row>
    <row r="313" spans="1:1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</row>
    <row r="314" spans="1:1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</row>
    <row r="315" spans="1:1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</row>
    <row r="316" spans="1:1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</row>
    <row r="317" spans="1:1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</row>
    <row r="318" spans="1:1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</row>
    <row r="319" spans="1:1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</row>
    <row r="320" spans="1:1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</row>
    <row r="321" spans="1:1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</row>
    <row r="322" spans="1:1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</row>
    <row r="323" spans="1:1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</row>
    <row r="324" spans="1:1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</row>
    <row r="325" spans="1:1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</row>
    <row r="326" spans="1:1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</row>
    <row r="327" spans="1:1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</row>
    <row r="328" spans="1:1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</row>
    <row r="329" spans="1:1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</row>
    <row r="330" spans="1:1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</row>
    <row r="331" spans="1:1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</row>
    <row r="332" spans="1:1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</row>
    <row r="333" spans="1:1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</row>
    <row r="334" spans="1:1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</row>
    <row r="335" spans="1:1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</row>
    <row r="336" spans="1:1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</row>
    <row r="337" spans="1:1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</row>
    <row r="338" spans="1:1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</row>
    <row r="339" spans="1:1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</row>
    <row r="340" spans="1:1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</row>
    <row r="341" spans="1:1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</row>
    <row r="342" spans="1:1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</row>
    <row r="343" spans="1:1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</row>
    <row r="344" spans="1:1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</row>
    <row r="345" spans="1:1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</row>
    <row r="346" spans="1:1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</row>
    <row r="347" spans="1:1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</row>
    <row r="348" spans="1:1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</row>
    <row r="349" spans="1:1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</row>
    <row r="350" spans="1:1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</row>
    <row r="351" spans="1:1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</row>
    <row r="352" spans="1:1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</row>
    <row r="353" spans="1:1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</row>
    <row r="354" spans="1:1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</row>
    <row r="355" spans="1:1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</row>
    <row r="356" spans="1:1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</row>
    <row r="357" spans="1:1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</row>
    <row r="358" spans="1:1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</row>
    <row r="359" spans="1:1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</row>
    <row r="360" spans="1:1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</row>
    <row r="361" spans="1:1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</row>
    <row r="362" spans="1:1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</row>
    <row r="363" spans="1:1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</row>
    <row r="364" spans="1:1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</row>
    <row r="365" spans="1:1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</row>
    <row r="366" spans="1:1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</row>
    <row r="367" spans="1:1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</row>
    <row r="368" spans="1:1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</row>
    <row r="369" spans="1:1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</row>
    <row r="370" spans="1:1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</row>
    <row r="371" spans="1:1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</row>
    <row r="372" spans="1:1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</row>
    <row r="373" spans="1:1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</row>
    <row r="374" spans="1:1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</row>
    <row r="375" spans="1:1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</row>
    <row r="376" spans="1:1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</row>
    <row r="377" spans="1:1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</row>
    <row r="378" spans="1:1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</row>
    <row r="379" spans="1:1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</row>
    <row r="380" spans="1:1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</row>
    <row r="381" spans="1:1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</row>
    <row r="382" spans="1:1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</row>
    <row r="383" spans="1:1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</row>
    <row r="384" spans="1:1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</row>
    <row r="385" spans="1:1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</row>
    <row r="386" spans="1:1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</row>
    <row r="387" spans="1:1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</row>
    <row r="388" spans="1:1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</row>
    <row r="389" spans="1:1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</row>
    <row r="390" spans="1:1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</row>
    <row r="391" spans="1:1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</row>
    <row r="392" spans="1:1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</row>
    <row r="393" spans="1:1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</row>
    <row r="394" spans="1:1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</row>
    <row r="395" spans="1:1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</row>
    <row r="396" spans="1:1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</row>
    <row r="397" spans="1:1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</row>
    <row r="398" spans="1:1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</row>
    <row r="399" spans="1:1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</row>
    <row r="400" spans="1:1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</row>
    <row r="401" spans="1:1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</row>
    <row r="402" spans="1:1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</row>
    <row r="403" spans="1:1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</row>
    <row r="404" spans="1:1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</row>
    <row r="405" spans="1:1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</row>
    <row r="406" spans="1:1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</row>
    <row r="407" spans="1:1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</row>
    <row r="408" spans="1:1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</row>
    <row r="409" spans="1:1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</row>
    <row r="410" spans="1:1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</row>
    <row r="411" spans="1:1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</row>
    <row r="412" spans="1:1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</row>
    <row r="413" spans="1:1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</row>
    <row r="414" spans="1:1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</row>
    <row r="415" spans="1:1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</row>
    <row r="416" spans="1:1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</row>
    <row r="417" spans="1:1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</row>
    <row r="418" spans="1:1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</row>
    <row r="419" spans="1:1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</row>
    <row r="420" spans="1:1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</row>
    <row r="421" spans="1:1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</row>
    <row r="422" spans="1:1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</row>
    <row r="423" spans="1:1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</row>
    <row r="424" spans="1:1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</row>
    <row r="425" spans="1:1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</row>
    <row r="426" spans="1:13">
      <c r="K426" s="73"/>
      <c r="L426" s="73"/>
      <c r="M426" s="73"/>
    </row>
    <row r="427" spans="1:13">
      <c r="K427" s="73"/>
      <c r="L427" s="73"/>
      <c r="M427" s="73"/>
    </row>
    <row r="428" spans="1:13">
      <c r="L428" s="73"/>
      <c r="M428" s="73"/>
    </row>
    <row r="429" spans="1:13">
      <c r="L429" s="73"/>
      <c r="M429" s="73"/>
    </row>
    <row r="430" spans="1:13">
      <c r="L430" s="73"/>
      <c r="M430" s="73"/>
    </row>
    <row r="431" spans="1:13">
      <c r="L431" s="73"/>
      <c r="M431" s="73"/>
    </row>
  </sheetData>
  <sheetProtection password="EFE4" sheet="1" objects="1" scenarios="1" selectLockedCells="1"/>
  <mergeCells count="14">
    <mergeCell ref="I72:J72"/>
    <mergeCell ref="I73:J73"/>
    <mergeCell ref="I74:J74"/>
    <mergeCell ref="I75:J75"/>
    <mergeCell ref="C115:D116"/>
    <mergeCell ref="I98:J98"/>
    <mergeCell ref="I99:J99"/>
    <mergeCell ref="I97:J97"/>
    <mergeCell ref="I96:J96"/>
    <mergeCell ref="C1:H2"/>
    <mergeCell ref="I76:J76"/>
    <mergeCell ref="I77:J77"/>
    <mergeCell ref="I78:J78"/>
    <mergeCell ref="E30:F30"/>
  </mergeCells>
  <phoneticPr fontId="2" type="noConversion"/>
  <pageMargins left="0.74803149606299213" right="0.74803149606299213" top="0.78740157480314965" bottom="0.86" header="0" footer="0"/>
  <pageSetup paperSize="9" orientation="portrait" horizontalDpi="300" verticalDpi="300" r:id="rId1"/>
  <headerFooter alignWithMargins="0"/>
  <drawing r:id="rId2"/>
  <legacyDrawing r:id="rId3"/>
  <oleObjects>
    <oleObject progId="hunmin.doc" shapeId="1054" r:id="rId4"/>
    <oleObject progId="Visio.Drawing.6" shapeId="1077" r:id="rId5"/>
    <oleObject progId="Visio.Drawing.6" shapeId="1089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N431"/>
  <sheetViews>
    <sheetView topLeftCell="A109" workbookViewId="0">
      <selection activeCell="C135" sqref="C135"/>
    </sheetView>
  </sheetViews>
  <sheetFormatPr defaultRowHeight="13.5"/>
  <cols>
    <col min="1" max="1" width="3.5546875" customWidth="1"/>
    <col min="2" max="2" width="32" customWidth="1"/>
    <col min="3" max="3" width="8.21875" customWidth="1"/>
    <col min="4" max="4" width="4.44140625" customWidth="1"/>
    <col min="5" max="5" width="3.77734375" customWidth="1"/>
    <col min="6" max="6" width="3.21875" customWidth="1"/>
    <col min="7" max="7" width="5.44140625" customWidth="1"/>
    <col min="8" max="8" width="2.33203125" customWidth="1"/>
    <col min="9" max="9" width="5.77734375" customWidth="1"/>
    <col min="10" max="10" width="2.44140625" customWidth="1"/>
    <col min="11" max="11" width="5.109375" customWidth="1"/>
    <col min="12" max="12" width="12.6640625" bestFit="1" customWidth="1"/>
  </cols>
  <sheetData>
    <row r="1" spans="1:14">
      <c r="B1" s="4"/>
      <c r="C1" s="252" t="s">
        <v>349</v>
      </c>
      <c r="D1" s="253"/>
      <c r="E1" s="253"/>
      <c r="F1" s="253"/>
      <c r="G1" s="253"/>
      <c r="H1" s="254"/>
      <c r="I1" s="4"/>
    </row>
    <row r="2" spans="1:14">
      <c r="A2" s="4"/>
      <c r="B2" s="4"/>
      <c r="C2" s="254"/>
      <c r="D2" s="254"/>
      <c r="E2" s="254"/>
      <c r="F2" s="254"/>
      <c r="G2" s="254"/>
      <c r="H2" s="254"/>
      <c r="I2" s="4" t="s">
        <v>350</v>
      </c>
    </row>
    <row r="3" spans="1:14" ht="15">
      <c r="A3" s="4"/>
      <c r="B3" s="4"/>
      <c r="C3" s="228" t="s">
        <v>380</v>
      </c>
      <c r="D3" s="228"/>
      <c r="E3" s="228"/>
      <c r="F3" s="228"/>
      <c r="G3" s="228"/>
      <c r="H3" s="228"/>
      <c r="I3" s="229"/>
    </row>
    <row r="4" spans="1:14">
      <c r="I4" s="4"/>
    </row>
    <row r="5" spans="1:14">
      <c r="C5" s="5" t="s">
        <v>351</v>
      </c>
      <c r="D5" s="19" t="s">
        <v>0</v>
      </c>
      <c r="E5" s="19"/>
      <c r="F5" s="19"/>
      <c r="G5" s="19"/>
      <c r="H5" s="4"/>
    </row>
    <row r="6" spans="1:14">
      <c r="C6" s="6" t="s">
        <v>352</v>
      </c>
      <c r="D6" s="19" t="s">
        <v>11</v>
      </c>
      <c r="E6" s="19"/>
      <c r="F6" s="19"/>
      <c r="G6" s="19"/>
      <c r="H6" s="4"/>
    </row>
    <row r="7" spans="1:14">
      <c r="I7" s="4"/>
    </row>
    <row r="8" spans="1:14">
      <c r="A8" s="17" t="s">
        <v>30</v>
      </c>
      <c r="B8" s="23"/>
      <c r="C8" s="23"/>
      <c r="D8" s="23"/>
      <c r="E8" s="23"/>
      <c r="F8" s="23"/>
      <c r="G8" s="23"/>
      <c r="H8" s="23"/>
      <c r="I8" s="23"/>
    </row>
    <row r="9" spans="1:14">
      <c r="A9" s="4"/>
      <c r="B9" s="9" t="s">
        <v>111</v>
      </c>
      <c r="C9" s="21">
        <v>180</v>
      </c>
      <c r="D9" s="10" t="s">
        <v>74</v>
      </c>
      <c r="G9" s="4"/>
      <c r="H9" s="4"/>
      <c r="I9" s="4"/>
    </row>
    <row r="10" spans="1:14">
      <c r="B10" s="9" t="s">
        <v>112</v>
      </c>
      <c r="C10" s="21">
        <v>265</v>
      </c>
      <c r="D10" s="10" t="s">
        <v>74</v>
      </c>
      <c r="E10" s="12"/>
      <c r="F10" s="12"/>
    </row>
    <row r="11" spans="1:14">
      <c r="B11" s="11" t="s">
        <v>113</v>
      </c>
      <c r="C11" s="21">
        <v>60</v>
      </c>
      <c r="D11" s="12" t="s">
        <v>4</v>
      </c>
      <c r="N11" s="50"/>
    </row>
    <row r="12" spans="1:14">
      <c r="N12" s="50"/>
    </row>
    <row r="13" spans="1:14">
      <c r="B13" s="25"/>
      <c r="C13" s="26" t="s">
        <v>40</v>
      </c>
      <c r="D13" s="25"/>
      <c r="E13" s="26" t="s">
        <v>108</v>
      </c>
      <c r="F13" s="25"/>
      <c r="G13" s="26" t="s">
        <v>353</v>
      </c>
      <c r="H13" s="26"/>
      <c r="I13" s="26" t="s">
        <v>110</v>
      </c>
      <c r="N13" s="50"/>
    </row>
    <row r="14" spans="1:14">
      <c r="B14" s="11" t="s">
        <v>354</v>
      </c>
      <c r="C14" s="21">
        <v>5</v>
      </c>
      <c r="D14" s="12" t="s">
        <v>3</v>
      </c>
      <c r="E14" s="21">
        <v>15</v>
      </c>
      <c r="F14" s="12" t="s">
        <v>22</v>
      </c>
      <c r="G14" s="14">
        <f>C14*E14</f>
        <v>75</v>
      </c>
      <c r="H14" s="3" t="s">
        <v>5</v>
      </c>
      <c r="I14" s="14">
        <f>G14/C$18*100</f>
        <v>41.666666666666671</v>
      </c>
      <c r="J14" s="3" t="s">
        <v>6</v>
      </c>
      <c r="N14" s="50"/>
    </row>
    <row r="15" spans="1:14">
      <c r="B15" s="11" t="s">
        <v>355</v>
      </c>
      <c r="C15" s="21">
        <v>3.3</v>
      </c>
      <c r="D15" s="12" t="s">
        <v>3</v>
      </c>
      <c r="E15" s="21">
        <v>10</v>
      </c>
      <c r="F15" s="12" t="s">
        <v>22</v>
      </c>
      <c r="G15" s="14">
        <f>C15*E15</f>
        <v>33</v>
      </c>
      <c r="H15" s="3" t="s">
        <v>5</v>
      </c>
      <c r="I15" s="14">
        <f>G15/C$18*100</f>
        <v>18.333333333333332</v>
      </c>
      <c r="J15" s="3" t="s">
        <v>6</v>
      </c>
      <c r="N15" s="50"/>
    </row>
    <row r="16" spans="1:14">
      <c r="B16" s="11" t="s">
        <v>356</v>
      </c>
      <c r="C16" s="21">
        <v>12</v>
      </c>
      <c r="D16" s="12" t="s">
        <v>3</v>
      </c>
      <c r="E16" s="21">
        <v>6</v>
      </c>
      <c r="F16" s="12" t="s">
        <v>22</v>
      </c>
      <c r="G16" s="14">
        <f>C16*E16</f>
        <v>72</v>
      </c>
      <c r="H16" s="3" t="s">
        <v>5</v>
      </c>
      <c r="I16" s="14">
        <f>G16/C$18*100</f>
        <v>40</v>
      </c>
      <c r="J16" s="3" t="s">
        <v>6</v>
      </c>
      <c r="N16" s="50"/>
    </row>
    <row r="17" spans="1:14">
      <c r="B17" s="11" t="s">
        <v>357</v>
      </c>
      <c r="C17" s="21">
        <v>0</v>
      </c>
      <c r="D17" s="12" t="s">
        <v>3</v>
      </c>
      <c r="E17" s="21">
        <v>0</v>
      </c>
      <c r="F17" s="12" t="s">
        <v>22</v>
      </c>
      <c r="G17" s="14">
        <f>C17*E17</f>
        <v>0</v>
      </c>
      <c r="H17" s="3" t="s">
        <v>5</v>
      </c>
      <c r="I17" s="14">
        <f>G17/C$18*100</f>
        <v>0</v>
      </c>
      <c r="J17" s="3" t="s">
        <v>6</v>
      </c>
      <c r="N17" s="50"/>
    </row>
    <row r="18" spans="1:14">
      <c r="B18" s="3" t="s">
        <v>96</v>
      </c>
      <c r="C18" s="13">
        <f>SUM(G14:G17)</f>
        <v>180</v>
      </c>
      <c r="D18" s="3" t="s">
        <v>5</v>
      </c>
      <c r="N18" s="50"/>
    </row>
    <row r="19" spans="1:14">
      <c r="B19" s="11" t="s">
        <v>114</v>
      </c>
      <c r="C19" s="21">
        <v>70</v>
      </c>
      <c r="D19" s="12" t="s">
        <v>6</v>
      </c>
      <c r="N19" s="50"/>
    </row>
    <row r="20" spans="1:14">
      <c r="B20" s="3" t="s">
        <v>97</v>
      </c>
      <c r="C20" s="13">
        <f>Po/Eff</f>
        <v>257.14285714285717</v>
      </c>
      <c r="D20" s="3" t="s">
        <v>5</v>
      </c>
      <c r="N20" s="50"/>
    </row>
    <row r="21" spans="1:14">
      <c r="N21" s="50"/>
    </row>
    <row r="22" spans="1:14">
      <c r="A22" s="18" t="s">
        <v>311</v>
      </c>
      <c r="B22" s="18"/>
      <c r="C22" s="18"/>
      <c r="D22" s="18"/>
      <c r="E22" s="18"/>
      <c r="F22" s="18"/>
      <c r="G22" s="18"/>
      <c r="H22" s="18"/>
      <c r="I22" s="18"/>
      <c r="N22" s="50"/>
    </row>
    <row r="23" spans="1:14">
      <c r="B23" s="11" t="s">
        <v>15</v>
      </c>
      <c r="C23" s="21">
        <v>235</v>
      </c>
      <c r="D23" s="12" t="s">
        <v>62</v>
      </c>
      <c r="N23" s="50"/>
    </row>
    <row r="24" spans="1:14">
      <c r="B24" s="3" t="s">
        <v>7</v>
      </c>
      <c r="C24" s="14">
        <f>Pin*0.8/(SQRT(2)*V_line_min*2*fL*Cdc)</f>
        <v>28.656809774530807</v>
      </c>
      <c r="D24" s="3" t="s">
        <v>3</v>
      </c>
      <c r="N24" s="50"/>
    </row>
    <row r="25" spans="1:14">
      <c r="B25" s="3" t="s">
        <v>8</v>
      </c>
      <c r="C25" s="14">
        <f>SQRT(2)*V_line_min-C24</f>
        <v>225.9016314526263</v>
      </c>
      <c r="D25" s="3" t="s">
        <v>3</v>
      </c>
      <c r="N25" s="50"/>
    </row>
    <row r="26" spans="1:14">
      <c r="B26" s="3" t="s">
        <v>312</v>
      </c>
      <c r="C26" s="14">
        <f>SQRT(2)*V_line_max</f>
        <v>374.7665940288702</v>
      </c>
      <c r="D26" s="3" t="s">
        <v>3</v>
      </c>
      <c r="N26" s="50"/>
    </row>
    <row r="27" spans="1:14">
      <c r="N27" s="50"/>
    </row>
    <row r="28" spans="1:14">
      <c r="A28" s="18" t="s">
        <v>314</v>
      </c>
      <c r="B28" s="18"/>
      <c r="C28" s="18"/>
      <c r="D28" s="18"/>
      <c r="E28" s="18"/>
      <c r="F28" s="18"/>
      <c r="G28" s="18"/>
      <c r="H28" s="18"/>
      <c r="I28" s="18"/>
      <c r="N28" s="50"/>
    </row>
    <row r="29" spans="1:14">
      <c r="B29" s="11" t="s">
        <v>358</v>
      </c>
      <c r="C29" s="21">
        <v>0.4</v>
      </c>
      <c r="D29" s="12"/>
      <c r="F29" s="2"/>
      <c r="N29" s="50"/>
    </row>
    <row r="30" spans="1:14">
      <c r="B30" s="11" t="s">
        <v>381</v>
      </c>
      <c r="C30" s="21">
        <v>300</v>
      </c>
      <c r="D30" s="12" t="s">
        <v>3</v>
      </c>
      <c r="E30" t="s">
        <v>316</v>
      </c>
      <c r="F30" s="255">
        <f>Vdc_min*Dmax/(1-Dmax)</f>
        <v>150.60108763508421</v>
      </c>
      <c r="G30" s="254"/>
      <c r="H30" s="3" t="s">
        <v>3</v>
      </c>
      <c r="N30" s="50"/>
    </row>
    <row r="31" spans="1:14">
      <c r="B31" s="3" t="s">
        <v>310</v>
      </c>
      <c r="C31" s="14">
        <f>Vdc_max+Vsn</f>
        <v>674.76659402887026</v>
      </c>
      <c r="D31" s="3" t="s">
        <v>3</v>
      </c>
      <c r="N31" s="50"/>
    </row>
    <row r="32" spans="1:14">
      <c r="B32" s="231"/>
      <c r="C32" s="232"/>
      <c r="D32" s="231"/>
      <c r="N32" s="50"/>
    </row>
    <row r="33" spans="1:14">
      <c r="A33" s="18" t="s">
        <v>317</v>
      </c>
      <c r="B33" s="18"/>
      <c r="C33" s="18"/>
      <c r="D33" s="18"/>
      <c r="E33" s="18"/>
      <c r="F33" s="18"/>
      <c r="G33" s="18"/>
      <c r="H33" s="18"/>
      <c r="I33" s="18"/>
      <c r="N33" s="50"/>
    </row>
    <row r="34" spans="1:14">
      <c r="B34" s="11" t="s">
        <v>346</v>
      </c>
      <c r="C34" s="21">
        <v>0.15</v>
      </c>
      <c r="N34" s="50"/>
    </row>
    <row r="35" spans="1:14">
      <c r="B35" s="3" t="s">
        <v>14</v>
      </c>
      <c r="C35" s="51">
        <f>Pin/(Vdc_min*Dmax)*(1+KRF)</f>
        <v>3.2726001557928077</v>
      </c>
      <c r="D35" s="3" t="s">
        <v>22</v>
      </c>
      <c r="N35" s="50"/>
    </row>
    <row r="36" spans="1:14">
      <c r="B36" s="3" t="s">
        <v>359</v>
      </c>
      <c r="C36" s="51">
        <f>Pin/(Vdc_min*Dmax)*SQRT((3+KRF^2)*Dmax/3)</f>
        <v>1.8065401970944508</v>
      </c>
      <c r="D36" s="3" t="s">
        <v>22</v>
      </c>
      <c r="N36" s="50"/>
    </row>
    <row r="37" spans="1:14">
      <c r="B37" s="11" t="s">
        <v>348</v>
      </c>
      <c r="C37" s="21">
        <v>4</v>
      </c>
      <c r="D37" s="12" t="s">
        <v>22</v>
      </c>
      <c r="N37" s="50"/>
    </row>
    <row r="38" spans="1:14">
      <c r="N38" s="50"/>
    </row>
    <row r="39" spans="1:14">
      <c r="N39" s="50"/>
    </row>
    <row r="40" spans="1:14">
      <c r="N40" s="50"/>
    </row>
    <row r="41" spans="1:14">
      <c r="N41" s="50"/>
    </row>
    <row r="42" spans="1:14">
      <c r="N42" s="50"/>
    </row>
    <row r="43" spans="1:14">
      <c r="N43" s="50"/>
    </row>
    <row r="44" spans="1:14">
      <c r="N44" s="50"/>
    </row>
    <row r="45" spans="1:14">
      <c r="N45" s="50"/>
    </row>
    <row r="46" spans="1:14">
      <c r="N46" s="50"/>
    </row>
    <row r="47" spans="1:14">
      <c r="N47" s="50"/>
    </row>
    <row r="48" spans="1:14">
      <c r="A48" s="18" t="s">
        <v>319</v>
      </c>
      <c r="B48" s="18"/>
      <c r="C48" s="18"/>
      <c r="D48" s="18"/>
      <c r="E48" s="18"/>
      <c r="F48" s="18"/>
      <c r="G48" s="18"/>
      <c r="H48" s="18"/>
      <c r="I48" s="18"/>
      <c r="N48" s="50"/>
    </row>
    <row r="49" spans="1:14">
      <c r="B49" s="11" t="s">
        <v>360</v>
      </c>
      <c r="C49" s="21">
        <v>67</v>
      </c>
      <c r="D49" s="12" t="s">
        <v>361</v>
      </c>
      <c r="E49" s="12"/>
      <c r="F49" s="12"/>
      <c r="G49" s="12"/>
      <c r="N49" s="50"/>
    </row>
    <row r="50" spans="1:14">
      <c r="B50" s="11" t="s">
        <v>307</v>
      </c>
      <c r="C50" s="52">
        <v>0.32</v>
      </c>
      <c r="D50" s="12" t="s">
        <v>36</v>
      </c>
      <c r="K50" s="12"/>
      <c r="N50" s="50"/>
    </row>
    <row r="51" spans="1:14" ht="15.75">
      <c r="B51" s="8" t="s">
        <v>16</v>
      </c>
      <c r="C51" s="14">
        <f>(11.1*Pin/0.141/Bmax/fs)^1.31*10000</f>
        <v>9275.1331046493033</v>
      </c>
      <c r="D51" s="3" t="s">
        <v>17</v>
      </c>
      <c r="N51" s="50"/>
    </row>
    <row r="52" spans="1:14" ht="15.75">
      <c r="B52" s="11" t="s">
        <v>98</v>
      </c>
      <c r="C52" s="21">
        <v>86</v>
      </c>
      <c r="D52" s="12" t="s">
        <v>34</v>
      </c>
      <c r="N52" s="50"/>
    </row>
    <row r="53" spans="1:14">
      <c r="B53" s="8" t="s">
        <v>362</v>
      </c>
      <c r="C53" s="13">
        <f>Vdc_min*Dmax/Ae/fs/Bmax*1000000</f>
        <v>49.006775306453129</v>
      </c>
      <c r="D53" s="3" t="s">
        <v>36</v>
      </c>
      <c r="E53" s="22"/>
      <c r="N53" s="50"/>
    </row>
    <row r="54" spans="1:14">
      <c r="B54" s="3"/>
      <c r="C54" s="232"/>
      <c r="D54" s="3"/>
      <c r="N54" s="50"/>
    </row>
    <row r="55" spans="1:14">
      <c r="A55" s="18" t="s">
        <v>39</v>
      </c>
      <c r="B55" s="18"/>
      <c r="C55" s="18"/>
      <c r="D55" s="18"/>
      <c r="E55" s="18"/>
      <c r="F55" s="18"/>
      <c r="G55" s="18"/>
      <c r="H55" s="18"/>
      <c r="I55" s="18"/>
      <c r="N55" s="50"/>
    </row>
    <row r="56" spans="1:14">
      <c r="N56" s="50"/>
    </row>
    <row r="57" spans="1:14">
      <c r="B57" s="25"/>
      <c r="C57" s="26" t="s">
        <v>40</v>
      </c>
      <c r="D57" s="25"/>
      <c r="E57" s="26" t="s">
        <v>41</v>
      </c>
      <c r="F57" s="25"/>
      <c r="G57" s="25"/>
      <c r="H57" s="26" t="s">
        <v>363</v>
      </c>
      <c r="I57" s="26"/>
      <c r="J57" s="26"/>
      <c r="N57" s="50"/>
    </row>
    <row r="58" spans="1:14">
      <c r="B58" s="8" t="s">
        <v>364</v>
      </c>
      <c r="C58" s="21">
        <v>15</v>
      </c>
      <c r="D58" s="12" t="s">
        <v>3</v>
      </c>
      <c r="E58" s="21">
        <v>1.2</v>
      </c>
      <c r="F58" s="12" t="s">
        <v>3</v>
      </c>
      <c r="G58" s="28">
        <f>Np*(Vcc+VFC)/Vsn</f>
        <v>2.7108195774315154</v>
      </c>
      <c r="H58" s="27" t="s">
        <v>42</v>
      </c>
      <c r="I58" s="16">
        <f>ROUND(G58,0)</f>
        <v>3</v>
      </c>
      <c r="J58" s="3" t="s">
        <v>36</v>
      </c>
      <c r="N58" s="50"/>
    </row>
    <row r="59" spans="1:14">
      <c r="B59" s="8" t="s">
        <v>354</v>
      </c>
      <c r="C59" s="225">
        <f>_Vo1</f>
        <v>5</v>
      </c>
      <c r="D59" s="12" t="s">
        <v>3</v>
      </c>
      <c r="E59" s="21">
        <v>0.4</v>
      </c>
      <c r="F59" s="12" t="s">
        <v>3</v>
      </c>
      <c r="G59" s="24">
        <v>3</v>
      </c>
      <c r="H59" s="27" t="s">
        <v>42</v>
      </c>
      <c r="I59" s="16">
        <f>ROUND(G59,0)</f>
        <v>3</v>
      </c>
      <c r="J59" s="3" t="s">
        <v>36</v>
      </c>
      <c r="N59" s="50"/>
    </row>
    <row r="60" spans="1:14">
      <c r="B60" s="8" t="s">
        <v>355</v>
      </c>
      <c r="C60" s="225">
        <f>_Vo2</f>
        <v>3.3</v>
      </c>
      <c r="D60" s="12" t="s">
        <v>3</v>
      </c>
      <c r="E60" s="21">
        <v>0.4</v>
      </c>
      <c r="F60" s="12" t="s">
        <v>3</v>
      </c>
      <c r="G60" s="28">
        <f>_Ns1*(_Vo2+_VF2)/(_Vo1+_VF1)</f>
        <v>2.0555555555555554</v>
      </c>
      <c r="H60" s="27" t="s">
        <v>42</v>
      </c>
      <c r="I60" s="16">
        <f>ROUND(G60,0)</f>
        <v>2</v>
      </c>
      <c r="J60" s="3" t="s">
        <v>36</v>
      </c>
      <c r="N60" s="50"/>
    </row>
    <row r="61" spans="1:14">
      <c r="B61" s="8" t="s">
        <v>356</v>
      </c>
      <c r="C61" s="225">
        <f>_Vo3</f>
        <v>12</v>
      </c>
      <c r="D61" s="12" t="s">
        <v>3</v>
      </c>
      <c r="E61" s="21">
        <v>1</v>
      </c>
      <c r="F61" s="12" t="s">
        <v>3</v>
      </c>
      <c r="G61" s="28">
        <f>_Ns1*(_Vo3+_VF3)/(_Vo1+_VF1)</f>
        <v>7.2222222222222214</v>
      </c>
      <c r="H61" s="27" t="s">
        <v>42</v>
      </c>
      <c r="I61" s="16">
        <f>ROUND(G61,0)</f>
        <v>7</v>
      </c>
      <c r="J61" s="3" t="s">
        <v>36</v>
      </c>
      <c r="N61" s="50"/>
    </row>
    <row r="62" spans="1:14">
      <c r="B62" s="8" t="s">
        <v>357</v>
      </c>
      <c r="C62" s="225">
        <f>_Vo4</f>
        <v>0</v>
      </c>
      <c r="D62" s="12" t="s">
        <v>3</v>
      </c>
      <c r="E62" s="21">
        <v>0</v>
      </c>
      <c r="F62" s="12" t="s">
        <v>3</v>
      </c>
      <c r="G62" s="28">
        <f>_Ns1*(_Vo4+_VF4)/(_Vo1+_VF1)</f>
        <v>0</v>
      </c>
      <c r="H62" s="27" t="s">
        <v>42</v>
      </c>
      <c r="I62" s="16">
        <f>ROUND(G62,0)</f>
        <v>0</v>
      </c>
      <c r="J62" s="3" t="s">
        <v>36</v>
      </c>
      <c r="N62" s="50"/>
    </row>
    <row r="63" spans="1:14">
      <c r="B63" s="15" t="s">
        <v>365</v>
      </c>
      <c r="E63" s="234" t="s">
        <v>322</v>
      </c>
      <c r="F63" s="234"/>
      <c r="G63" s="234"/>
      <c r="H63" s="234"/>
      <c r="I63" s="14">
        <f>Vdc_min*Dmax*_Ns1/(_Vo1+_VF1)</f>
        <v>50.200362545028064</v>
      </c>
      <c r="J63" s="3" t="s">
        <v>36</v>
      </c>
      <c r="N63" s="50"/>
    </row>
    <row r="64" spans="1:14">
      <c r="E64" s="30" t="str">
        <f>IF(I63&lt;C53,"-&gt;More turns required !!!","-&gt;enough turns")</f>
        <v>-&gt;enough turns</v>
      </c>
      <c r="F64" s="30"/>
      <c r="G64" s="30"/>
      <c r="H64" s="30"/>
    </row>
    <row r="65" spans="1:13" ht="15.75">
      <c r="B65" s="11" t="s">
        <v>366</v>
      </c>
      <c r="C65" s="21">
        <v>2490</v>
      </c>
      <c r="D65" t="s">
        <v>76</v>
      </c>
      <c r="I65" s="30"/>
      <c r="J65" s="30"/>
    </row>
    <row r="66" spans="1:13">
      <c r="B66" s="8" t="s">
        <v>320</v>
      </c>
      <c r="C66" s="7">
        <f>AL*Np^2/1000000</f>
        <v>6.2749902351341182</v>
      </c>
      <c r="D66" s="3" t="s">
        <v>321</v>
      </c>
    </row>
    <row r="68" spans="1:13">
      <c r="A68" s="18" t="s">
        <v>324</v>
      </c>
      <c r="B68" s="18"/>
      <c r="C68" s="18"/>
      <c r="D68" s="18"/>
      <c r="E68" s="18"/>
      <c r="F68" s="18"/>
      <c r="G68" s="18"/>
      <c r="H68" s="18"/>
      <c r="I68" s="18"/>
    </row>
    <row r="69" spans="1:13">
      <c r="B69" s="11"/>
      <c r="C69" s="44"/>
      <c r="D69" s="35"/>
      <c r="E69" s="35"/>
    </row>
    <row r="70" spans="1:13" ht="15.75">
      <c r="B70" s="25"/>
      <c r="C70" s="26" t="s">
        <v>45</v>
      </c>
      <c r="D70" s="26"/>
      <c r="E70" s="33" t="s">
        <v>49</v>
      </c>
      <c r="F70" s="33"/>
      <c r="G70" s="26" t="s">
        <v>61</v>
      </c>
      <c r="H70" s="26"/>
      <c r="I70" s="45" t="s">
        <v>50</v>
      </c>
      <c r="J70" s="32"/>
    </row>
    <row r="71" spans="1:13">
      <c r="B71" s="8" t="s">
        <v>367</v>
      </c>
      <c r="C71" s="29">
        <v>0.68</v>
      </c>
      <c r="D71" s="12" t="s">
        <v>368</v>
      </c>
      <c r="E71" s="29">
        <v>1</v>
      </c>
      <c r="F71" t="s">
        <v>36</v>
      </c>
      <c r="G71" s="31">
        <f>Ids_rms</f>
        <v>1.8065401970944508</v>
      </c>
      <c r="H71" s="3" t="s">
        <v>22</v>
      </c>
      <c r="I71" s="251">
        <f t="shared" ref="I71:I76" si="0">G71/E71/(3.14/4*C71^2)</f>
        <v>4.976914125951696</v>
      </c>
      <c r="J71" s="251"/>
    </row>
    <row r="72" spans="1:13">
      <c r="B72" s="8" t="s">
        <v>81</v>
      </c>
      <c r="C72" s="29">
        <v>0.31</v>
      </c>
      <c r="D72" s="12" t="s">
        <v>368</v>
      </c>
      <c r="E72" s="29">
        <v>1</v>
      </c>
      <c r="F72" t="s">
        <v>36</v>
      </c>
      <c r="G72" s="31">
        <v>0.1</v>
      </c>
      <c r="H72" s="3" t="s">
        <v>22</v>
      </c>
      <c r="I72" s="251">
        <f t="shared" si="0"/>
        <v>1.3255830908620929</v>
      </c>
      <c r="J72" s="251"/>
    </row>
    <row r="73" spans="1:13">
      <c r="B73" s="8" t="s">
        <v>82</v>
      </c>
      <c r="C73" s="29">
        <v>0.68</v>
      </c>
      <c r="D73" s="12" t="s">
        <v>368</v>
      </c>
      <c r="E73" s="29">
        <v>4</v>
      </c>
      <c r="F73" t="s">
        <v>36</v>
      </c>
      <c r="G73" s="53">
        <f>Io_1*SQRT((3+KRF^2)*Dmax/3)</f>
        <v>9.522342148862327</v>
      </c>
      <c r="H73" s="3" t="s">
        <v>22</v>
      </c>
      <c r="I73" s="251">
        <f t="shared" si="0"/>
        <v>6.5583759538039725</v>
      </c>
      <c r="J73" s="251"/>
      <c r="M73" s="50"/>
    </row>
    <row r="74" spans="1:13">
      <c r="B74" s="8" t="s">
        <v>83</v>
      </c>
      <c r="C74" s="29">
        <v>0.68</v>
      </c>
      <c r="D74" s="12" t="s">
        <v>368</v>
      </c>
      <c r="E74" s="29">
        <v>3</v>
      </c>
      <c r="F74" t="s">
        <v>36</v>
      </c>
      <c r="G74" s="53">
        <f>Io_2*SQRT((3+KRF^2)*Dmax/3)</f>
        <v>6.3482280992415516</v>
      </c>
      <c r="H74" s="3" t="s">
        <v>22</v>
      </c>
      <c r="I74" s="251">
        <f t="shared" si="0"/>
        <v>5.8296675144924199</v>
      </c>
      <c r="J74" s="251"/>
      <c r="M74" s="50"/>
    </row>
    <row r="75" spans="1:13">
      <c r="B75" s="8" t="s">
        <v>84</v>
      </c>
      <c r="C75" s="29">
        <v>0.68</v>
      </c>
      <c r="D75" s="12" t="s">
        <v>368</v>
      </c>
      <c r="E75" s="29">
        <v>2</v>
      </c>
      <c r="F75" t="s">
        <v>36</v>
      </c>
      <c r="G75" s="53">
        <f>Io_3*SQRT((3+KRF^2)*Dmax/3)</f>
        <v>3.8089368595449313</v>
      </c>
      <c r="H75" s="3" t="s">
        <v>22</v>
      </c>
      <c r="I75" s="251">
        <f t="shared" si="0"/>
        <v>5.2467007630431786</v>
      </c>
      <c r="J75" s="251"/>
      <c r="M75" s="50"/>
    </row>
    <row r="76" spans="1:13">
      <c r="B76" s="8" t="s">
        <v>85</v>
      </c>
      <c r="C76" s="29">
        <v>0</v>
      </c>
      <c r="D76" s="12" t="s">
        <v>368</v>
      </c>
      <c r="E76" s="29">
        <v>0</v>
      </c>
      <c r="F76" t="s">
        <v>36</v>
      </c>
      <c r="G76" s="53">
        <f>Io_4*SQRT((3+KRF^2)*Dmax/3)</f>
        <v>0</v>
      </c>
      <c r="H76" s="3" t="s">
        <v>22</v>
      </c>
      <c r="I76" s="251" t="e">
        <f t="shared" si="0"/>
        <v>#DIV/0!</v>
      </c>
      <c r="J76" s="251"/>
      <c r="M76" s="50"/>
    </row>
    <row r="77" spans="1:13" ht="15.75">
      <c r="A77" s="36"/>
      <c r="B77" s="37" t="s">
        <v>51</v>
      </c>
      <c r="C77" s="7">
        <f>C71^2/4*3.14*E71*Np + C72^2/4*3.14*E72*Nc +C73^2/4*3.14*E73*_Ns1 +C74^2/4*3.14*E74*_Ns2 +C75^2/4*3.14*E75*_Ns3 +C76^2/4*3.14*E76*_Ns4</f>
        <v>30.063731898044473</v>
      </c>
      <c r="D77" s="3" t="s">
        <v>369</v>
      </c>
      <c r="E77" s="39"/>
      <c r="F77" s="36"/>
      <c r="G77" s="40"/>
      <c r="H77" s="38"/>
      <c r="I77" s="36"/>
      <c r="J77" s="38"/>
      <c r="M77" s="50"/>
    </row>
    <row r="78" spans="1:13">
      <c r="A78" s="43"/>
      <c r="B78" s="11" t="s">
        <v>53</v>
      </c>
      <c r="C78" s="21">
        <v>0.25</v>
      </c>
      <c r="D78" s="12"/>
      <c r="E78" s="41"/>
      <c r="F78" s="42"/>
      <c r="G78" s="42"/>
      <c r="H78" s="42"/>
      <c r="I78" s="42"/>
      <c r="J78" s="36"/>
      <c r="M78" s="50"/>
    </row>
    <row r="79" spans="1:13" ht="15.75">
      <c r="B79" s="37" t="s">
        <v>54</v>
      </c>
      <c r="C79" s="7">
        <f>C77/C78</f>
        <v>120.25492759217789</v>
      </c>
      <c r="D79" s="3" t="s">
        <v>369</v>
      </c>
      <c r="E79" s="43"/>
      <c r="F79" s="43"/>
      <c r="G79" s="43"/>
      <c r="H79" s="43"/>
      <c r="I79" s="43"/>
      <c r="J79" s="36"/>
    </row>
    <row r="81" spans="1:13">
      <c r="K81" s="223"/>
      <c r="L81" s="223"/>
    </row>
    <row r="82" spans="1:13">
      <c r="A82" s="18" t="s">
        <v>327</v>
      </c>
      <c r="B82" s="18"/>
      <c r="C82" s="18"/>
      <c r="D82" s="18"/>
      <c r="E82" s="18"/>
      <c r="F82" s="18"/>
      <c r="G82" s="18"/>
      <c r="H82" s="18"/>
      <c r="I82" s="18"/>
      <c r="K82" s="223"/>
      <c r="L82" s="223"/>
      <c r="M82" s="50"/>
    </row>
    <row r="83" spans="1:13" ht="15.75">
      <c r="B83" s="11" t="s">
        <v>328</v>
      </c>
      <c r="C83" s="21">
        <v>86</v>
      </c>
      <c r="D83" s="12" t="s">
        <v>34</v>
      </c>
      <c r="E83" s="12"/>
      <c r="F83" s="12"/>
      <c r="G83" s="12"/>
      <c r="K83" s="223"/>
      <c r="L83" s="223"/>
    </row>
    <row r="84" spans="1:13">
      <c r="B84" s="11" t="s">
        <v>370</v>
      </c>
      <c r="C84" s="21">
        <v>0.42</v>
      </c>
      <c r="D84" s="12" t="s">
        <v>36</v>
      </c>
    </row>
    <row r="85" spans="1:13">
      <c r="B85" s="8" t="s">
        <v>371</v>
      </c>
      <c r="C85" s="13">
        <f>_Vo1*(_Vo1+_VF1)*(1-Dmax*Vdc_min/Vdc_max)/(2*KRF*Po*fs)*1000000</f>
        <v>5.6633446862150789</v>
      </c>
      <c r="D85" s="3" t="s">
        <v>10</v>
      </c>
    </row>
    <row r="86" spans="1:13">
      <c r="B86" s="8" t="s">
        <v>340</v>
      </c>
      <c r="C86" s="13">
        <f>L_1*Po*(1+KRF)/_Vo1/Bsat/Ael*1000000</f>
        <v>6.4912090257282467</v>
      </c>
      <c r="D86" s="3" t="s">
        <v>36</v>
      </c>
    </row>
    <row r="87" spans="1:13">
      <c r="B87" s="11" t="s">
        <v>372</v>
      </c>
      <c r="C87" s="21">
        <v>6</v>
      </c>
      <c r="D87" s="27" t="s">
        <v>42</v>
      </c>
      <c r="E87" s="16">
        <f>ROUND(C87,0)</f>
        <v>6</v>
      </c>
      <c r="F87" s="3" t="s">
        <v>43</v>
      </c>
    </row>
    <row r="88" spans="1:13">
      <c r="B88" s="8" t="s">
        <v>373</v>
      </c>
      <c r="C88" s="13">
        <f>_Nl1/_Ns1*_Ns2</f>
        <v>4</v>
      </c>
      <c r="D88" s="27" t="s">
        <v>42</v>
      </c>
      <c r="E88" s="16">
        <f>ROUND(C88,0)</f>
        <v>4</v>
      </c>
      <c r="F88" s="3" t="s">
        <v>43</v>
      </c>
    </row>
    <row r="89" spans="1:13">
      <c r="B89" s="8" t="s">
        <v>332</v>
      </c>
      <c r="C89" s="13">
        <f>_Nl1/_Ns1*_Ns3</f>
        <v>14</v>
      </c>
      <c r="D89" s="27" t="s">
        <v>42</v>
      </c>
      <c r="E89" s="16">
        <f>ROUND(C89,0)</f>
        <v>14</v>
      </c>
      <c r="F89" s="3" t="s">
        <v>43</v>
      </c>
    </row>
    <row r="90" spans="1:13">
      <c r="B90" s="8" t="s">
        <v>333</v>
      </c>
      <c r="C90" s="13">
        <f>_Nl1/_Ns1*_Ns4</f>
        <v>0</v>
      </c>
      <c r="D90" s="27" t="s">
        <v>42</v>
      </c>
      <c r="E90" s="16">
        <f>ROUND(C90,0)</f>
        <v>0</v>
      </c>
      <c r="F90" s="3" t="s">
        <v>43</v>
      </c>
    </row>
    <row r="91" spans="1:13">
      <c r="B91" s="8"/>
      <c r="D91" s="3"/>
      <c r="M91" s="50"/>
    </row>
    <row r="92" spans="1:13">
      <c r="A92" s="18" t="s">
        <v>334</v>
      </c>
      <c r="B92" s="18"/>
      <c r="C92" s="18"/>
      <c r="D92" s="18"/>
      <c r="E92" s="18"/>
      <c r="F92" s="18"/>
      <c r="G92" s="18"/>
      <c r="H92" s="18"/>
      <c r="I92" s="18"/>
      <c r="M92" s="50"/>
    </row>
    <row r="93" spans="1:13">
      <c r="B93" s="11"/>
      <c r="C93" s="44"/>
      <c r="D93" s="35"/>
      <c r="E93" s="35"/>
      <c r="M93" s="50"/>
    </row>
    <row r="94" spans="1:13" ht="15.75">
      <c r="B94" s="25"/>
      <c r="C94" s="26" t="s">
        <v>45</v>
      </c>
      <c r="D94" s="26"/>
      <c r="E94" s="33" t="s">
        <v>49</v>
      </c>
      <c r="F94" s="33"/>
      <c r="G94" s="26" t="s">
        <v>61</v>
      </c>
      <c r="H94" s="26"/>
      <c r="I94" s="45" t="s">
        <v>50</v>
      </c>
      <c r="J94" s="32"/>
      <c r="M94" s="50"/>
    </row>
    <row r="95" spans="1:13">
      <c r="B95" s="8" t="s">
        <v>335</v>
      </c>
      <c r="C95" s="29">
        <v>0.68</v>
      </c>
      <c r="D95" s="12" t="s">
        <v>368</v>
      </c>
      <c r="E95" s="29">
        <v>5</v>
      </c>
      <c r="F95" t="s">
        <v>36</v>
      </c>
      <c r="G95" s="53">
        <f>Io_1*SQRT((3+KRF^2)/3)</f>
        <v>15.05614492491355</v>
      </c>
      <c r="H95" s="3" t="s">
        <v>22</v>
      </c>
      <c r="I95" s="233">
        <f>G95/E95/(3.14/4*C95^2)</f>
        <v>8.2957623062799168</v>
      </c>
      <c r="J95" s="233"/>
      <c r="M95" s="50"/>
    </row>
    <row r="96" spans="1:13">
      <c r="B96" s="8" t="s">
        <v>374</v>
      </c>
      <c r="C96" s="29">
        <v>0.68</v>
      </c>
      <c r="D96" s="12" t="s">
        <v>368</v>
      </c>
      <c r="E96" s="29">
        <v>3</v>
      </c>
      <c r="F96" t="s">
        <v>36</v>
      </c>
      <c r="G96" s="53">
        <f>Io_2*SQRT((3+KRF^2)/3)</f>
        <v>10.037429949942368</v>
      </c>
      <c r="H96" s="3" t="s">
        <v>22</v>
      </c>
      <c r="I96" s="233">
        <f>G96/E96/(3.14/4*C96^2)</f>
        <v>9.217513673644353</v>
      </c>
      <c r="J96" s="233"/>
      <c r="M96" s="50"/>
    </row>
    <row r="97" spans="1:13">
      <c r="B97" s="8" t="s">
        <v>375</v>
      </c>
      <c r="C97" s="29">
        <v>0.68</v>
      </c>
      <c r="D97" s="12" t="s">
        <v>368</v>
      </c>
      <c r="E97" s="29">
        <v>2</v>
      </c>
      <c r="F97" t="s">
        <v>36</v>
      </c>
      <c r="G97" s="53">
        <f>Io_3*SQRT((3+KRF^2)/3)</f>
        <v>6.0224579699654202</v>
      </c>
      <c r="H97" s="3" t="s">
        <v>22</v>
      </c>
      <c r="I97" s="233">
        <f>G97/E97/(3.14/4*C97^2)</f>
        <v>8.2957623062799168</v>
      </c>
      <c r="J97" s="233"/>
      <c r="M97" s="50"/>
    </row>
    <row r="98" spans="1:13">
      <c r="B98" s="8" t="s">
        <v>376</v>
      </c>
      <c r="C98" s="29">
        <v>0</v>
      </c>
      <c r="D98" s="12" t="s">
        <v>368</v>
      </c>
      <c r="E98" s="29">
        <v>0</v>
      </c>
      <c r="F98" t="s">
        <v>36</v>
      </c>
      <c r="G98" s="53">
        <f>Io_4*SQRT((3+KRF^2)/3)</f>
        <v>0</v>
      </c>
      <c r="H98" s="3" t="s">
        <v>22</v>
      </c>
      <c r="I98" s="233" t="e">
        <f>G98/E98/(3.14/4*C98^2)</f>
        <v>#DIV/0!</v>
      </c>
      <c r="J98" s="233"/>
      <c r="M98" s="50"/>
    </row>
    <row r="99" spans="1:13" ht="15.75">
      <c r="B99" s="37" t="s">
        <v>51</v>
      </c>
      <c r="C99" s="7">
        <f>C95^2/4*3.14*E95*_Nl1+C96^2/4*3.14*E96*_Nl2+C97^2/4*3.14*E97*_Nl3+C98^2/4*3.14*E98*_Nl4</f>
        <v>25.408880000000003</v>
      </c>
      <c r="D99" s="3" t="s">
        <v>369</v>
      </c>
      <c r="L99" s="50"/>
      <c r="M99" s="50"/>
    </row>
    <row r="100" spans="1:13">
      <c r="B100" s="11" t="s">
        <v>53</v>
      </c>
      <c r="C100" s="21">
        <v>0.25</v>
      </c>
      <c r="D100" s="12"/>
      <c r="L100" s="50"/>
      <c r="M100" s="50"/>
    </row>
    <row r="101" spans="1:13" ht="15.75">
      <c r="B101" s="37" t="s">
        <v>54</v>
      </c>
      <c r="C101" s="7">
        <f>C99/C100</f>
        <v>101.63552000000001</v>
      </c>
      <c r="D101" s="3" t="s">
        <v>369</v>
      </c>
      <c r="L101" s="50"/>
      <c r="M101" s="50"/>
    </row>
    <row r="102" spans="1:13">
      <c r="A102" s="36"/>
      <c r="E102" s="39"/>
      <c r="F102" s="36"/>
      <c r="G102" s="40"/>
      <c r="H102" s="38"/>
      <c r="I102" s="36"/>
      <c r="J102" s="38"/>
      <c r="L102" s="50"/>
      <c r="M102" s="50"/>
    </row>
    <row r="103" spans="1:13">
      <c r="A103" s="18" t="s">
        <v>341</v>
      </c>
      <c r="B103" s="18"/>
      <c r="C103" s="18"/>
      <c r="D103" s="18"/>
      <c r="E103" s="18"/>
      <c r="F103" s="18"/>
      <c r="G103" s="18"/>
      <c r="H103" s="18"/>
      <c r="I103" s="18"/>
      <c r="J103" s="36"/>
      <c r="L103" s="50"/>
      <c r="M103" s="50"/>
    </row>
    <row r="104" spans="1:13">
      <c r="B104" s="11"/>
      <c r="C104" s="44"/>
      <c r="D104" s="35"/>
      <c r="E104" s="35"/>
      <c r="J104" s="36"/>
      <c r="L104" s="50"/>
      <c r="M104" s="50"/>
    </row>
    <row r="105" spans="1:13">
      <c r="B105" s="25"/>
      <c r="C105" s="26" t="s">
        <v>377</v>
      </c>
      <c r="D105" s="26"/>
      <c r="E105" s="26"/>
      <c r="F105" s="47"/>
      <c r="G105" s="48" t="s">
        <v>309</v>
      </c>
      <c r="H105" s="46"/>
      <c r="I105" s="46"/>
      <c r="L105" s="50"/>
      <c r="M105" s="50"/>
    </row>
    <row r="106" spans="1:13">
      <c r="B106" s="8" t="s">
        <v>55</v>
      </c>
      <c r="C106" s="82">
        <f>Vcc*Vdc_max/Vdc_min+Vdc_max*Nc/Np</f>
        <v>47.28096853989598</v>
      </c>
      <c r="D106" s="82"/>
      <c r="E106" s="3" t="s">
        <v>3</v>
      </c>
      <c r="G106" s="31">
        <v>0.1</v>
      </c>
      <c r="H106" s="3" t="s">
        <v>22</v>
      </c>
      <c r="I106" s="224"/>
      <c r="L106" s="50"/>
      <c r="M106" s="50"/>
    </row>
    <row r="107" spans="1:13">
      <c r="B107" s="8" t="s">
        <v>56</v>
      </c>
      <c r="C107" s="82">
        <f>Vdc_max/Np*_Ns1</f>
        <v>22.396248255740204</v>
      </c>
      <c r="D107" s="82"/>
      <c r="E107" s="3" t="s">
        <v>3</v>
      </c>
      <c r="G107" s="53">
        <f>Io_1*SQRT((3+KRF^2)*Dmax/3)</f>
        <v>9.522342148862327</v>
      </c>
      <c r="H107" s="3" t="s">
        <v>22</v>
      </c>
      <c r="I107" s="224"/>
      <c r="L107" s="50"/>
      <c r="M107" s="50"/>
    </row>
    <row r="108" spans="1:13">
      <c r="B108" s="8" t="s">
        <v>57</v>
      </c>
      <c r="C108" s="82">
        <f>Vdc_max/Np*_Ns2</f>
        <v>14.930832170493469</v>
      </c>
      <c r="D108" s="82"/>
      <c r="E108" s="3" t="s">
        <v>3</v>
      </c>
      <c r="G108" s="53">
        <f>Io_2*SQRT((3+KRF^2)*Dmax/3)</f>
        <v>6.3482280992415516</v>
      </c>
      <c r="H108" s="3" t="s">
        <v>22</v>
      </c>
      <c r="I108" s="224"/>
      <c r="L108" s="55"/>
      <c r="M108" s="55"/>
    </row>
    <row r="109" spans="1:13">
      <c r="B109" s="8" t="s">
        <v>58</v>
      </c>
      <c r="C109" s="82">
        <f>Vdc_max/Np*_Ns3</f>
        <v>52.257912596727138</v>
      </c>
      <c r="D109" s="82"/>
      <c r="E109" s="3" t="s">
        <v>3</v>
      </c>
      <c r="G109" s="31">
        <f>Io3rms</f>
        <v>3.8089368595449313</v>
      </c>
      <c r="H109" s="3" t="s">
        <v>22</v>
      </c>
      <c r="M109" s="56"/>
    </row>
    <row r="110" spans="1:13">
      <c r="B110" s="8" t="s">
        <v>59</v>
      </c>
      <c r="C110" s="82">
        <f>Vdc_max/Np*_Ns4</f>
        <v>0</v>
      </c>
      <c r="D110" s="82"/>
      <c r="E110" s="3" t="s">
        <v>3</v>
      </c>
      <c r="G110" s="31">
        <f>Io4rms</f>
        <v>0</v>
      </c>
      <c r="H110" s="3" t="s">
        <v>22</v>
      </c>
      <c r="J110" s="223"/>
      <c r="M110" s="56"/>
    </row>
    <row r="111" spans="1:13">
      <c r="A111" s="22"/>
      <c r="B111" s="36"/>
      <c r="C111" s="43"/>
      <c r="D111" s="43"/>
      <c r="E111" s="43"/>
      <c r="F111" s="235"/>
      <c r="G111" s="236"/>
      <c r="H111" s="43"/>
      <c r="I111" s="43"/>
      <c r="J111" s="237"/>
      <c r="L111" s="56"/>
      <c r="M111" s="56"/>
    </row>
    <row r="112" spans="1:13">
      <c r="A112" s="18" t="s">
        <v>342</v>
      </c>
      <c r="B112" s="18"/>
      <c r="C112" s="18"/>
      <c r="D112" s="18"/>
      <c r="E112" s="18"/>
      <c r="F112" s="18"/>
      <c r="G112" s="18"/>
      <c r="H112" s="18"/>
      <c r="I112" s="18"/>
      <c r="M112" s="54"/>
    </row>
    <row r="113" spans="1:13">
      <c r="B113" s="11"/>
      <c r="C113" s="44"/>
      <c r="D113" s="35"/>
      <c r="E113" s="35"/>
      <c r="L113" s="67"/>
      <c r="M113" s="56"/>
    </row>
    <row r="114" spans="1:13">
      <c r="B114" s="25"/>
      <c r="C114" s="1" t="s">
        <v>308</v>
      </c>
      <c r="D114" s="1"/>
      <c r="E114" s="257" t="s">
        <v>67</v>
      </c>
      <c r="F114" s="257"/>
      <c r="G114" s="227" t="s">
        <v>70</v>
      </c>
      <c r="H114" s="227"/>
      <c r="I114" s="48" t="s">
        <v>72</v>
      </c>
      <c r="J114" s="48"/>
      <c r="L114" s="68"/>
      <c r="M114" s="56"/>
    </row>
    <row r="115" spans="1:13">
      <c r="B115" s="25"/>
      <c r="C115" s="1"/>
      <c r="D115" s="1"/>
      <c r="E115" s="257"/>
      <c r="F115" s="257"/>
      <c r="G115" s="227" t="s">
        <v>69</v>
      </c>
      <c r="H115" s="227"/>
      <c r="I115" s="32" t="s">
        <v>71</v>
      </c>
      <c r="J115" s="32"/>
      <c r="L115" s="67"/>
      <c r="M115" s="56"/>
    </row>
    <row r="116" spans="1:13">
      <c r="B116" s="8" t="s">
        <v>63</v>
      </c>
      <c r="C116" s="29">
        <v>4400</v>
      </c>
      <c r="D116" s="12" t="s">
        <v>62</v>
      </c>
      <c r="E116" s="29">
        <v>20</v>
      </c>
      <c r="F116" s="35" t="s">
        <v>68</v>
      </c>
      <c r="G116" s="53">
        <f>KRF*Io_1/SQRT(3)</f>
        <v>1.299038105676658</v>
      </c>
      <c r="H116" s="34" t="s">
        <v>3</v>
      </c>
      <c r="I116" s="31">
        <f>Io_1*KRF/4/C116/fs*1000000+2*KRF*Io_1*E116/1000</f>
        <v>9.190807327001356E-2</v>
      </c>
      <c r="J116" s="34" t="s">
        <v>3</v>
      </c>
      <c r="L116" s="67"/>
      <c r="M116" s="54"/>
    </row>
    <row r="117" spans="1:13">
      <c r="B117" s="8" t="s">
        <v>64</v>
      </c>
      <c r="C117" s="29">
        <v>4400</v>
      </c>
      <c r="D117" s="12" t="s">
        <v>62</v>
      </c>
      <c r="E117" s="29">
        <v>20</v>
      </c>
      <c r="F117" s="35" t="s">
        <v>68</v>
      </c>
      <c r="G117" s="53">
        <f>KRF*Io_2/SQRT(3)</f>
        <v>0.86602540378443871</v>
      </c>
      <c r="H117" s="34" t="s">
        <v>3</v>
      </c>
      <c r="I117" s="31">
        <f>Io_2*KRF/4/C117/fs*1000000+2*KRF*Io_2*E117/1000</f>
        <v>6.1272048846675711E-2</v>
      </c>
      <c r="J117" s="34" t="s">
        <v>3</v>
      </c>
      <c r="L117" s="67"/>
      <c r="M117" s="56"/>
    </row>
    <row r="118" spans="1:13">
      <c r="B118" s="8" t="s">
        <v>65</v>
      </c>
      <c r="C118" s="29">
        <v>2000</v>
      </c>
      <c r="D118" s="12" t="s">
        <v>62</v>
      </c>
      <c r="E118" s="29">
        <v>60</v>
      </c>
      <c r="F118" s="35" t="s">
        <v>68</v>
      </c>
      <c r="G118" s="53">
        <f>KRF*Io_3/SQRT(3)</f>
        <v>0.51961524227066314</v>
      </c>
      <c r="H118" s="34" t="s">
        <v>3</v>
      </c>
      <c r="I118" s="31">
        <f>Io_3*KRF/4/C118/fs*1000000+2*KRF*Io_3*E118/1000</f>
        <v>0.10967910447761192</v>
      </c>
      <c r="J118" s="34" t="s">
        <v>3</v>
      </c>
      <c r="L118" s="68"/>
      <c r="M118" s="55"/>
    </row>
    <row r="119" spans="1:13">
      <c r="B119" s="8" t="s">
        <v>66</v>
      </c>
      <c r="C119" s="29">
        <v>0</v>
      </c>
      <c r="D119" s="12" t="s">
        <v>62</v>
      </c>
      <c r="E119" s="29">
        <v>0</v>
      </c>
      <c r="F119" s="35" t="s">
        <v>68</v>
      </c>
      <c r="G119" s="53">
        <f>KRF*Io_4/SQRT(3)</f>
        <v>0</v>
      </c>
      <c r="H119" s="34" t="s">
        <v>3</v>
      </c>
      <c r="I119" s="31" t="e">
        <f>Io_1*KRF/4/C119/fs*1000000+2*KRF*Io_1*E119/1000</f>
        <v>#DIV/0!</v>
      </c>
      <c r="J119" s="34" t="s">
        <v>3</v>
      </c>
      <c r="L119" s="67"/>
      <c r="M119" s="55"/>
    </row>
    <row r="120" spans="1:13">
      <c r="L120" s="245"/>
      <c r="M120" s="50"/>
    </row>
    <row r="121" spans="1:13">
      <c r="A121" s="18" t="s">
        <v>343</v>
      </c>
      <c r="B121" s="18"/>
      <c r="C121" s="18"/>
      <c r="D121" s="18"/>
      <c r="E121" s="18"/>
      <c r="F121" s="18"/>
      <c r="G121" s="18"/>
      <c r="H121" s="18"/>
      <c r="I121" s="18"/>
      <c r="L121" s="70"/>
      <c r="M121" s="50"/>
    </row>
    <row r="122" spans="1:13">
      <c r="B122" s="11" t="s">
        <v>382</v>
      </c>
      <c r="C122" s="21">
        <v>230</v>
      </c>
      <c r="D122" s="12" t="s">
        <v>383</v>
      </c>
      <c r="F122" s="22"/>
      <c r="G122" s="58">
        <f>Dmax*Vdc_min</f>
        <v>90.36065258105053</v>
      </c>
      <c r="H122" s="22"/>
      <c r="I122" s="22"/>
      <c r="J122" s="22"/>
      <c r="L122" s="71"/>
      <c r="M122" s="50"/>
    </row>
    <row r="123" spans="1:13">
      <c r="B123" s="11" t="s">
        <v>384</v>
      </c>
      <c r="C123" s="21">
        <v>5</v>
      </c>
      <c r="D123" s="12" t="s">
        <v>28</v>
      </c>
      <c r="F123" s="238"/>
      <c r="G123" s="22"/>
      <c r="H123" s="22"/>
      <c r="I123" s="22"/>
      <c r="J123" s="22"/>
      <c r="L123" s="71"/>
      <c r="M123" s="50"/>
    </row>
    <row r="124" spans="1:13">
      <c r="B124" s="8" t="s">
        <v>387</v>
      </c>
      <c r="C124" s="31">
        <f>Vdc_min/Lm*Dmax/fs*SQRT(Dmax/3)</f>
        <v>7.8480338939092883E-2</v>
      </c>
      <c r="D124" s="3" t="s">
        <v>22</v>
      </c>
      <c r="E124" s="22"/>
      <c r="F124" s="22"/>
      <c r="G124" s="22"/>
      <c r="H124" s="22"/>
      <c r="I124" s="22"/>
      <c r="J124" s="22"/>
      <c r="L124" s="71"/>
      <c r="M124" s="50"/>
    </row>
    <row r="125" spans="1:13" ht="13.5" customHeight="1">
      <c r="B125" s="8" t="s">
        <v>386</v>
      </c>
      <c r="C125" s="31">
        <f>Vdc_max+Vsn</f>
        <v>674.76659402887026</v>
      </c>
      <c r="D125" s="3" t="s">
        <v>3</v>
      </c>
      <c r="E125" s="22"/>
      <c r="L125" s="71"/>
      <c r="M125" s="50"/>
    </row>
    <row r="126" spans="1:13">
      <c r="B126" s="8" t="s">
        <v>385</v>
      </c>
      <c r="C126" s="31">
        <f>0.5*(nvo^2/Lm/fs-2*nvo*Vsn/SQRT(Lm/Coss))</f>
        <v>4.5205955037383738</v>
      </c>
      <c r="D126" s="3" t="s">
        <v>5</v>
      </c>
      <c r="E126" s="22"/>
      <c r="L126" s="71"/>
      <c r="M126" s="50"/>
    </row>
    <row r="127" spans="1:13">
      <c r="B127" s="8" t="s">
        <v>388</v>
      </c>
      <c r="C127" s="31">
        <f>Vsn^2/C126/1000</f>
        <v>19.908881457226855</v>
      </c>
      <c r="D127" s="34" t="s">
        <v>389</v>
      </c>
      <c r="L127" s="71"/>
      <c r="M127" s="50"/>
    </row>
    <row r="128" spans="1:13">
      <c r="B128" s="8" t="s">
        <v>403</v>
      </c>
      <c r="C128" s="31">
        <f>Dmax*100/C123/C127/1000/fs*10^9</f>
        <v>5.9974733051255367</v>
      </c>
      <c r="D128" s="3" t="s">
        <v>92</v>
      </c>
      <c r="L128" s="71"/>
      <c r="M128" s="50"/>
    </row>
    <row r="129" spans="1:13">
      <c r="L129" s="71"/>
      <c r="M129" s="50"/>
    </row>
    <row r="130" spans="1:13">
      <c r="A130" s="18" t="s">
        <v>347</v>
      </c>
      <c r="B130" s="18"/>
      <c r="C130" s="18"/>
      <c r="D130" s="18"/>
      <c r="E130" s="18"/>
      <c r="F130" s="18"/>
      <c r="G130" s="18"/>
      <c r="H130" s="18"/>
      <c r="I130" s="18"/>
      <c r="L130" s="71"/>
      <c r="M130" s="50"/>
    </row>
    <row r="131" spans="1:13">
      <c r="B131" s="72" t="s">
        <v>102</v>
      </c>
      <c r="C131" s="64">
        <f>Ilim/3*(_Vo1^2/Po)*Np/_Ns1</f>
        <v>3.0987878114214849</v>
      </c>
      <c r="D131" s="65"/>
      <c r="G131" s="57"/>
      <c r="H131" s="57"/>
      <c r="I131" s="57"/>
      <c r="L131" s="71"/>
      <c r="M131" s="50"/>
    </row>
    <row r="132" spans="1:13">
      <c r="B132" s="72" t="s">
        <v>103</v>
      </c>
      <c r="C132" s="63">
        <f>1/(2*3.14*Rc_1*Co_1)*10^9</f>
        <v>1809.4962362478286</v>
      </c>
      <c r="D132" s="3" t="s">
        <v>4</v>
      </c>
      <c r="E132" s="3"/>
      <c r="K132" s="15"/>
      <c r="L132" s="71"/>
      <c r="M132" s="50"/>
    </row>
    <row r="133" spans="1:13">
      <c r="B133" s="72" t="s">
        <v>104</v>
      </c>
      <c r="C133" s="63">
        <f>1/(2*3.14*_Vo1^2/Po*Co_1)*10^6</f>
        <v>260.56745801968731</v>
      </c>
      <c r="D133" s="3" t="s">
        <v>4</v>
      </c>
      <c r="K133" s="15"/>
      <c r="L133" s="71"/>
      <c r="M133" s="50"/>
    </row>
    <row r="134" spans="1:13">
      <c r="E134" s="239"/>
      <c r="F134" s="239"/>
      <c r="K134" s="15"/>
      <c r="L134" s="71"/>
      <c r="M134" s="50"/>
    </row>
    <row r="135" spans="1:13">
      <c r="B135" s="11" t="s">
        <v>378</v>
      </c>
      <c r="C135" s="21">
        <v>10</v>
      </c>
      <c r="D135" s="12" t="s">
        <v>73</v>
      </c>
      <c r="K135" s="15"/>
      <c r="L135" s="71"/>
      <c r="M135" s="50"/>
    </row>
    <row r="136" spans="1:13">
      <c r="B136" s="11" t="s">
        <v>90</v>
      </c>
      <c r="C136" s="21">
        <v>10</v>
      </c>
      <c r="D136" s="12" t="s">
        <v>73</v>
      </c>
      <c r="K136" s="58"/>
      <c r="L136" s="71"/>
      <c r="M136" s="50"/>
    </row>
    <row r="137" spans="1:13">
      <c r="B137" s="11" t="s">
        <v>89</v>
      </c>
      <c r="C137" s="21">
        <v>1</v>
      </c>
      <c r="D137" s="12" t="s">
        <v>379</v>
      </c>
      <c r="E137" s="61"/>
      <c r="F137" s="62"/>
      <c r="G137" s="62"/>
      <c r="K137" s="58"/>
      <c r="L137" s="71"/>
      <c r="M137" s="50"/>
    </row>
    <row r="138" spans="1:13">
      <c r="B138" s="11" t="s">
        <v>91</v>
      </c>
      <c r="C138" s="21">
        <v>1.2</v>
      </c>
      <c r="D138" s="12" t="s">
        <v>379</v>
      </c>
      <c r="E138" s="66"/>
      <c r="F138" s="62"/>
      <c r="G138" s="62"/>
      <c r="K138" s="58"/>
      <c r="L138" s="71"/>
      <c r="M138" s="50"/>
    </row>
    <row r="139" spans="1:13">
      <c r="B139" s="20" t="s">
        <v>93</v>
      </c>
      <c r="C139" s="21">
        <v>10</v>
      </c>
      <c r="D139" s="59" t="s">
        <v>92</v>
      </c>
      <c r="K139" s="58"/>
      <c r="L139" s="71"/>
      <c r="M139" s="50"/>
    </row>
    <row r="140" spans="1:13">
      <c r="B140" s="20" t="s">
        <v>94</v>
      </c>
      <c r="C140" s="21">
        <v>100</v>
      </c>
      <c r="D140" s="59" t="s">
        <v>92</v>
      </c>
      <c r="K140" s="58"/>
      <c r="L140" s="71"/>
    </row>
    <row r="141" spans="1:13">
      <c r="B141" s="20" t="s">
        <v>95</v>
      </c>
      <c r="C141" s="21">
        <v>1</v>
      </c>
      <c r="D141" s="59" t="s">
        <v>73</v>
      </c>
      <c r="K141" s="58"/>
      <c r="L141" s="71"/>
    </row>
    <row r="142" spans="1:13">
      <c r="K142" s="58"/>
      <c r="L142" s="15"/>
    </row>
    <row r="143" spans="1:13">
      <c r="B143" s="8" t="s">
        <v>86</v>
      </c>
      <c r="C143" s="60">
        <f>3/(2*3.14*C135*C137*C140)*1000000</f>
        <v>477.70700636942678</v>
      </c>
      <c r="D143" s="3" t="s">
        <v>4</v>
      </c>
      <c r="E143" s="239"/>
      <c r="F143" s="239"/>
      <c r="K143" s="58"/>
      <c r="L143" s="15"/>
    </row>
    <row r="144" spans="1:13">
      <c r="B144" s="8" t="s">
        <v>87</v>
      </c>
      <c r="C144" s="7">
        <f>1/(2*3.14*C140*(C141+C135))*10^6</f>
        <v>144.75969889982628</v>
      </c>
      <c r="D144" s="3" t="s">
        <v>4</v>
      </c>
      <c r="K144" s="58"/>
      <c r="L144" s="239"/>
    </row>
    <row r="145" spans="1:13">
      <c r="B145" s="8" t="s">
        <v>88</v>
      </c>
      <c r="C145" s="7">
        <f>1/(2*3.14*3*C139)*1000000</f>
        <v>5307.8556263269638</v>
      </c>
      <c r="D145" s="3" t="s">
        <v>4</v>
      </c>
      <c r="K145" s="58"/>
      <c r="L145" s="239"/>
    </row>
    <row r="146" spans="1:13">
      <c r="A146" s="239"/>
      <c r="B146" s="239"/>
      <c r="C146" s="239"/>
      <c r="D146" s="239"/>
      <c r="E146" s="240"/>
      <c r="F146" s="239"/>
      <c r="G146" s="239"/>
      <c r="H146" s="239"/>
      <c r="I146" s="239"/>
      <c r="J146" s="239"/>
      <c r="K146" s="240"/>
      <c r="L146" s="239"/>
    </row>
    <row r="147" spans="1:13">
      <c r="A147" s="239"/>
      <c r="B147" s="240"/>
      <c r="C147" s="240"/>
      <c r="D147" s="240"/>
      <c r="E147" s="240"/>
      <c r="F147" s="240"/>
      <c r="G147" s="240"/>
      <c r="H147" s="240"/>
      <c r="I147" s="240"/>
      <c r="J147" s="240"/>
      <c r="K147" s="240"/>
      <c r="L147" s="239"/>
    </row>
    <row r="148" spans="1:13">
      <c r="A148" s="239"/>
      <c r="B148" s="58">
        <v>16</v>
      </c>
      <c r="C148" s="58">
        <f t="shared" ref="C148:C167" si="1">20*LOG(K_1*SQRT(1+B148^2/fz_1^2)/SQRT(1+B148^2/fp_1^2))</f>
        <v>9.8078320173988534</v>
      </c>
      <c r="D148" s="58">
        <f t="shared" ref="D148:D167" si="2">20*LOG(fi/B148*SQRT(1+B148^2/fz^2)/SQRT(1+B148^2/fp^2))</f>
        <v>29.55352696546921</v>
      </c>
      <c r="E148" s="58">
        <f t="shared" ref="E148:E167" si="3">SUM(C148:D148)</f>
        <v>39.361358982868062</v>
      </c>
      <c r="F148" s="58"/>
      <c r="G148" s="58">
        <v>16</v>
      </c>
      <c r="H148" s="58">
        <f t="shared" ref="H148:H167" si="4">180/3.14*(ATAN(G148/fz_1)-ATAN(G148/fp_1))</f>
        <v>-3.0087191311075259</v>
      </c>
      <c r="I148" s="58">
        <f t="shared" ref="I148:I167" si="5">180/3.14*(ATAN(G148/fz)-ATAN(G148/fp))-90</f>
        <v>-83.862413111383404</v>
      </c>
      <c r="J148" s="58">
        <f t="shared" ref="J148:J167" si="6">SUM(H148:I148)</f>
        <v>-86.87113224249093</v>
      </c>
      <c r="K148" s="58"/>
      <c r="L148" s="239"/>
    </row>
    <row r="149" spans="1:13">
      <c r="A149" s="239"/>
      <c r="B149" s="58">
        <v>25</v>
      </c>
      <c r="C149" s="58">
        <f t="shared" si="1"/>
        <v>9.7848703087852567</v>
      </c>
      <c r="D149" s="58">
        <f t="shared" si="2"/>
        <v>25.751971231320159</v>
      </c>
      <c r="E149" s="58">
        <f t="shared" si="3"/>
        <v>35.536841540105414</v>
      </c>
      <c r="F149" s="58"/>
      <c r="G149" s="58">
        <v>25</v>
      </c>
      <c r="H149" s="58">
        <f t="shared" si="4"/>
        <v>-4.6912665404406715</v>
      </c>
      <c r="I149" s="58">
        <f t="shared" si="5"/>
        <v>-80.466696828311171</v>
      </c>
      <c r="J149" s="58">
        <f t="shared" si="6"/>
        <v>-85.157963368751837</v>
      </c>
      <c r="K149" s="58"/>
      <c r="L149" s="239"/>
    </row>
    <row r="150" spans="1:13">
      <c r="A150" s="239"/>
      <c r="B150" s="58">
        <v>40</v>
      </c>
      <c r="C150" s="58">
        <f t="shared" si="1"/>
        <v>9.7248013991578439</v>
      </c>
      <c r="D150" s="58">
        <f t="shared" si="2"/>
        <v>21.861331975396308</v>
      </c>
      <c r="E150" s="58">
        <f t="shared" si="3"/>
        <v>31.586133374554151</v>
      </c>
      <c r="F150" s="58"/>
      <c r="G150" s="58">
        <v>40</v>
      </c>
      <c r="H150" s="58">
        <f t="shared" si="4"/>
        <v>-7.4648416515831393</v>
      </c>
      <c r="I150" s="58">
        <f t="shared" si="5"/>
        <v>-74.977616612512861</v>
      </c>
      <c r="J150" s="58">
        <f t="shared" si="6"/>
        <v>-82.442458264096004</v>
      </c>
      <c r="K150" s="58"/>
      <c r="L150" s="239"/>
    </row>
    <row r="151" spans="1:13">
      <c r="A151" s="239"/>
      <c r="B151" s="58">
        <v>63</v>
      </c>
      <c r="C151" s="58">
        <f t="shared" si="1"/>
        <v>9.5823634809379783</v>
      </c>
      <c r="D151" s="58">
        <f t="shared" si="2"/>
        <v>18.349097997673677</v>
      </c>
      <c r="E151" s="58">
        <f t="shared" si="3"/>
        <v>27.931461478611656</v>
      </c>
      <c r="F151" s="58"/>
      <c r="G151" s="58">
        <v>63</v>
      </c>
      <c r="H151" s="58">
        <f t="shared" si="4"/>
        <v>-11.603986231872332</v>
      </c>
      <c r="I151" s="58">
        <f t="shared" si="5"/>
        <v>-67.149570914944405</v>
      </c>
      <c r="J151" s="58">
        <f t="shared" si="6"/>
        <v>-78.753557146816732</v>
      </c>
      <c r="K151" s="58"/>
      <c r="L151" s="239"/>
    </row>
    <row r="152" spans="1:13">
      <c r="A152" s="239"/>
      <c r="B152" s="58">
        <v>100</v>
      </c>
      <c r="C152" s="58">
        <f t="shared" si="1"/>
        <v>9.240365794059116</v>
      </c>
      <c r="D152" s="58">
        <f t="shared" si="2"/>
        <v>15.27609761530117</v>
      </c>
      <c r="E152" s="58">
        <f t="shared" si="3"/>
        <v>24.516463409360284</v>
      </c>
      <c r="F152" s="58"/>
      <c r="G152" s="58">
        <v>100</v>
      </c>
      <c r="H152" s="58">
        <f t="shared" si="4"/>
        <v>-17.841560973496492</v>
      </c>
      <c r="I152" s="58">
        <f t="shared" si="5"/>
        <v>-56.425587541504676</v>
      </c>
      <c r="J152" s="58">
        <f t="shared" si="6"/>
        <v>-74.267148515001168</v>
      </c>
      <c r="K152" s="58"/>
      <c r="L152" s="239"/>
    </row>
    <row r="153" spans="1:13">
      <c r="A153" s="239"/>
      <c r="B153" s="58">
        <v>160</v>
      </c>
      <c r="C153" s="58">
        <f t="shared" si="1"/>
        <v>8.4681612092360545</v>
      </c>
      <c r="D153" s="58">
        <f t="shared" si="2"/>
        <v>12.963632538171012</v>
      </c>
      <c r="E153" s="58">
        <f t="shared" si="3"/>
        <v>21.431793747407067</v>
      </c>
      <c r="F153" s="58"/>
      <c r="G153" s="58">
        <v>160</v>
      </c>
      <c r="H153" s="58">
        <f t="shared" si="4"/>
        <v>-26.512126325254531</v>
      </c>
      <c r="I153" s="58">
        <f t="shared" si="5"/>
        <v>-43.84036058492925</v>
      </c>
      <c r="J153" s="58">
        <f t="shared" si="6"/>
        <v>-70.352486910183785</v>
      </c>
      <c r="K153" s="58"/>
      <c r="L153" s="239"/>
    </row>
    <row r="154" spans="1:13">
      <c r="A154" s="239"/>
      <c r="B154" s="58">
        <v>250</v>
      </c>
      <c r="C154" s="58">
        <f t="shared" si="1"/>
        <v>7.0717352583683439</v>
      </c>
      <c r="D154" s="58">
        <f t="shared" si="2"/>
        <v>11.616397754099022</v>
      </c>
      <c r="E154" s="58">
        <f t="shared" si="3"/>
        <v>18.688133012467368</v>
      </c>
      <c r="F154" s="58"/>
      <c r="G154" s="58">
        <v>250</v>
      </c>
      <c r="H154" s="58">
        <f t="shared" si="4"/>
        <v>-35.966337902143103</v>
      </c>
      <c r="I154" s="58">
        <f t="shared" si="5"/>
        <v>-32.740116015182714</v>
      </c>
      <c r="J154" s="58">
        <f t="shared" si="6"/>
        <v>-68.706453917325817</v>
      </c>
      <c r="K154" s="58"/>
      <c r="L154" s="239"/>
    </row>
    <row r="155" spans="1:13">
      <c r="A155" s="239"/>
      <c r="B155" s="58">
        <v>400</v>
      </c>
      <c r="C155" s="58">
        <f t="shared" si="1"/>
        <v>4.7720837722968605</v>
      </c>
      <c r="D155" s="58">
        <f t="shared" si="2"/>
        <v>10.880199362973002</v>
      </c>
      <c r="E155" s="58">
        <f t="shared" si="3"/>
        <v>15.652283135269862</v>
      </c>
      <c r="F155" s="58"/>
      <c r="G155" s="58">
        <v>400</v>
      </c>
      <c r="H155" s="58">
        <f t="shared" si="4"/>
        <v>-44.476459793551335</v>
      </c>
      <c r="I155" s="58">
        <f t="shared" si="5"/>
        <v>-24.171443569219875</v>
      </c>
      <c r="J155" s="58">
        <f t="shared" si="6"/>
        <v>-68.647903362771217</v>
      </c>
      <c r="K155" s="58"/>
      <c r="L155" s="239"/>
    </row>
    <row r="156" spans="1:13">
      <c r="A156" s="239"/>
      <c r="B156" s="58">
        <v>630</v>
      </c>
      <c r="C156" s="58">
        <f t="shared" si="1"/>
        <v>1.9665212084189765</v>
      </c>
      <c r="D156" s="58">
        <f t="shared" si="2"/>
        <v>10.532972150465374</v>
      </c>
      <c r="E156" s="58">
        <f t="shared" si="3"/>
        <v>12.499493358884351</v>
      </c>
      <c r="F156" s="58"/>
      <c r="G156" s="58">
        <v>630</v>
      </c>
      <c r="H156" s="58">
        <f t="shared" si="4"/>
        <v>-48.358333710561233</v>
      </c>
      <c r="I156" s="58">
        <f t="shared" si="5"/>
        <v>-19.673875874863498</v>
      </c>
      <c r="J156" s="58">
        <f t="shared" si="6"/>
        <v>-68.032209585424738</v>
      </c>
      <c r="K156" s="58"/>
      <c r="L156" s="239"/>
    </row>
    <row r="157" spans="1:13">
      <c r="A157" s="239"/>
      <c r="B157" s="58">
        <v>1000</v>
      </c>
      <c r="C157" s="58">
        <f t="shared" si="1"/>
        <v>-0.98557427460972524</v>
      </c>
      <c r="D157" s="58">
        <f t="shared" si="2"/>
        <v>10.308868160508757</v>
      </c>
      <c r="E157" s="58">
        <f t="shared" si="3"/>
        <v>9.323293885899032</v>
      </c>
      <c r="F157" s="58"/>
      <c r="G157" s="58">
        <v>1000</v>
      </c>
      <c r="H157" s="58">
        <f t="shared" si="4"/>
        <v>-46.492107842573816</v>
      </c>
      <c r="I157" s="58">
        <f t="shared" si="5"/>
        <v>-18.870304362818032</v>
      </c>
      <c r="J157" s="58">
        <f t="shared" si="6"/>
        <v>-65.362412205391848</v>
      </c>
      <c r="K157" s="58"/>
      <c r="L157" s="239"/>
      <c r="M157" s="73"/>
    </row>
    <row r="158" spans="1:13">
      <c r="A158" s="239"/>
      <c r="B158" s="58">
        <v>1600</v>
      </c>
      <c r="C158" s="58">
        <f t="shared" si="1"/>
        <v>-3.5451239528824781</v>
      </c>
      <c r="D158" s="58">
        <f t="shared" si="2"/>
        <v>10.027969740638946</v>
      </c>
      <c r="E158" s="58">
        <f t="shared" si="3"/>
        <v>6.4828457877564682</v>
      </c>
      <c r="F158" s="58"/>
      <c r="G158" s="58">
        <v>1600</v>
      </c>
      <c r="H158" s="58">
        <f t="shared" si="4"/>
        <v>-39.286347809738935</v>
      </c>
      <c r="I158" s="58">
        <f t="shared" si="5"/>
        <v>-21.910138588504751</v>
      </c>
      <c r="J158" s="58">
        <f t="shared" si="6"/>
        <v>-61.196486398243685</v>
      </c>
      <c r="K158" s="57"/>
      <c r="L158" s="239"/>
      <c r="M158" s="73"/>
    </row>
    <row r="159" spans="1:13">
      <c r="A159" s="239"/>
      <c r="B159" s="58">
        <v>2500</v>
      </c>
      <c r="C159" s="58">
        <f t="shared" si="1"/>
        <v>-5.2263176823080926</v>
      </c>
      <c r="D159" s="58">
        <f t="shared" si="2"/>
        <v>9.5146687818885454</v>
      </c>
      <c r="E159" s="58">
        <f t="shared" si="3"/>
        <v>4.2883510995804528</v>
      </c>
      <c r="F159" s="58"/>
      <c r="G159" s="58">
        <v>2500</v>
      </c>
      <c r="H159" s="58">
        <f t="shared" si="4"/>
        <v>-29.961870399881647</v>
      </c>
      <c r="I159" s="58">
        <f t="shared" si="5"/>
        <v>-28.503206824315235</v>
      </c>
      <c r="J159" s="58">
        <f t="shared" si="6"/>
        <v>-58.465077224196882</v>
      </c>
      <c r="K159" s="57"/>
      <c r="L159" s="241"/>
      <c r="M159" s="73"/>
    </row>
    <row r="160" spans="1:13">
      <c r="A160" s="239"/>
      <c r="B160" s="58">
        <v>4000</v>
      </c>
      <c r="C160" s="58">
        <f t="shared" si="1"/>
        <v>-6.218722457475053</v>
      </c>
      <c r="D160" s="58">
        <f t="shared" si="2"/>
        <v>8.42274357803824</v>
      </c>
      <c r="E160" s="58">
        <f t="shared" si="3"/>
        <v>2.204021120563187</v>
      </c>
      <c r="F160" s="58"/>
      <c r="G160" s="58">
        <v>4000</v>
      </c>
      <c r="H160" s="58">
        <f t="shared" si="4"/>
        <v>-20.624129690122004</v>
      </c>
      <c r="I160" s="58">
        <f t="shared" si="5"/>
        <v>-39.048474335395056</v>
      </c>
      <c r="J160" s="58">
        <f t="shared" si="6"/>
        <v>-59.67260402551706</v>
      </c>
      <c r="K160" s="57"/>
      <c r="L160" s="241"/>
      <c r="M160" s="73"/>
    </row>
    <row r="161" spans="1:13">
      <c r="A161" s="239"/>
      <c r="B161" s="58">
        <v>6300</v>
      </c>
      <c r="C161" s="58">
        <f t="shared" si="1"/>
        <v>-6.6720722029056345</v>
      </c>
      <c r="D161" s="58">
        <f t="shared" si="2"/>
        <v>6.5546014446961536</v>
      </c>
      <c r="E161" s="58">
        <f t="shared" si="3"/>
        <v>-0.11747075820948094</v>
      </c>
      <c r="F161" s="58"/>
      <c r="G161" s="58">
        <v>6300</v>
      </c>
      <c r="H161" s="58">
        <f t="shared" si="4"/>
        <v>-13.663738488035646</v>
      </c>
      <c r="I161" s="58">
        <f t="shared" si="5"/>
        <v>-51.181916592894368</v>
      </c>
      <c r="J161" s="58">
        <f t="shared" si="6"/>
        <v>-64.845655080930015</v>
      </c>
      <c r="K161" s="57"/>
      <c r="L161" s="241"/>
      <c r="M161" s="73"/>
    </row>
    <row r="162" spans="1:13">
      <c r="A162" s="239"/>
      <c r="B162" s="58">
        <v>10000</v>
      </c>
      <c r="C162" s="58">
        <f t="shared" si="1"/>
        <v>-6.8719394188747707</v>
      </c>
      <c r="D162" s="58">
        <f t="shared" si="2"/>
        <v>3.7915940912533843</v>
      </c>
      <c r="E162" s="58">
        <f t="shared" si="3"/>
        <v>-3.0803453276213864</v>
      </c>
      <c r="F162" s="58"/>
      <c r="G162" s="58">
        <v>10000</v>
      </c>
      <c r="H162" s="58">
        <f t="shared" si="4"/>
        <v>-8.7685083070406638</v>
      </c>
      <c r="I162" s="58">
        <f t="shared" si="5"/>
        <v>-62.856876446243845</v>
      </c>
      <c r="J162" s="58">
        <f t="shared" si="6"/>
        <v>-71.625384753284507</v>
      </c>
      <c r="K162" s="57"/>
      <c r="L162" s="241"/>
      <c r="M162" s="73"/>
    </row>
    <row r="163" spans="1:13">
      <c r="A163" s="239"/>
      <c r="B163" s="58">
        <v>16000</v>
      </c>
      <c r="C163" s="58">
        <f t="shared" si="1"/>
        <v>-6.9548703846825592</v>
      </c>
      <c r="D163" s="58">
        <f t="shared" si="2"/>
        <v>0.33318312872908978</v>
      </c>
      <c r="E163" s="58">
        <f t="shared" si="3"/>
        <v>-6.6216872559534696</v>
      </c>
      <c r="F163" s="58"/>
      <c r="G163" s="58">
        <v>16000</v>
      </c>
      <c r="H163" s="58">
        <f t="shared" si="4"/>
        <v>-5.5221588952293645</v>
      </c>
      <c r="I163" s="58">
        <f t="shared" si="5"/>
        <v>-72.156524612453978</v>
      </c>
      <c r="J163" s="58">
        <f t="shared" si="6"/>
        <v>-77.678683507683346</v>
      </c>
      <c r="K163" s="57"/>
      <c r="L163" s="241"/>
      <c r="M163" s="73"/>
    </row>
    <row r="164" spans="1:13">
      <c r="A164" s="239"/>
      <c r="B164" s="58">
        <v>25000</v>
      </c>
      <c r="C164" s="58">
        <f t="shared" si="1"/>
        <v>-6.9866925220062921</v>
      </c>
      <c r="D164" s="58">
        <f t="shared" si="2"/>
        <v>-3.281478005794721</v>
      </c>
      <c r="E164" s="58">
        <f t="shared" si="3"/>
        <v>-10.268170527801013</v>
      </c>
      <c r="F164" s="58"/>
      <c r="G164" s="58">
        <v>25000</v>
      </c>
      <c r="H164" s="58">
        <f t="shared" si="4"/>
        <v>-3.5444825422380171</v>
      </c>
      <c r="I164" s="58">
        <f t="shared" si="5"/>
        <v>-78.339134837183835</v>
      </c>
      <c r="J164" s="58">
        <f t="shared" si="6"/>
        <v>-81.88361737942185</v>
      </c>
      <c r="K164" s="57"/>
      <c r="L164" s="241"/>
      <c r="M164" s="73"/>
    </row>
    <row r="165" spans="1:13">
      <c r="A165" s="239"/>
      <c r="B165" s="58">
        <v>40000</v>
      </c>
      <c r="C165" s="58">
        <f t="shared" si="1"/>
        <v>-7.0002192437000952</v>
      </c>
      <c r="D165" s="58">
        <f t="shared" si="2"/>
        <v>-7.2482886613658266</v>
      </c>
      <c r="E165" s="58">
        <f t="shared" si="3"/>
        <v>-14.248507905065921</v>
      </c>
      <c r="F165" s="58"/>
      <c r="G165" s="58">
        <v>40000</v>
      </c>
      <c r="H165" s="58">
        <f t="shared" si="4"/>
        <v>-2.2180408935012217</v>
      </c>
      <c r="I165" s="58">
        <f t="shared" si="5"/>
        <v>-82.64483963069317</v>
      </c>
      <c r="J165" s="58">
        <f t="shared" si="6"/>
        <v>-84.862880524194395</v>
      </c>
      <c r="K165" s="80"/>
      <c r="L165" s="241"/>
      <c r="M165" s="73"/>
    </row>
    <row r="166" spans="1:13">
      <c r="A166" s="239"/>
      <c r="B166" s="58">
        <v>63000</v>
      </c>
      <c r="C166" s="58">
        <f t="shared" si="1"/>
        <v>-7.0054063781802984</v>
      </c>
      <c r="D166" s="58">
        <f t="shared" si="2"/>
        <v>-11.148846053820012</v>
      </c>
      <c r="E166" s="58">
        <f t="shared" si="3"/>
        <v>-18.154252432000312</v>
      </c>
      <c r="F166" s="58"/>
      <c r="G166" s="58">
        <v>63000</v>
      </c>
      <c r="H166" s="58">
        <f t="shared" si="4"/>
        <v>-1.4089471530833404</v>
      </c>
      <c r="I166" s="58">
        <f t="shared" si="5"/>
        <v>-85.313384527298425</v>
      </c>
      <c r="J166" s="58">
        <f t="shared" si="6"/>
        <v>-86.722331680381771</v>
      </c>
      <c r="K166" s="80"/>
      <c r="L166" s="241"/>
      <c r="M166" s="73"/>
    </row>
    <row r="167" spans="1:13">
      <c r="A167" s="239"/>
      <c r="B167" s="58">
        <v>100000</v>
      </c>
      <c r="C167" s="58">
        <f t="shared" si="1"/>
        <v>-7.0075210956457745</v>
      </c>
      <c r="D167" s="58">
        <f t="shared" si="2"/>
        <v>-15.143548389662417</v>
      </c>
      <c r="E167" s="58">
        <f t="shared" si="3"/>
        <v>-22.151069485308192</v>
      </c>
      <c r="F167" s="58"/>
      <c r="G167" s="58">
        <v>100000</v>
      </c>
      <c r="H167" s="58">
        <f t="shared" si="4"/>
        <v>-0.88780810338648886</v>
      </c>
      <c r="I167" s="58">
        <f t="shared" si="5"/>
        <v>-87.043116054348545</v>
      </c>
      <c r="J167" s="58">
        <f t="shared" si="6"/>
        <v>-87.930924157735035</v>
      </c>
      <c r="K167" s="80"/>
      <c r="L167" s="241"/>
      <c r="M167" s="73"/>
    </row>
    <row r="168" spans="1:13">
      <c r="A168" s="239"/>
      <c r="B168" s="58"/>
      <c r="C168" s="58"/>
      <c r="D168" s="58"/>
      <c r="E168" s="58"/>
      <c r="F168" s="58"/>
      <c r="G168" s="58"/>
      <c r="H168" s="58"/>
      <c r="I168" s="58"/>
      <c r="J168" s="58"/>
      <c r="K168" s="80"/>
      <c r="L168" s="241"/>
      <c r="M168" s="73"/>
    </row>
    <row r="169" spans="1:13">
      <c r="A169" s="239"/>
      <c r="B169" s="239"/>
      <c r="C169" s="239"/>
      <c r="D169" s="239"/>
      <c r="E169" s="239"/>
      <c r="F169" s="239"/>
      <c r="G169" s="239"/>
      <c r="H169" s="239"/>
      <c r="I169" s="239"/>
      <c r="J169" s="239"/>
      <c r="K169" s="241"/>
      <c r="L169" s="73"/>
      <c r="M169" s="73"/>
    </row>
    <row r="170" spans="1:13">
      <c r="A170" s="239"/>
      <c r="B170" s="239"/>
      <c r="C170" s="239"/>
      <c r="D170" s="239"/>
      <c r="E170" s="239"/>
      <c r="F170" s="239"/>
      <c r="G170" s="239"/>
      <c r="H170" s="239"/>
      <c r="I170" s="239"/>
      <c r="J170" s="239"/>
      <c r="K170" s="241"/>
      <c r="L170" s="73"/>
      <c r="M170" s="73"/>
    </row>
    <row r="171" spans="1:13">
      <c r="K171" s="73"/>
      <c r="L171" s="73"/>
      <c r="M171" s="73"/>
    </row>
    <row r="172" spans="1:13">
      <c r="G172" s="15"/>
      <c r="H172" s="15"/>
      <c r="I172" s="15"/>
      <c r="J172" s="15"/>
      <c r="K172" s="73"/>
      <c r="L172" s="73"/>
      <c r="M172" s="73"/>
    </row>
    <row r="173" spans="1:13">
      <c r="A173" s="22"/>
      <c r="F173" s="22"/>
      <c r="G173" s="22"/>
      <c r="H173" s="22"/>
      <c r="I173" s="22"/>
      <c r="J173" s="22"/>
      <c r="K173" s="73"/>
      <c r="L173" s="73"/>
      <c r="M173" s="73"/>
    </row>
    <row r="174" spans="1:13">
      <c r="A174" s="43"/>
      <c r="F174" s="43"/>
      <c r="G174" s="43"/>
      <c r="H174" s="43"/>
      <c r="I174" s="43"/>
      <c r="J174" s="58"/>
      <c r="K174" s="73"/>
      <c r="L174" s="73"/>
      <c r="M174" s="73"/>
    </row>
    <row r="175" spans="1:13">
      <c r="L175" s="73"/>
      <c r="M175" s="73"/>
    </row>
    <row r="176" spans="1:13">
      <c r="L176" s="73"/>
      <c r="M176" s="73"/>
    </row>
    <row r="177" spans="1:13">
      <c r="L177" s="73"/>
      <c r="M177" s="73"/>
    </row>
    <row r="178" spans="1:13">
      <c r="L178" s="73"/>
      <c r="M178" s="73"/>
    </row>
    <row r="179" spans="1:13">
      <c r="L179" s="73"/>
      <c r="M179" s="73"/>
    </row>
    <row r="180" spans="1:13">
      <c r="L180" s="73"/>
      <c r="M180" s="73"/>
    </row>
    <row r="181" spans="1:13">
      <c r="L181" s="73"/>
      <c r="M181" s="73"/>
    </row>
    <row r="182" spans="1:13">
      <c r="L182" s="73"/>
      <c r="M182" s="73"/>
    </row>
    <row r="183" spans="1:13">
      <c r="L183" s="73"/>
      <c r="M183" s="73"/>
    </row>
    <row r="184" spans="1:13">
      <c r="L184" s="73"/>
      <c r="M184" s="73"/>
    </row>
    <row r="185" spans="1:13">
      <c r="A185" s="22"/>
      <c r="F185" s="22"/>
      <c r="G185" s="22"/>
      <c r="H185" s="22"/>
      <c r="I185" s="22"/>
      <c r="J185" s="22"/>
      <c r="K185" s="73"/>
      <c r="L185" s="73"/>
      <c r="M185" s="73"/>
    </row>
    <row r="186" spans="1:1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spans="1:1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spans="1:13">
      <c r="A189" s="74"/>
      <c r="B189" s="74"/>
      <c r="C189" s="74"/>
      <c r="D189" s="74"/>
      <c r="E189" s="74"/>
      <c r="F189" s="74"/>
      <c r="G189" s="74"/>
      <c r="H189" s="74"/>
      <c r="I189" s="74"/>
      <c r="J189" s="73"/>
      <c r="K189" s="73"/>
      <c r="L189" s="73"/>
      <c r="M189" s="73"/>
    </row>
    <row r="190" spans="1:13">
      <c r="A190" s="74"/>
      <c r="B190" s="76"/>
      <c r="C190" s="76"/>
      <c r="D190" s="77"/>
      <c r="E190" s="74"/>
      <c r="F190" s="74"/>
      <c r="G190" s="74"/>
      <c r="H190" s="74"/>
      <c r="I190" s="74"/>
      <c r="J190" s="73"/>
      <c r="K190" s="73"/>
      <c r="L190" s="73"/>
      <c r="M190" s="73"/>
    </row>
    <row r="191" spans="1:13">
      <c r="A191" s="74"/>
      <c r="B191" s="74"/>
      <c r="C191" s="74"/>
      <c r="D191" s="74"/>
      <c r="E191" s="74"/>
      <c r="F191" s="74"/>
      <c r="G191" s="74"/>
      <c r="H191" s="74"/>
      <c r="I191" s="74"/>
      <c r="J191" s="73"/>
      <c r="K191" s="73"/>
      <c r="L191" s="73"/>
      <c r="M191" s="73"/>
    </row>
    <row r="192" spans="1:13">
      <c r="A192" s="74"/>
      <c r="B192" s="75"/>
      <c r="C192" s="75"/>
      <c r="D192" s="75"/>
      <c r="E192" s="75"/>
      <c r="F192" s="75"/>
      <c r="G192" s="75"/>
      <c r="H192" s="75"/>
      <c r="I192" s="75"/>
      <c r="J192" s="78"/>
      <c r="K192" s="73"/>
      <c r="L192" s="73"/>
      <c r="M192" s="73"/>
    </row>
    <row r="193" spans="1:13">
      <c r="A193" s="79"/>
      <c r="B193" s="79"/>
      <c r="C193" s="79"/>
      <c r="D193" s="79"/>
      <c r="E193" s="79"/>
      <c r="F193" s="79"/>
      <c r="G193" s="79"/>
      <c r="H193" s="79"/>
      <c r="I193" s="79"/>
      <c r="J193" s="78"/>
      <c r="K193" s="73"/>
      <c r="L193" s="73"/>
      <c r="M193" s="73"/>
    </row>
    <row r="194" spans="1:13">
      <c r="A194" s="79"/>
      <c r="B194" s="79"/>
      <c r="C194" s="79"/>
      <c r="D194" s="79"/>
      <c r="E194" s="79"/>
      <c r="F194" s="79"/>
      <c r="G194" s="79"/>
      <c r="H194" s="79"/>
      <c r="I194" s="79"/>
      <c r="J194" s="78"/>
      <c r="K194" s="73"/>
      <c r="L194" s="73"/>
      <c r="M194" s="73"/>
    </row>
    <row r="195" spans="1:13">
      <c r="A195" s="80"/>
      <c r="B195" s="80"/>
      <c r="C195" s="80"/>
      <c r="D195" s="79"/>
      <c r="E195" s="80"/>
      <c r="F195" s="80"/>
      <c r="G195" s="80"/>
      <c r="H195" s="80"/>
      <c r="I195" s="79"/>
      <c r="J195" s="78"/>
      <c r="K195" s="73"/>
      <c r="L195" s="73"/>
      <c r="M195" s="73"/>
    </row>
    <row r="196" spans="1:13">
      <c r="A196" s="80"/>
      <c r="B196" s="80"/>
      <c r="C196" s="80"/>
      <c r="D196" s="79"/>
      <c r="E196" s="80"/>
      <c r="F196" s="80"/>
      <c r="G196" s="80"/>
      <c r="H196" s="80"/>
      <c r="I196" s="79"/>
      <c r="J196" s="78"/>
      <c r="K196" s="73"/>
      <c r="L196" s="73"/>
      <c r="M196" s="73"/>
    </row>
    <row r="197" spans="1:13">
      <c r="A197" s="80"/>
      <c r="B197" s="80"/>
      <c r="C197" s="80"/>
      <c r="D197" s="79"/>
      <c r="E197" s="80"/>
      <c r="F197" s="80"/>
      <c r="G197" s="80"/>
      <c r="H197" s="80"/>
      <c r="I197" s="79"/>
      <c r="J197" s="78"/>
      <c r="K197" s="73"/>
      <c r="L197" s="73"/>
      <c r="M197" s="73"/>
    </row>
    <row r="198" spans="1:13">
      <c r="A198" s="80"/>
      <c r="B198" s="80"/>
      <c r="C198" s="80"/>
      <c r="D198" s="79"/>
      <c r="E198" s="80"/>
      <c r="F198" s="80"/>
      <c r="G198" s="80"/>
      <c r="H198" s="80"/>
      <c r="I198" s="79"/>
      <c r="J198" s="78"/>
      <c r="K198" s="73"/>
      <c r="L198" s="73"/>
      <c r="M198" s="73"/>
    </row>
    <row r="199" spans="1:13">
      <c r="A199" s="80"/>
      <c r="B199" s="80"/>
      <c r="C199" s="80"/>
      <c r="D199" s="79"/>
      <c r="E199" s="80"/>
      <c r="F199" s="80"/>
      <c r="G199" s="80"/>
      <c r="H199" s="80"/>
      <c r="I199" s="79"/>
      <c r="J199" s="78"/>
      <c r="K199" s="73"/>
      <c r="L199" s="73"/>
      <c r="M199" s="73"/>
    </row>
    <row r="200" spans="1:13">
      <c r="A200" s="80"/>
      <c r="B200" s="80"/>
      <c r="C200" s="80"/>
      <c r="D200" s="79"/>
      <c r="E200" s="80"/>
      <c r="F200" s="80"/>
      <c r="G200" s="80"/>
      <c r="H200" s="80"/>
      <c r="I200" s="79"/>
      <c r="J200" s="78"/>
      <c r="K200" s="73"/>
      <c r="L200" s="73"/>
      <c r="M200" s="73"/>
    </row>
    <row r="201" spans="1:13">
      <c r="A201" s="80"/>
      <c r="B201" s="80"/>
      <c r="C201" s="80"/>
      <c r="D201" s="79"/>
      <c r="E201" s="80"/>
      <c r="F201" s="80"/>
      <c r="G201" s="80"/>
      <c r="H201" s="80"/>
      <c r="I201" s="79"/>
      <c r="J201" s="78"/>
      <c r="K201" s="73"/>
      <c r="L201" s="73"/>
      <c r="M201" s="73"/>
    </row>
    <row r="202" spans="1:13">
      <c r="A202" s="80"/>
      <c r="B202" s="80"/>
      <c r="C202" s="80"/>
      <c r="D202" s="79"/>
      <c r="E202" s="80"/>
      <c r="F202" s="80"/>
      <c r="G202" s="80"/>
      <c r="H202" s="80"/>
      <c r="I202" s="79"/>
      <c r="J202" s="78"/>
      <c r="K202" s="73"/>
      <c r="L202" s="73"/>
      <c r="M202" s="73"/>
    </row>
    <row r="203" spans="1:13">
      <c r="A203" s="80"/>
      <c r="B203" s="80"/>
      <c r="C203" s="80"/>
      <c r="D203" s="79"/>
      <c r="E203" s="80"/>
      <c r="F203" s="80"/>
      <c r="G203" s="80"/>
      <c r="H203" s="80"/>
      <c r="I203" s="79"/>
      <c r="J203" s="78"/>
      <c r="K203" s="73"/>
      <c r="L203" s="73"/>
      <c r="M203" s="73"/>
    </row>
    <row r="204" spans="1:13">
      <c r="A204" s="80"/>
      <c r="B204" s="80"/>
      <c r="C204" s="80"/>
      <c r="D204" s="79"/>
      <c r="E204" s="80"/>
      <c r="F204" s="80"/>
      <c r="G204" s="80"/>
      <c r="H204" s="80"/>
      <c r="I204" s="79"/>
      <c r="J204" s="78"/>
      <c r="K204" s="73"/>
      <c r="L204" s="73"/>
      <c r="M204" s="73"/>
    </row>
    <row r="205" spans="1:13">
      <c r="A205" s="80"/>
      <c r="B205" s="80"/>
      <c r="C205" s="80"/>
      <c r="D205" s="79"/>
      <c r="E205" s="80"/>
      <c r="F205" s="80"/>
      <c r="G205" s="80"/>
      <c r="H205" s="80"/>
      <c r="I205" s="79"/>
      <c r="J205" s="78"/>
      <c r="K205" s="73"/>
      <c r="L205" s="73"/>
      <c r="M205" s="73"/>
    </row>
    <row r="206" spans="1:13">
      <c r="A206" s="80"/>
      <c r="B206" s="80"/>
      <c r="C206" s="80"/>
      <c r="D206" s="79"/>
      <c r="E206" s="80"/>
      <c r="F206" s="80"/>
      <c r="G206" s="80"/>
      <c r="H206" s="80"/>
      <c r="I206" s="79"/>
      <c r="J206" s="78"/>
      <c r="K206" s="73"/>
      <c r="L206" s="73"/>
      <c r="M206" s="73"/>
    </row>
    <row r="207" spans="1:13">
      <c r="A207" s="80"/>
      <c r="B207" s="80"/>
      <c r="C207" s="80"/>
      <c r="D207" s="79"/>
      <c r="E207" s="80"/>
      <c r="F207" s="80"/>
      <c r="G207" s="80"/>
      <c r="H207" s="80"/>
      <c r="I207" s="79"/>
      <c r="J207" s="78"/>
      <c r="K207" s="73"/>
      <c r="L207" s="73"/>
      <c r="M207" s="73"/>
    </row>
    <row r="208" spans="1:13">
      <c r="A208" s="80"/>
      <c r="B208" s="80"/>
      <c r="C208" s="80"/>
      <c r="D208" s="79"/>
      <c r="E208" s="80"/>
      <c r="F208" s="80"/>
      <c r="G208" s="80"/>
      <c r="H208" s="80"/>
      <c r="I208" s="79"/>
      <c r="J208" s="78"/>
      <c r="K208" s="73"/>
      <c r="L208" s="73"/>
      <c r="M208" s="73"/>
    </row>
    <row r="209" spans="1:13">
      <c r="A209" s="80"/>
      <c r="B209" s="80"/>
      <c r="C209" s="80"/>
      <c r="D209" s="79"/>
      <c r="E209" s="80"/>
      <c r="F209" s="80"/>
      <c r="G209" s="80"/>
      <c r="H209" s="80"/>
      <c r="I209" s="79"/>
      <c r="J209" s="78"/>
      <c r="K209" s="73"/>
      <c r="L209" s="73"/>
      <c r="M209" s="73"/>
    </row>
    <row r="210" spans="1:13">
      <c r="A210" s="80"/>
      <c r="B210" s="80"/>
      <c r="C210" s="80"/>
      <c r="D210" s="79"/>
      <c r="E210" s="80"/>
      <c r="F210" s="80"/>
      <c r="G210" s="80"/>
      <c r="H210" s="80"/>
      <c r="I210" s="79"/>
      <c r="J210" s="78"/>
      <c r="K210" s="73"/>
      <c r="L210" s="73"/>
      <c r="M210" s="73"/>
    </row>
    <row r="211" spans="1:13">
      <c r="A211" s="80"/>
      <c r="B211" s="80"/>
      <c r="C211" s="80"/>
      <c r="D211" s="79"/>
      <c r="E211" s="80"/>
      <c r="F211" s="80"/>
      <c r="G211" s="80"/>
      <c r="H211" s="80"/>
      <c r="I211" s="79"/>
      <c r="J211" s="78"/>
      <c r="K211" s="73"/>
      <c r="L211" s="73"/>
      <c r="M211" s="73"/>
    </row>
    <row r="212" spans="1:13">
      <c r="A212" s="80"/>
      <c r="B212" s="80"/>
      <c r="C212" s="80"/>
      <c r="D212" s="79"/>
      <c r="E212" s="80"/>
      <c r="F212" s="80"/>
      <c r="G212" s="80"/>
      <c r="H212" s="80"/>
      <c r="I212" s="79"/>
      <c r="J212" s="78"/>
      <c r="K212" s="73"/>
      <c r="L212" s="73"/>
      <c r="M212" s="73"/>
    </row>
    <row r="213" spans="1:13">
      <c r="A213" s="80"/>
      <c r="B213" s="80"/>
      <c r="C213" s="80"/>
      <c r="D213" s="79"/>
      <c r="E213" s="80"/>
      <c r="F213" s="80"/>
      <c r="G213" s="80"/>
      <c r="H213" s="80"/>
      <c r="I213" s="79"/>
      <c r="J213" s="78"/>
      <c r="K213" s="73"/>
      <c r="L213" s="73"/>
      <c r="M213" s="73"/>
    </row>
    <row r="214" spans="1:13">
      <c r="A214" s="80"/>
      <c r="B214" s="80"/>
      <c r="C214" s="80"/>
      <c r="D214" s="79"/>
      <c r="E214" s="80"/>
      <c r="F214" s="80"/>
      <c r="G214" s="80"/>
      <c r="H214" s="80"/>
      <c r="I214" s="79"/>
      <c r="J214" s="78"/>
      <c r="K214" s="73"/>
      <c r="L214" s="73"/>
      <c r="M214" s="73"/>
    </row>
    <row r="215" spans="1:13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3"/>
      <c r="L215" s="73"/>
      <c r="M215" s="73"/>
    </row>
    <row r="216" spans="1:13">
      <c r="A216" s="73"/>
      <c r="B216" s="78"/>
      <c r="C216" s="78"/>
      <c r="D216" s="78"/>
      <c r="E216" s="78"/>
      <c r="F216" s="78"/>
      <c r="G216" s="78"/>
      <c r="H216" s="78"/>
      <c r="I216" s="78"/>
      <c r="J216" s="78"/>
      <c r="K216" s="73"/>
      <c r="L216" s="73"/>
      <c r="M216" s="73"/>
    </row>
    <row r="217" spans="1:13">
      <c r="A217" s="73"/>
      <c r="B217" s="73"/>
      <c r="C217" s="78"/>
      <c r="D217" s="78"/>
      <c r="E217" s="78"/>
      <c r="F217" s="78"/>
      <c r="G217" s="78"/>
      <c r="H217" s="78"/>
      <c r="I217" s="78"/>
      <c r="J217" s="73"/>
      <c r="K217" s="73"/>
      <c r="L217" s="73"/>
      <c r="M217" s="73"/>
    </row>
    <row r="218" spans="1:13">
      <c r="A218" s="73"/>
      <c r="B218" s="73"/>
      <c r="C218" s="78"/>
      <c r="D218" s="78"/>
      <c r="E218" s="78"/>
      <c r="F218" s="78"/>
      <c r="G218" s="78"/>
      <c r="H218" s="78"/>
      <c r="I218" s="78"/>
      <c r="J218" s="73"/>
      <c r="K218" s="73"/>
      <c r="L218" s="73"/>
      <c r="M218" s="73"/>
    </row>
    <row r="219" spans="1:13">
      <c r="A219" s="73"/>
      <c r="B219" s="73"/>
      <c r="C219" s="78"/>
      <c r="D219" s="78"/>
      <c r="E219" s="78"/>
      <c r="F219" s="78"/>
      <c r="G219" s="78"/>
      <c r="H219" s="75"/>
      <c r="I219" s="78"/>
      <c r="J219" s="73"/>
      <c r="K219" s="73"/>
      <c r="L219" s="73"/>
      <c r="M219" s="73"/>
    </row>
    <row r="220" spans="1:13">
      <c r="A220" s="73"/>
      <c r="B220" s="73"/>
      <c r="C220" s="78"/>
      <c r="D220" s="81"/>
      <c r="E220" s="81"/>
      <c r="F220" s="81"/>
      <c r="G220" s="81"/>
      <c r="H220" s="75"/>
      <c r="I220" s="78"/>
      <c r="J220" s="73"/>
      <c r="K220" s="73"/>
      <c r="L220" s="73"/>
      <c r="M220" s="73"/>
    </row>
    <row r="221" spans="1:13">
      <c r="A221" s="73"/>
      <c r="B221" s="73"/>
      <c r="C221" s="78"/>
      <c r="D221" s="78"/>
      <c r="E221" s="78"/>
      <c r="F221" s="78"/>
      <c r="G221" s="78"/>
      <c r="H221" s="78"/>
      <c r="I221" s="78"/>
      <c r="J221" s="73"/>
      <c r="K221" s="73"/>
      <c r="L221" s="73"/>
      <c r="M221" s="73"/>
    </row>
    <row r="222" spans="1:13">
      <c r="A222" s="73"/>
      <c r="B222" s="73"/>
      <c r="C222" s="78"/>
      <c r="D222" s="78"/>
      <c r="E222" s="78"/>
      <c r="F222" s="78"/>
      <c r="G222" s="78"/>
      <c r="H222" s="78"/>
      <c r="I222" s="78"/>
      <c r="J222" s="73"/>
      <c r="K222" s="73"/>
      <c r="L222" s="73"/>
      <c r="M222" s="73"/>
    </row>
    <row r="223" spans="1:13">
      <c r="A223" s="73"/>
      <c r="B223" s="73"/>
      <c r="C223" s="78"/>
      <c r="D223" s="78"/>
      <c r="E223" s="78"/>
      <c r="F223" s="78"/>
      <c r="G223" s="78"/>
      <c r="H223" s="78"/>
      <c r="I223" s="78"/>
      <c r="J223" s="73"/>
      <c r="K223" s="73"/>
      <c r="L223" s="73"/>
      <c r="M223" s="73"/>
    </row>
    <row r="224" spans="1:1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</row>
    <row r="225" spans="1:1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</row>
    <row r="226" spans="1:1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</row>
    <row r="227" spans="1:1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spans="1:1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</row>
    <row r="229" spans="1:1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</row>
    <row r="230" spans="1:1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</row>
    <row r="231" spans="1:1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</row>
    <row r="232" spans="1:1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</row>
    <row r="233" spans="1:1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</row>
    <row r="234" spans="1:1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</row>
    <row r="235" spans="1:1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</row>
    <row r="236" spans="1:1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</row>
    <row r="237" spans="1:1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</row>
    <row r="238" spans="1:1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</row>
    <row r="239" spans="1:1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</row>
    <row r="240" spans="1:1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</row>
    <row r="241" spans="1:1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</row>
    <row r="242" spans="1:1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</row>
    <row r="243" spans="1:1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</row>
    <row r="244" spans="1:1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</row>
    <row r="245" spans="1:1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</row>
    <row r="246" spans="1:1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</row>
    <row r="247" spans="1:1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</row>
    <row r="248" spans="1:1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</row>
    <row r="249" spans="1:1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</row>
    <row r="250" spans="1:1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</row>
    <row r="251" spans="1:1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</row>
    <row r="252" spans="1:1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</row>
    <row r="253" spans="1:1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</row>
    <row r="254" spans="1:1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</row>
    <row r="255" spans="1:1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</row>
    <row r="256" spans="1:1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</row>
    <row r="257" spans="1:1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</row>
    <row r="258" spans="1:1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</row>
    <row r="259" spans="1:1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</row>
    <row r="260" spans="1:1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</row>
    <row r="261" spans="1:1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spans="1:1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</row>
    <row r="263" spans="1:1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</row>
    <row r="264" spans="1:1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</row>
    <row r="265" spans="1:1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</row>
    <row r="266" spans="1:1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</row>
    <row r="267" spans="1:1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</row>
    <row r="268" spans="1:1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</row>
    <row r="269" spans="1:1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</row>
    <row r="270" spans="1:1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</row>
    <row r="271" spans="1:1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</row>
    <row r="272" spans="1:1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</row>
    <row r="273" spans="1:1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</row>
    <row r="274" spans="1:1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</row>
    <row r="275" spans="1:1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</row>
    <row r="276" spans="1:1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</row>
    <row r="277" spans="1:1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</row>
    <row r="278" spans="1:1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</row>
    <row r="279" spans="1:1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</row>
    <row r="280" spans="1:1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</row>
    <row r="281" spans="1:1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</row>
    <row r="282" spans="1:1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</row>
    <row r="283" spans="1:1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</row>
    <row r="284" spans="1:1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</row>
    <row r="285" spans="1:1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</row>
    <row r="286" spans="1:1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</row>
    <row r="287" spans="1:1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</row>
    <row r="288" spans="1:1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</row>
    <row r="289" spans="1:1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</row>
    <row r="290" spans="1:1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</row>
    <row r="291" spans="1:1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</row>
    <row r="292" spans="1:1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</row>
    <row r="293" spans="1:1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</row>
    <row r="294" spans="1:1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</row>
    <row r="295" spans="1:1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</row>
    <row r="296" spans="1:1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</row>
    <row r="297" spans="1:1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</row>
    <row r="298" spans="1:1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299" spans="1:1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</row>
    <row r="300" spans="1:1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</row>
    <row r="301" spans="1:1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</row>
    <row r="302" spans="1:1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  <row r="303" spans="1:1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</row>
    <row r="304" spans="1:1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</row>
    <row r="305" spans="1:1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</row>
    <row r="306" spans="1:1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</row>
    <row r="307" spans="1:1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</row>
    <row r="308" spans="1:1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</row>
    <row r="309" spans="1:1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</row>
    <row r="310" spans="1:1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</row>
    <row r="311" spans="1:1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</row>
    <row r="312" spans="1:1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</row>
    <row r="313" spans="1:1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</row>
    <row r="314" spans="1:1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</row>
    <row r="315" spans="1:1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</row>
    <row r="316" spans="1:1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</row>
    <row r="317" spans="1:1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</row>
    <row r="318" spans="1:1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</row>
    <row r="319" spans="1:1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</row>
    <row r="320" spans="1:1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</row>
    <row r="321" spans="1:1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</row>
    <row r="322" spans="1:1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</row>
    <row r="323" spans="1:1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</row>
    <row r="324" spans="1:1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</row>
    <row r="325" spans="1:1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</row>
    <row r="326" spans="1:1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</row>
    <row r="327" spans="1:1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</row>
    <row r="328" spans="1:1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</row>
    <row r="329" spans="1:1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</row>
    <row r="330" spans="1:1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</row>
    <row r="331" spans="1:1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</row>
    <row r="332" spans="1:1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</row>
    <row r="333" spans="1:1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</row>
    <row r="334" spans="1:1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</row>
    <row r="335" spans="1:1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</row>
    <row r="336" spans="1:1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</row>
    <row r="337" spans="1:1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</row>
    <row r="338" spans="1:1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</row>
    <row r="339" spans="1:1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</row>
    <row r="340" spans="1:1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</row>
    <row r="341" spans="1:1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</row>
    <row r="342" spans="1:1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</row>
    <row r="343" spans="1:1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</row>
    <row r="344" spans="1:1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</row>
    <row r="345" spans="1:1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</row>
    <row r="346" spans="1:1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</row>
    <row r="347" spans="1:1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</row>
    <row r="348" spans="1:1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</row>
    <row r="349" spans="1:1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</row>
    <row r="350" spans="1:1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</row>
    <row r="351" spans="1:1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</row>
    <row r="352" spans="1:1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</row>
    <row r="353" spans="1:1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</row>
    <row r="354" spans="1:1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</row>
    <row r="355" spans="1:1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</row>
    <row r="356" spans="1:1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</row>
    <row r="357" spans="1:1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</row>
    <row r="358" spans="1:1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</row>
    <row r="359" spans="1:1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</row>
    <row r="360" spans="1:1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</row>
    <row r="361" spans="1:1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</row>
    <row r="362" spans="1:1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</row>
    <row r="363" spans="1:1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</row>
    <row r="364" spans="1:1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</row>
    <row r="365" spans="1:1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</row>
    <row r="366" spans="1:1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</row>
    <row r="367" spans="1:1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</row>
    <row r="368" spans="1:1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</row>
    <row r="369" spans="1:1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</row>
    <row r="370" spans="1:1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</row>
    <row r="371" spans="1:1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</row>
    <row r="372" spans="1:1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</row>
    <row r="373" spans="1:1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</row>
    <row r="374" spans="1:1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</row>
    <row r="375" spans="1:1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</row>
    <row r="376" spans="1:1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</row>
    <row r="377" spans="1:1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</row>
    <row r="378" spans="1:1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</row>
    <row r="379" spans="1:1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</row>
    <row r="380" spans="1:1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</row>
    <row r="381" spans="1:1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</row>
    <row r="382" spans="1:1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</row>
    <row r="383" spans="1:1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</row>
    <row r="384" spans="1:1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</row>
    <row r="385" spans="1:1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</row>
    <row r="386" spans="1:1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</row>
    <row r="387" spans="1:1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</row>
    <row r="388" spans="1:1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</row>
    <row r="389" spans="1:1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</row>
    <row r="390" spans="1:1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</row>
    <row r="391" spans="1:1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</row>
    <row r="392" spans="1:1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</row>
    <row r="393" spans="1:1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</row>
    <row r="394" spans="1:1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</row>
    <row r="395" spans="1:1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</row>
    <row r="396" spans="1:1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</row>
    <row r="397" spans="1:1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</row>
    <row r="398" spans="1:1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</row>
    <row r="399" spans="1:1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</row>
    <row r="400" spans="1:1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</row>
    <row r="401" spans="1:1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</row>
    <row r="402" spans="1:1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</row>
    <row r="403" spans="1:1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</row>
    <row r="404" spans="1:1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</row>
    <row r="405" spans="1:1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</row>
    <row r="406" spans="1:1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</row>
    <row r="407" spans="1:1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</row>
    <row r="408" spans="1:1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</row>
    <row r="409" spans="1:1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</row>
    <row r="410" spans="1:1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</row>
    <row r="411" spans="1:1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</row>
    <row r="412" spans="1:1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</row>
    <row r="413" spans="1:1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</row>
    <row r="414" spans="1:1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</row>
    <row r="415" spans="1:1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</row>
    <row r="416" spans="1:1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</row>
    <row r="417" spans="1:1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</row>
    <row r="418" spans="1:1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</row>
    <row r="419" spans="1:1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</row>
    <row r="420" spans="1:1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</row>
    <row r="421" spans="1:1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</row>
    <row r="422" spans="1:1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</row>
    <row r="423" spans="1:1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</row>
    <row r="424" spans="1:1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</row>
    <row r="425" spans="1:13">
      <c r="K425" s="73"/>
      <c r="L425" s="73"/>
      <c r="M425" s="73"/>
    </row>
    <row r="426" spans="1:13">
      <c r="K426" s="73"/>
      <c r="L426" s="73"/>
      <c r="M426" s="73"/>
    </row>
    <row r="427" spans="1:13">
      <c r="L427" s="73"/>
      <c r="M427" s="73"/>
    </row>
    <row r="428" spans="1:13">
      <c r="L428" s="73"/>
      <c r="M428" s="73"/>
    </row>
    <row r="429" spans="1:13">
      <c r="L429" s="73"/>
      <c r="M429" s="73"/>
    </row>
    <row r="430" spans="1:13">
      <c r="L430" s="73"/>
      <c r="M430" s="73"/>
    </row>
    <row r="431" spans="1:13">
      <c r="L431" s="73"/>
      <c r="M431" s="73"/>
    </row>
  </sheetData>
  <sheetProtection password="EFE4" sheet="1" objects="1" scenarios="1" selectLockedCells="1"/>
  <mergeCells count="10">
    <mergeCell ref="C1:H2"/>
    <mergeCell ref="F30:G30"/>
    <mergeCell ref="C114:D115"/>
    <mergeCell ref="E114:F115"/>
    <mergeCell ref="I71:J71"/>
    <mergeCell ref="I75:J75"/>
    <mergeCell ref="I76:J76"/>
    <mergeCell ref="I72:J72"/>
    <mergeCell ref="I73:J73"/>
    <mergeCell ref="I74:J74"/>
  </mergeCells>
  <phoneticPr fontId="2" type="noConversion"/>
  <pageMargins left="0.74803149606299213" right="0.74803149606299213" top="0.78740157480314965" bottom="0.86" header="0" footer="0"/>
  <pageSetup paperSize="9" orientation="portrait" horizontalDpi="300" verticalDpi="300" r:id="rId1"/>
  <headerFooter alignWithMargins="0"/>
  <drawing r:id="rId2"/>
  <legacyDrawing r:id="rId3"/>
  <oleObjects>
    <oleObject progId="hunmin.doc" shapeId="4097" r:id="rId4"/>
    <oleObject progId="Visio.Drawing.6" shapeId="4100" r:id="rId5"/>
    <oleObject progId="Visio.Drawing.6" shapeId="4103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8"/>
  <sheetViews>
    <sheetView zoomScale="85" workbookViewId="0">
      <selection activeCell="F32" sqref="F32"/>
    </sheetView>
  </sheetViews>
  <sheetFormatPr defaultRowHeight="14.25"/>
  <cols>
    <col min="1" max="1" width="13.77734375" style="219" customWidth="1"/>
    <col min="2" max="2" width="13.77734375" style="220" customWidth="1"/>
    <col min="3" max="4" width="6.77734375" style="221" customWidth="1"/>
    <col min="5" max="7" width="8.88671875" style="221"/>
    <col min="8" max="8" width="6.77734375" style="221" customWidth="1"/>
    <col min="9" max="13" width="7.77734375" style="221" customWidth="1"/>
    <col min="14" max="14" width="9.5546875" style="222" customWidth="1"/>
    <col min="15" max="15" width="9.44140625" style="222" bestFit="1" customWidth="1"/>
    <col min="16" max="16" width="13" style="221" bestFit="1" customWidth="1"/>
    <col min="17" max="17" width="13.88671875" style="221" customWidth="1"/>
    <col min="18" max="18" width="24.5546875" style="221" bestFit="1" customWidth="1"/>
    <col min="19" max="19" width="10.6640625" style="221" customWidth="1"/>
    <col min="20" max="20" width="10.21875" style="221" customWidth="1"/>
    <col min="21" max="16384" width="8.88671875" style="221"/>
  </cols>
  <sheetData>
    <row r="1" spans="1:20" s="83" customFormat="1" ht="13.5" customHeight="1">
      <c r="A1" s="306" t="s">
        <v>115</v>
      </c>
      <c r="B1" s="311" t="s">
        <v>116</v>
      </c>
      <c r="C1" s="314" t="s">
        <v>117</v>
      </c>
      <c r="D1" s="315"/>
      <c r="E1" s="315"/>
      <c r="F1" s="315"/>
      <c r="G1" s="315"/>
      <c r="H1" s="300"/>
      <c r="I1" s="314" t="s">
        <v>118</v>
      </c>
      <c r="J1" s="315"/>
      <c r="K1" s="315"/>
      <c r="L1" s="300"/>
      <c r="M1" s="303" t="s">
        <v>119</v>
      </c>
      <c r="N1" s="306" t="s">
        <v>120</v>
      </c>
      <c r="O1" s="297" t="s">
        <v>121</v>
      </c>
      <c r="P1" s="300" t="s">
        <v>122</v>
      </c>
      <c r="Q1" s="297" t="s">
        <v>123</v>
      </c>
      <c r="R1" s="300" t="s">
        <v>124</v>
      </c>
      <c r="S1" s="301"/>
      <c r="T1" s="301"/>
    </row>
    <row r="2" spans="1:20" s="83" customFormat="1" ht="24.75" customHeight="1">
      <c r="A2" s="307"/>
      <c r="B2" s="312"/>
      <c r="C2" s="316" t="s">
        <v>125</v>
      </c>
      <c r="D2" s="316" t="s">
        <v>126</v>
      </c>
      <c r="E2" s="316" t="s">
        <v>127</v>
      </c>
      <c r="F2" s="297"/>
      <c r="G2" s="297" t="s">
        <v>128</v>
      </c>
      <c r="H2" s="297" t="s">
        <v>306</v>
      </c>
      <c r="I2" s="295" t="s">
        <v>129</v>
      </c>
      <c r="J2" s="295" t="s">
        <v>130</v>
      </c>
      <c r="K2" s="295" t="s">
        <v>131</v>
      </c>
      <c r="L2" s="295" t="s">
        <v>132</v>
      </c>
      <c r="M2" s="304"/>
      <c r="N2" s="307"/>
      <c r="O2" s="309"/>
      <c r="P2" s="298"/>
      <c r="Q2" s="298"/>
      <c r="R2" s="298"/>
      <c r="S2" s="302"/>
      <c r="T2" s="302"/>
    </row>
    <row r="3" spans="1:20" s="83" customFormat="1" ht="12.75">
      <c r="A3" s="308"/>
      <c r="B3" s="313"/>
      <c r="C3" s="317"/>
      <c r="D3" s="317"/>
      <c r="E3" s="89" t="s">
        <v>133</v>
      </c>
      <c r="F3" s="89" t="s">
        <v>134</v>
      </c>
      <c r="G3" s="310"/>
      <c r="H3" s="310"/>
      <c r="I3" s="296"/>
      <c r="J3" s="296"/>
      <c r="K3" s="296"/>
      <c r="L3" s="296"/>
      <c r="M3" s="305"/>
      <c r="N3" s="308"/>
      <c r="O3" s="310"/>
      <c r="P3" s="299"/>
      <c r="Q3" s="299"/>
      <c r="R3" s="299"/>
      <c r="S3" s="302"/>
      <c r="T3" s="302"/>
    </row>
    <row r="4" spans="1:20" s="93" customFormat="1" ht="15">
      <c r="A4" s="87" t="s">
        <v>135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90"/>
      <c r="O4" s="87"/>
      <c r="P4" s="87"/>
      <c r="Q4" s="91"/>
      <c r="R4" s="92"/>
    </row>
    <row r="5" spans="1:20" s="83" customFormat="1" ht="12.75">
      <c r="A5" s="94" t="s">
        <v>136</v>
      </c>
      <c r="B5" s="95" t="s">
        <v>137</v>
      </c>
      <c r="C5" s="96">
        <v>800</v>
      </c>
      <c r="D5" s="97">
        <v>1.2</v>
      </c>
      <c r="E5" s="96">
        <v>25</v>
      </c>
      <c r="F5" s="97">
        <v>30</v>
      </c>
      <c r="G5" s="96">
        <v>67</v>
      </c>
      <c r="H5" s="98">
        <v>7</v>
      </c>
      <c r="I5" s="96" t="s">
        <v>138</v>
      </c>
      <c r="J5" s="96" t="s">
        <v>139</v>
      </c>
      <c r="K5" s="96" t="s">
        <v>138</v>
      </c>
      <c r="L5" s="96" t="s">
        <v>138</v>
      </c>
      <c r="M5" s="96" t="s">
        <v>139</v>
      </c>
      <c r="N5" s="96" t="s">
        <v>140</v>
      </c>
      <c r="O5" s="85" t="s">
        <v>141</v>
      </c>
      <c r="P5" s="99" t="s">
        <v>142</v>
      </c>
      <c r="Q5" s="271" t="s">
        <v>143</v>
      </c>
      <c r="R5" s="100"/>
    </row>
    <row r="6" spans="1:20" s="83" customFormat="1" ht="12.75" customHeight="1">
      <c r="A6" s="94" t="s">
        <v>144</v>
      </c>
      <c r="B6" s="95" t="s">
        <v>145</v>
      </c>
      <c r="C6" s="96">
        <v>800</v>
      </c>
      <c r="D6" s="96">
        <v>2.15</v>
      </c>
      <c r="E6" s="96">
        <v>40</v>
      </c>
      <c r="F6" s="96">
        <v>50</v>
      </c>
      <c r="G6" s="96" t="s">
        <v>146</v>
      </c>
      <c r="H6" s="98">
        <v>5</v>
      </c>
      <c r="I6" s="96" t="s">
        <v>138</v>
      </c>
      <c r="J6" s="96" t="s">
        <v>139</v>
      </c>
      <c r="K6" s="96" t="s">
        <v>138</v>
      </c>
      <c r="L6" s="96" t="s">
        <v>138</v>
      </c>
      <c r="M6" s="96" t="s">
        <v>139</v>
      </c>
      <c r="N6" s="96" t="s">
        <v>140</v>
      </c>
      <c r="O6" s="101" t="s">
        <v>147</v>
      </c>
      <c r="P6" s="102" t="s">
        <v>148</v>
      </c>
      <c r="Q6" s="272"/>
      <c r="R6" s="104"/>
    </row>
    <row r="7" spans="1:20" s="83" customFormat="1" ht="12.75">
      <c r="A7" s="94" t="s">
        <v>149</v>
      </c>
      <c r="B7" s="95" t="s">
        <v>150</v>
      </c>
      <c r="C7" s="96">
        <v>800</v>
      </c>
      <c r="D7" s="98">
        <v>4</v>
      </c>
      <c r="E7" s="96">
        <v>80</v>
      </c>
      <c r="F7" s="96">
        <v>100</v>
      </c>
      <c r="G7" s="96" t="s">
        <v>151</v>
      </c>
      <c r="H7" s="98">
        <v>2</v>
      </c>
      <c r="I7" s="96" t="s">
        <v>152</v>
      </c>
      <c r="J7" s="96" t="s">
        <v>139</v>
      </c>
      <c r="K7" s="96" t="s">
        <v>152</v>
      </c>
      <c r="L7" s="96" t="s">
        <v>152</v>
      </c>
      <c r="M7" s="96" t="s">
        <v>153</v>
      </c>
      <c r="N7" s="96" t="s">
        <v>154</v>
      </c>
      <c r="O7" s="294" t="s">
        <v>155</v>
      </c>
      <c r="P7" s="288" t="s">
        <v>156</v>
      </c>
      <c r="Q7" s="283" t="s">
        <v>157</v>
      </c>
      <c r="R7" s="104"/>
    </row>
    <row r="8" spans="1:20" s="83" customFormat="1" ht="12.75">
      <c r="A8" s="106" t="s">
        <v>158</v>
      </c>
      <c r="B8" s="107" t="s">
        <v>150</v>
      </c>
      <c r="C8" s="108">
        <v>800</v>
      </c>
      <c r="D8" s="111">
        <v>4</v>
      </c>
      <c r="E8" s="108">
        <v>80</v>
      </c>
      <c r="F8" s="108">
        <v>100</v>
      </c>
      <c r="G8" s="108">
        <v>100</v>
      </c>
      <c r="H8" s="111">
        <v>2</v>
      </c>
      <c r="I8" s="108" t="s">
        <v>138</v>
      </c>
      <c r="J8" s="108" t="s">
        <v>139</v>
      </c>
      <c r="K8" s="108" t="s">
        <v>138</v>
      </c>
      <c r="L8" s="108" t="s">
        <v>138</v>
      </c>
      <c r="M8" s="108" t="s">
        <v>153</v>
      </c>
      <c r="N8" s="108" t="s">
        <v>159</v>
      </c>
      <c r="O8" s="294"/>
      <c r="P8" s="288"/>
      <c r="Q8" s="283"/>
      <c r="R8" s="104"/>
    </row>
    <row r="9" spans="1:20" s="83" customFormat="1" ht="12.75">
      <c r="A9" s="112" t="s">
        <v>160</v>
      </c>
      <c r="B9" s="113" t="s">
        <v>150</v>
      </c>
      <c r="C9" s="114">
        <v>800</v>
      </c>
      <c r="D9" s="115">
        <v>4</v>
      </c>
      <c r="E9" s="114">
        <v>80</v>
      </c>
      <c r="F9" s="114">
        <v>100</v>
      </c>
      <c r="G9" s="114">
        <v>67</v>
      </c>
      <c r="H9" s="115">
        <v>2</v>
      </c>
      <c r="I9" s="114" t="s">
        <v>138</v>
      </c>
      <c r="J9" s="114" t="s">
        <v>139</v>
      </c>
      <c r="K9" s="114" t="s">
        <v>138</v>
      </c>
      <c r="L9" s="114" t="s">
        <v>138</v>
      </c>
      <c r="M9" s="114" t="s">
        <v>153</v>
      </c>
      <c r="N9" s="114" t="s">
        <v>154</v>
      </c>
      <c r="O9" s="294"/>
      <c r="P9" s="288"/>
      <c r="Q9" s="283"/>
      <c r="R9" s="104"/>
    </row>
    <row r="10" spans="1:20" s="83" customFormat="1" ht="12.75">
      <c r="A10" s="94" t="s">
        <v>161</v>
      </c>
      <c r="B10" s="95"/>
      <c r="C10" s="96">
        <v>800</v>
      </c>
      <c r="D10" s="98">
        <v>5</v>
      </c>
      <c r="E10" s="96">
        <v>110</v>
      </c>
      <c r="F10" s="96">
        <v>130</v>
      </c>
      <c r="G10" s="96" t="s">
        <v>146</v>
      </c>
      <c r="H10" s="96">
        <v>1.5</v>
      </c>
      <c r="I10" s="96" t="s">
        <v>152</v>
      </c>
      <c r="J10" s="96" t="s">
        <v>139</v>
      </c>
      <c r="K10" s="96" t="s">
        <v>152</v>
      </c>
      <c r="L10" s="96" t="s">
        <v>152</v>
      </c>
      <c r="M10" s="96" t="s">
        <v>153</v>
      </c>
      <c r="N10" s="96" t="s">
        <v>154</v>
      </c>
      <c r="O10" s="294" t="s">
        <v>155</v>
      </c>
      <c r="P10" s="288" t="s">
        <v>156</v>
      </c>
      <c r="Q10" s="283"/>
      <c r="R10" s="293" t="s">
        <v>162</v>
      </c>
    </row>
    <row r="11" spans="1:20" s="120" customFormat="1" ht="12.75">
      <c r="A11" s="116" t="s">
        <v>163</v>
      </c>
      <c r="B11" s="117"/>
      <c r="C11" s="118">
        <v>800</v>
      </c>
      <c r="D11" s="119">
        <v>5</v>
      </c>
      <c r="E11" s="118">
        <v>110</v>
      </c>
      <c r="F11" s="118">
        <v>130</v>
      </c>
      <c r="G11" s="118">
        <v>67</v>
      </c>
      <c r="H11" s="118">
        <v>1.5</v>
      </c>
      <c r="I11" s="118" t="s">
        <v>152</v>
      </c>
      <c r="J11" s="118" t="s">
        <v>139</v>
      </c>
      <c r="K11" s="118" t="s">
        <v>152</v>
      </c>
      <c r="L11" s="118" t="s">
        <v>152</v>
      </c>
      <c r="M11" s="118" t="s">
        <v>153</v>
      </c>
      <c r="N11" s="118" t="s">
        <v>159</v>
      </c>
      <c r="O11" s="294"/>
      <c r="P11" s="288"/>
      <c r="Q11" s="283"/>
      <c r="R11" s="293"/>
    </row>
    <row r="12" spans="1:20" s="83" customFormat="1" ht="12.75">
      <c r="A12" s="106" t="s">
        <v>164</v>
      </c>
      <c r="B12" s="107" t="s">
        <v>165</v>
      </c>
      <c r="C12" s="108">
        <v>800</v>
      </c>
      <c r="D12" s="111">
        <v>5</v>
      </c>
      <c r="E12" s="108">
        <v>110</v>
      </c>
      <c r="F12" s="108">
        <v>130</v>
      </c>
      <c r="G12" s="108">
        <v>67</v>
      </c>
      <c r="H12" s="108">
        <v>1.5</v>
      </c>
      <c r="I12" s="108" t="s">
        <v>152</v>
      </c>
      <c r="J12" s="108" t="s">
        <v>139</v>
      </c>
      <c r="K12" s="108" t="s">
        <v>152</v>
      </c>
      <c r="L12" s="108" t="s">
        <v>152</v>
      </c>
      <c r="M12" s="108" t="s">
        <v>153</v>
      </c>
      <c r="N12" s="108" t="s">
        <v>154</v>
      </c>
      <c r="O12" s="294"/>
      <c r="P12" s="288"/>
      <c r="Q12" s="283"/>
      <c r="R12" s="121" t="s">
        <v>166</v>
      </c>
    </row>
    <row r="13" spans="1:20" s="83" customFormat="1" ht="12.75" customHeight="1">
      <c r="A13" s="94" t="s">
        <v>167</v>
      </c>
      <c r="B13" s="95" t="s">
        <v>168</v>
      </c>
      <c r="C13" s="96">
        <v>800</v>
      </c>
      <c r="D13" s="98">
        <v>4</v>
      </c>
      <c r="E13" s="96">
        <v>80</v>
      </c>
      <c r="F13" s="96">
        <v>100</v>
      </c>
      <c r="G13" s="96" t="s">
        <v>169</v>
      </c>
      <c r="H13" s="98">
        <v>2</v>
      </c>
      <c r="I13" s="96" t="s">
        <v>152</v>
      </c>
      <c r="J13" s="96" t="s">
        <v>139</v>
      </c>
      <c r="K13" s="96" t="s">
        <v>152</v>
      </c>
      <c r="L13" s="96" t="s">
        <v>152</v>
      </c>
      <c r="M13" s="96" t="s">
        <v>153</v>
      </c>
      <c r="N13" s="96" t="s">
        <v>154</v>
      </c>
      <c r="O13" s="88" t="s">
        <v>170</v>
      </c>
      <c r="P13" s="105" t="s">
        <v>171</v>
      </c>
      <c r="Q13" s="102" t="s">
        <v>172</v>
      </c>
      <c r="R13" s="104"/>
    </row>
    <row r="14" spans="1:20" s="83" customFormat="1" ht="12.75">
      <c r="A14" s="94" t="s">
        <v>173</v>
      </c>
      <c r="B14" s="95" t="s">
        <v>174</v>
      </c>
      <c r="C14" s="96">
        <v>800</v>
      </c>
      <c r="D14" s="98">
        <v>4</v>
      </c>
      <c r="E14" s="96">
        <v>80</v>
      </c>
      <c r="F14" s="96">
        <v>100</v>
      </c>
      <c r="G14" s="96" t="s">
        <v>169</v>
      </c>
      <c r="H14" s="98">
        <v>2</v>
      </c>
      <c r="I14" s="96" t="s">
        <v>138</v>
      </c>
      <c r="J14" s="96" t="s">
        <v>139</v>
      </c>
      <c r="K14" s="96" t="s">
        <v>138</v>
      </c>
      <c r="L14" s="96" t="s">
        <v>138</v>
      </c>
      <c r="M14" s="96" t="s">
        <v>153</v>
      </c>
      <c r="N14" s="96" t="s">
        <v>159</v>
      </c>
      <c r="O14" s="286" t="s">
        <v>175</v>
      </c>
      <c r="P14" s="288" t="s">
        <v>176</v>
      </c>
      <c r="Q14" s="283" t="s">
        <v>177</v>
      </c>
      <c r="R14" s="104"/>
    </row>
    <row r="15" spans="1:20" s="83" customFormat="1" ht="12.75">
      <c r="A15" s="112" t="s">
        <v>178</v>
      </c>
      <c r="B15" s="113" t="s">
        <v>179</v>
      </c>
      <c r="C15" s="114">
        <v>800</v>
      </c>
      <c r="D15" s="115">
        <v>5</v>
      </c>
      <c r="E15" s="114">
        <v>110</v>
      </c>
      <c r="F15" s="114">
        <v>130</v>
      </c>
      <c r="G15" s="114" t="s">
        <v>169</v>
      </c>
      <c r="H15" s="114">
        <v>1.5</v>
      </c>
      <c r="I15" s="114" t="s">
        <v>138</v>
      </c>
      <c r="J15" s="114" t="s">
        <v>139</v>
      </c>
      <c r="K15" s="114" t="s">
        <v>138</v>
      </c>
      <c r="L15" s="114" t="s">
        <v>138</v>
      </c>
      <c r="M15" s="114" t="s">
        <v>153</v>
      </c>
      <c r="N15" s="114" t="s">
        <v>159</v>
      </c>
      <c r="O15" s="287"/>
      <c r="P15" s="288"/>
      <c r="Q15" s="283"/>
      <c r="R15" s="122"/>
    </row>
    <row r="16" spans="1:20" s="93" customFormat="1" ht="15">
      <c r="A16" s="290" t="s">
        <v>180</v>
      </c>
      <c r="B16" s="291"/>
      <c r="C16" s="291"/>
      <c r="D16" s="292"/>
      <c r="E16" s="123"/>
      <c r="F16" s="123"/>
      <c r="G16" s="123"/>
      <c r="H16" s="123"/>
      <c r="I16" s="124"/>
      <c r="J16" s="124"/>
      <c r="K16" s="124"/>
      <c r="L16" s="124"/>
      <c r="M16" s="124"/>
      <c r="N16" s="125"/>
      <c r="O16" s="92"/>
      <c r="P16" s="123"/>
      <c r="Q16" s="126"/>
      <c r="R16" s="123"/>
    </row>
    <row r="17" spans="1:19" s="83" customFormat="1" ht="12.75" customHeight="1">
      <c r="A17" s="94" t="s">
        <v>181</v>
      </c>
      <c r="B17" s="95" t="s">
        <v>182</v>
      </c>
      <c r="C17" s="96">
        <v>650</v>
      </c>
      <c r="D17" s="96">
        <v>0.6</v>
      </c>
      <c r="E17" s="96">
        <v>10</v>
      </c>
      <c r="F17" s="96">
        <v>10</v>
      </c>
      <c r="G17" s="96">
        <v>100</v>
      </c>
      <c r="H17" s="96">
        <v>10</v>
      </c>
      <c r="I17" s="96" t="s">
        <v>138</v>
      </c>
      <c r="J17" s="96" t="s">
        <v>139</v>
      </c>
      <c r="K17" s="96" t="s">
        <v>138</v>
      </c>
      <c r="L17" s="96" t="s">
        <v>138</v>
      </c>
      <c r="M17" s="96" t="s">
        <v>153</v>
      </c>
      <c r="N17" s="96" t="s">
        <v>183</v>
      </c>
      <c r="O17" s="85" t="s">
        <v>184</v>
      </c>
      <c r="P17" s="284" t="s">
        <v>185</v>
      </c>
      <c r="Q17" s="271" t="s">
        <v>186</v>
      </c>
      <c r="R17" s="127"/>
    </row>
    <row r="18" spans="1:19" s="83" customFormat="1" ht="12.75">
      <c r="A18" s="112" t="s">
        <v>187</v>
      </c>
      <c r="B18" s="113" t="s">
        <v>188</v>
      </c>
      <c r="C18" s="114">
        <v>650</v>
      </c>
      <c r="D18" s="114">
        <v>0.6</v>
      </c>
      <c r="E18" s="114">
        <v>15</v>
      </c>
      <c r="F18" s="114">
        <v>15</v>
      </c>
      <c r="G18" s="114">
        <v>100</v>
      </c>
      <c r="H18" s="114">
        <v>10</v>
      </c>
      <c r="I18" s="114" t="s">
        <v>138</v>
      </c>
      <c r="J18" s="114" t="s">
        <v>139</v>
      </c>
      <c r="K18" s="114" t="s">
        <v>138</v>
      </c>
      <c r="L18" s="114" t="s">
        <v>138</v>
      </c>
      <c r="M18" s="114" t="s">
        <v>139</v>
      </c>
      <c r="N18" s="114" t="s">
        <v>140</v>
      </c>
      <c r="O18" s="86" t="s">
        <v>189</v>
      </c>
      <c r="P18" s="285"/>
      <c r="Q18" s="273"/>
      <c r="R18" s="128"/>
    </row>
    <row r="19" spans="1:19" s="83" customFormat="1" ht="12.75">
      <c r="A19" s="106" t="s">
        <v>190</v>
      </c>
      <c r="B19" s="107" t="s">
        <v>191</v>
      </c>
      <c r="C19" s="108">
        <v>650</v>
      </c>
      <c r="D19" s="108">
        <v>1.2</v>
      </c>
      <c r="E19" s="108">
        <v>25</v>
      </c>
      <c r="F19" s="108">
        <v>30</v>
      </c>
      <c r="G19" s="108">
        <v>67</v>
      </c>
      <c r="H19" s="111">
        <v>6</v>
      </c>
      <c r="I19" s="108" t="s">
        <v>138</v>
      </c>
      <c r="J19" s="108" t="s">
        <v>139</v>
      </c>
      <c r="K19" s="108" t="s">
        <v>138</v>
      </c>
      <c r="L19" s="108" t="s">
        <v>138</v>
      </c>
      <c r="M19" s="108" t="s">
        <v>139</v>
      </c>
      <c r="N19" s="108" t="s">
        <v>140</v>
      </c>
      <c r="O19" s="88" t="s">
        <v>141</v>
      </c>
      <c r="P19" s="103" t="s">
        <v>192</v>
      </c>
      <c r="Q19" s="272" t="s">
        <v>143</v>
      </c>
      <c r="R19" s="128"/>
    </row>
    <row r="20" spans="1:19" s="83" customFormat="1" ht="12.75">
      <c r="A20" s="129" t="s">
        <v>193</v>
      </c>
      <c r="B20" s="132" t="s">
        <v>194</v>
      </c>
      <c r="C20" s="105">
        <v>650</v>
      </c>
      <c r="D20" s="105">
        <v>2.15</v>
      </c>
      <c r="E20" s="105">
        <v>40</v>
      </c>
      <c r="F20" s="105">
        <v>50</v>
      </c>
      <c r="G20" s="105">
        <v>67</v>
      </c>
      <c r="H20" s="105">
        <v>4.5</v>
      </c>
      <c r="I20" s="105" t="s">
        <v>138</v>
      </c>
      <c r="J20" s="105" t="s">
        <v>139</v>
      </c>
      <c r="K20" s="105" t="s">
        <v>138</v>
      </c>
      <c r="L20" s="105" t="s">
        <v>138</v>
      </c>
      <c r="M20" s="105" t="s">
        <v>139</v>
      </c>
      <c r="N20" s="105" t="s">
        <v>140</v>
      </c>
      <c r="O20" s="101" t="s">
        <v>147</v>
      </c>
      <c r="P20" s="102" t="s">
        <v>195</v>
      </c>
      <c r="Q20" s="272"/>
      <c r="R20" s="128"/>
    </row>
    <row r="21" spans="1:19" s="83" customFormat="1" ht="12.75">
      <c r="A21" s="94" t="s">
        <v>196</v>
      </c>
      <c r="B21" s="107"/>
      <c r="C21" s="108">
        <v>650</v>
      </c>
      <c r="D21" s="108">
        <v>3.5</v>
      </c>
      <c r="E21" s="108">
        <v>50</v>
      </c>
      <c r="F21" s="108">
        <v>60</v>
      </c>
      <c r="G21" s="108" t="s">
        <v>151</v>
      </c>
      <c r="H21" s="108">
        <v>2.2000000000000002</v>
      </c>
      <c r="I21" s="108" t="s">
        <v>138</v>
      </c>
      <c r="J21" s="108" t="s">
        <v>139</v>
      </c>
      <c r="K21" s="108" t="s">
        <v>138</v>
      </c>
      <c r="L21" s="108" t="s">
        <v>138</v>
      </c>
      <c r="M21" s="108" t="s">
        <v>139</v>
      </c>
      <c r="N21" s="108" t="s">
        <v>140</v>
      </c>
      <c r="O21" s="88" t="s">
        <v>197</v>
      </c>
      <c r="P21" s="103" t="s">
        <v>198</v>
      </c>
      <c r="Q21" s="272"/>
      <c r="R21" s="128"/>
    </row>
    <row r="22" spans="1:19" s="83" customFormat="1" ht="12.75">
      <c r="A22" s="94" t="s">
        <v>199</v>
      </c>
      <c r="B22" s="95" t="s">
        <v>200</v>
      </c>
      <c r="C22" s="96">
        <v>650</v>
      </c>
      <c r="D22" s="98">
        <v>5</v>
      </c>
      <c r="E22" s="96">
        <v>100</v>
      </c>
      <c r="F22" s="96">
        <v>120</v>
      </c>
      <c r="G22" s="96">
        <v>67</v>
      </c>
      <c r="H22" s="96">
        <v>1.6</v>
      </c>
      <c r="I22" s="96" t="s">
        <v>138</v>
      </c>
      <c r="J22" s="96" t="s">
        <v>139</v>
      </c>
      <c r="K22" s="96" t="s">
        <v>138</v>
      </c>
      <c r="L22" s="96" t="s">
        <v>138</v>
      </c>
      <c r="M22" s="96" t="s">
        <v>153</v>
      </c>
      <c r="N22" s="96" t="s">
        <v>154</v>
      </c>
      <c r="O22" s="284" t="s">
        <v>155</v>
      </c>
      <c r="P22" s="284" t="s">
        <v>201</v>
      </c>
      <c r="Q22" s="284" t="s">
        <v>202</v>
      </c>
      <c r="R22" s="128"/>
    </row>
    <row r="23" spans="1:19" s="83" customFormat="1" ht="13.5" customHeight="1">
      <c r="A23" s="112" t="s">
        <v>203</v>
      </c>
      <c r="B23" s="113" t="s">
        <v>204</v>
      </c>
      <c r="C23" s="114">
        <v>650</v>
      </c>
      <c r="D23" s="115">
        <v>6</v>
      </c>
      <c r="E23" s="114">
        <v>120</v>
      </c>
      <c r="F23" s="114">
        <v>145</v>
      </c>
      <c r="G23" s="114">
        <v>67</v>
      </c>
      <c r="H23" s="114">
        <v>1.2</v>
      </c>
      <c r="I23" s="114" t="s">
        <v>138</v>
      </c>
      <c r="J23" s="114" t="s">
        <v>139</v>
      </c>
      <c r="K23" s="114" t="s">
        <v>138</v>
      </c>
      <c r="L23" s="114" t="s">
        <v>138</v>
      </c>
      <c r="M23" s="114" t="s">
        <v>153</v>
      </c>
      <c r="N23" s="114" t="s">
        <v>154</v>
      </c>
      <c r="O23" s="285"/>
      <c r="P23" s="285"/>
      <c r="Q23" s="285"/>
      <c r="R23" s="128"/>
    </row>
    <row r="24" spans="1:19" s="93" customFormat="1" ht="15">
      <c r="A24" s="269" t="s">
        <v>205</v>
      </c>
      <c r="B24" s="269"/>
      <c r="C24" s="269"/>
      <c r="D24" s="269"/>
      <c r="E24" s="133"/>
      <c r="F24" s="133"/>
      <c r="G24" s="133"/>
      <c r="H24" s="133"/>
      <c r="I24" s="97"/>
      <c r="J24" s="97"/>
      <c r="K24" s="97"/>
      <c r="L24" s="97"/>
      <c r="M24" s="97"/>
      <c r="N24" s="134"/>
      <c r="O24" s="135"/>
      <c r="P24" s="133"/>
      <c r="Q24" s="136"/>
      <c r="R24" s="123"/>
    </row>
    <row r="25" spans="1:19" s="83" customFormat="1" ht="13.5">
      <c r="A25" s="94" t="s">
        <v>137</v>
      </c>
      <c r="B25" s="95"/>
      <c r="C25" s="96">
        <v>800</v>
      </c>
      <c r="D25" s="96">
        <v>1.2</v>
      </c>
      <c r="E25" s="96">
        <v>25</v>
      </c>
      <c r="F25" s="96">
        <v>30</v>
      </c>
      <c r="G25" s="96" t="s">
        <v>151</v>
      </c>
      <c r="H25" s="98">
        <v>7</v>
      </c>
      <c r="I25" s="96" t="s">
        <v>138</v>
      </c>
      <c r="J25" s="96" t="s">
        <v>138</v>
      </c>
      <c r="K25" s="96" t="s">
        <v>138</v>
      </c>
      <c r="L25" s="96" t="s">
        <v>138</v>
      </c>
      <c r="M25" s="96" t="s">
        <v>139</v>
      </c>
      <c r="N25" s="96" t="s">
        <v>140</v>
      </c>
      <c r="O25" s="85" t="s">
        <v>141</v>
      </c>
      <c r="P25" s="99" t="s">
        <v>142</v>
      </c>
      <c r="Q25" s="271" t="s">
        <v>143</v>
      </c>
      <c r="R25" s="137"/>
      <c r="S25" s="138"/>
    </row>
    <row r="26" spans="1:19" s="83" customFormat="1" ht="12.75">
      <c r="A26" s="94" t="s">
        <v>145</v>
      </c>
      <c r="B26" s="95"/>
      <c r="C26" s="96">
        <v>800</v>
      </c>
      <c r="D26" s="96">
        <v>2.15</v>
      </c>
      <c r="E26" s="96">
        <v>40</v>
      </c>
      <c r="F26" s="96">
        <v>50</v>
      </c>
      <c r="G26" s="96" t="s">
        <v>206</v>
      </c>
      <c r="H26" s="98">
        <v>5</v>
      </c>
      <c r="I26" s="96" t="s">
        <v>138</v>
      </c>
      <c r="J26" s="96" t="s">
        <v>138</v>
      </c>
      <c r="K26" s="96" t="s">
        <v>138</v>
      </c>
      <c r="L26" s="96" t="s">
        <v>138</v>
      </c>
      <c r="M26" s="96" t="s">
        <v>139</v>
      </c>
      <c r="N26" s="96" t="s">
        <v>140</v>
      </c>
      <c r="O26" s="85" t="s">
        <v>147</v>
      </c>
      <c r="P26" s="99" t="s">
        <v>195</v>
      </c>
      <c r="Q26" s="272"/>
      <c r="R26" s="128"/>
    </row>
    <row r="27" spans="1:19" s="83" customFormat="1" ht="12.75">
      <c r="A27" s="112" t="s">
        <v>150</v>
      </c>
      <c r="B27" s="113"/>
      <c r="C27" s="114">
        <v>800</v>
      </c>
      <c r="D27" s="115">
        <v>4</v>
      </c>
      <c r="E27" s="114">
        <v>80</v>
      </c>
      <c r="F27" s="114">
        <v>100</v>
      </c>
      <c r="G27" s="114" t="s">
        <v>169</v>
      </c>
      <c r="H27" s="115">
        <v>2</v>
      </c>
      <c r="I27" s="114" t="s">
        <v>138</v>
      </c>
      <c r="J27" s="114" t="s">
        <v>152</v>
      </c>
      <c r="K27" s="114" t="s">
        <v>138</v>
      </c>
      <c r="L27" s="114" t="s">
        <v>152</v>
      </c>
      <c r="M27" s="114" t="s">
        <v>153</v>
      </c>
      <c r="N27" s="114" t="s">
        <v>207</v>
      </c>
      <c r="O27" s="86" t="s">
        <v>155</v>
      </c>
      <c r="P27" s="114" t="s">
        <v>208</v>
      </c>
      <c r="Q27" s="105" t="s">
        <v>209</v>
      </c>
      <c r="R27" s="121" t="s">
        <v>210</v>
      </c>
    </row>
    <row r="28" spans="1:19" s="93" customFormat="1" ht="15">
      <c r="A28" s="269" t="s">
        <v>211</v>
      </c>
      <c r="B28" s="269"/>
      <c r="C28" s="269"/>
      <c r="D28" s="269"/>
      <c r="E28" s="133"/>
      <c r="F28" s="133"/>
      <c r="G28" s="133"/>
      <c r="H28" s="133"/>
      <c r="I28" s="97"/>
      <c r="J28" s="97"/>
      <c r="K28" s="97"/>
      <c r="L28" s="97"/>
      <c r="M28" s="97"/>
      <c r="N28" s="134"/>
      <c r="O28" s="135"/>
      <c r="P28" s="133"/>
      <c r="Q28" s="136"/>
      <c r="R28" s="123"/>
    </row>
    <row r="29" spans="1:19" s="83" customFormat="1" ht="12.75">
      <c r="A29" s="94" t="s">
        <v>188</v>
      </c>
      <c r="B29" s="95"/>
      <c r="C29" s="96">
        <v>650</v>
      </c>
      <c r="D29" s="96">
        <v>0.6</v>
      </c>
      <c r="E29" s="96">
        <v>15</v>
      </c>
      <c r="F29" s="96">
        <v>15</v>
      </c>
      <c r="G29" s="96" t="s">
        <v>206</v>
      </c>
      <c r="H29" s="96">
        <v>10</v>
      </c>
      <c r="I29" s="96" t="s">
        <v>138</v>
      </c>
      <c r="J29" s="96" t="s">
        <v>138</v>
      </c>
      <c r="K29" s="96" t="s">
        <v>138</v>
      </c>
      <c r="L29" s="96" t="s">
        <v>138</v>
      </c>
      <c r="M29" s="96" t="s">
        <v>139</v>
      </c>
      <c r="N29" s="96" t="s">
        <v>140</v>
      </c>
      <c r="O29" s="271" t="s">
        <v>212</v>
      </c>
      <c r="P29" s="271" t="s">
        <v>213</v>
      </c>
      <c r="Q29" s="271" t="s">
        <v>186</v>
      </c>
      <c r="R29" s="127"/>
    </row>
    <row r="30" spans="1:19" s="83" customFormat="1" ht="12.75">
      <c r="A30" s="106" t="s">
        <v>182</v>
      </c>
      <c r="B30" s="107"/>
      <c r="C30" s="108">
        <v>650</v>
      </c>
      <c r="D30" s="108">
        <v>0.6</v>
      </c>
      <c r="E30" s="108">
        <v>10</v>
      </c>
      <c r="F30" s="108">
        <v>10</v>
      </c>
      <c r="G30" s="108" t="s">
        <v>206</v>
      </c>
      <c r="H30" s="108">
        <v>10</v>
      </c>
      <c r="I30" s="108" t="s">
        <v>138</v>
      </c>
      <c r="J30" s="108" t="s">
        <v>138</v>
      </c>
      <c r="K30" s="108" t="s">
        <v>138</v>
      </c>
      <c r="L30" s="108" t="s">
        <v>138</v>
      </c>
      <c r="M30" s="108" t="s">
        <v>139</v>
      </c>
      <c r="N30" s="108" t="s">
        <v>183</v>
      </c>
      <c r="O30" s="272"/>
      <c r="P30" s="272"/>
      <c r="Q30" s="272"/>
      <c r="R30" s="128"/>
    </row>
    <row r="31" spans="1:19" s="83" customFormat="1" ht="13.5">
      <c r="A31" s="94" t="s">
        <v>214</v>
      </c>
      <c r="B31" s="95"/>
      <c r="C31" s="96">
        <v>650</v>
      </c>
      <c r="D31" s="96">
        <v>0.9</v>
      </c>
      <c r="E31" s="96">
        <v>15</v>
      </c>
      <c r="F31" s="96">
        <v>17</v>
      </c>
      <c r="G31" s="96" t="s">
        <v>151</v>
      </c>
      <c r="H31" s="98">
        <v>6</v>
      </c>
      <c r="I31" s="96" t="s">
        <v>138</v>
      </c>
      <c r="J31" s="96" t="s">
        <v>138</v>
      </c>
      <c r="K31" s="96" t="s">
        <v>138</v>
      </c>
      <c r="L31" s="96" t="s">
        <v>138</v>
      </c>
      <c r="M31" s="96" t="s">
        <v>139</v>
      </c>
      <c r="N31" s="96" t="s">
        <v>183</v>
      </c>
      <c r="O31" s="286" t="s">
        <v>141</v>
      </c>
      <c r="P31" s="271" t="s">
        <v>192</v>
      </c>
      <c r="Q31" s="272"/>
      <c r="R31" s="143"/>
      <c r="S31" s="138"/>
    </row>
    <row r="32" spans="1:19" s="83" customFormat="1" ht="12.75">
      <c r="A32" s="106" t="s">
        <v>215</v>
      </c>
      <c r="B32" s="107"/>
      <c r="C32" s="108">
        <v>650</v>
      </c>
      <c r="D32" s="108">
        <v>1.2</v>
      </c>
      <c r="E32" s="108">
        <v>25</v>
      </c>
      <c r="F32" s="108">
        <v>30</v>
      </c>
      <c r="G32" s="108">
        <v>100</v>
      </c>
      <c r="H32" s="111">
        <v>6</v>
      </c>
      <c r="I32" s="108" t="s">
        <v>138</v>
      </c>
      <c r="J32" s="108" t="s">
        <v>138</v>
      </c>
      <c r="K32" s="108" t="s">
        <v>138</v>
      </c>
      <c r="L32" s="108" t="s">
        <v>138</v>
      </c>
      <c r="M32" s="108" t="s">
        <v>153</v>
      </c>
      <c r="N32" s="108" t="s">
        <v>207</v>
      </c>
      <c r="O32" s="289"/>
      <c r="P32" s="272"/>
      <c r="Q32" s="283" t="s">
        <v>143</v>
      </c>
      <c r="R32" s="143"/>
      <c r="S32" s="144"/>
    </row>
    <row r="33" spans="1:18" s="83" customFormat="1" ht="12.75">
      <c r="A33" s="112" t="s">
        <v>191</v>
      </c>
      <c r="B33" s="113"/>
      <c r="C33" s="114">
        <v>650</v>
      </c>
      <c r="D33" s="114">
        <v>1.2</v>
      </c>
      <c r="E33" s="114">
        <v>25</v>
      </c>
      <c r="F33" s="114">
        <v>30</v>
      </c>
      <c r="G33" s="114" t="s">
        <v>146</v>
      </c>
      <c r="H33" s="115">
        <v>6</v>
      </c>
      <c r="I33" s="114" t="s">
        <v>138</v>
      </c>
      <c r="J33" s="114" t="s">
        <v>138</v>
      </c>
      <c r="K33" s="114" t="s">
        <v>138</v>
      </c>
      <c r="L33" s="114" t="s">
        <v>138</v>
      </c>
      <c r="M33" s="114" t="s">
        <v>139</v>
      </c>
      <c r="N33" s="114" t="s">
        <v>140</v>
      </c>
      <c r="O33" s="287"/>
      <c r="P33" s="273"/>
      <c r="Q33" s="283"/>
      <c r="R33" s="128"/>
    </row>
    <row r="34" spans="1:18" s="120" customFormat="1" ht="13.5" customHeight="1">
      <c r="A34" s="116" t="s">
        <v>216</v>
      </c>
      <c r="B34" s="117"/>
      <c r="C34" s="118">
        <v>650</v>
      </c>
      <c r="D34" s="145">
        <v>2.15</v>
      </c>
      <c r="E34" s="118">
        <v>25</v>
      </c>
      <c r="F34" s="118">
        <v>30</v>
      </c>
      <c r="G34" s="118" t="s">
        <v>146</v>
      </c>
      <c r="H34" s="119">
        <v>4.5</v>
      </c>
      <c r="I34" s="118" t="s">
        <v>138</v>
      </c>
      <c r="J34" s="118" t="s">
        <v>138</v>
      </c>
      <c r="K34" s="118" t="s">
        <v>138</v>
      </c>
      <c r="L34" s="118" t="s">
        <v>138</v>
      </c>
      <c r="M34" s="118" t="s">
        <v>139</v>
      </c>
      <c r="N34" s="118" t="s">
        <v>183</v>
      </c>
      <c r="O34" s="146" t="s">
        <v>217</v>
      </c>
      <c r="P34" s="272" t="s">
        <v>195</v>
      </c>
      <c r="Q34" s="283"/>
      <c r="R34" s="147"/>
    </row>
    <row r="35" spans="1:18" s="83" customFormat="1" ht="12.75">
      <c r="A35" s="106" t="s">
        <v>194</v>
      </c>
      <c r="B35" s="107"/>
      <c r="C35" s="108">
        <v>650</v>
      </c>
      <c r="D35" s="108">
        <v>2.15</v>
      </c>
      <c r="E35" s="108">
        <v>40</v>
      </c>
      <c r="F35" s="108">
        <v>50</v>
      </c>
      <c r="G35" s="108" t="s">
        <v>206</v>
      </c>
      <c r="H35" s="108">
        <v>4.5</v>
      </c>
      <c r="I35" s="108" t="s">
        <v>138</v>
      </c>
      <c r="J35" s="108" t="s">
        <v>138</v>
      </c>
      <c r="K35" s="108" t="s">
        <v>138</v>
      </c>
      <c r="L35" s="108" t="s">
        <v>138</v>
      </c>
      <c r="M35" s="108" t="s">
        <v>139</v>
      </c>
      <c r="N35" s="108" t="s">
        <v>140</v>
      </c>
      <c r="O35" s="88" t="s">
        <v>147</v>
      </c>
      <c r="P35" s="272"/>
      <c r="Q35" s="283"/>
      <c r="R35" s="128"/>
    </row>
    <row r="36" spans="1:18" s="83" customFormat="1" ht="12.75">
      <c r="A36" s="94" t="s">
        <v>200</v>
      </c>
      <c r="B36" s="95"/>
      <c r="C36" s="96">
        <v>650</v>
      </c>
      <c r="D36" s="98">
        <v>5</v>
      </c>
      <c r="E36" s="96">
        <v>100</v>
      </c>
      <c r="F36" s="96">
        <v>120</v>
      </c>
      <c r="G36" s="96">
        <v>67</v>
      </c>
      <c r="H36" s="96">
        <v>1.6</v>
      </c>
      <c r="I36" s="96" t="s">
        <v>138</v>
      </c>
      <c r="J36" s="96" t="s">
        <v>138</v>
      </c>
      <c r="K36" s="96" t="s">
        <v>138</v>
      </c>
      <c r="L36" s="96" t="s">
        <v>138</v>
      </c>
      <c r="M36" s="96" t="s">
        <v>153</v>
      </c>
      <c r="N36" s="96" t="s">
        <v>207</v>
      </c>
      <c r="O36" s="286" t="s">
        <v>155</v>
      </c>
      <c r="P36" s="284" t="s">
        <v>201</v>
      </c>
      <c r="Q36" s="288" t="s">
        <v>202</v>
      </c>
      <c r="R36" s="274"/>
    </row>
    <row r="37" spans="1:18" s="83" customFormat="1" ht="12.75">
      <c r="A37" s="112" t="s">
        <v>204</v>
      </c>
      <c r="B37" s="113"/>
      <c r="C37" s="114">
        <v>650</v>
      </c>
      <c r="D37" s="115">
        <v>6</v>
      </c>
      <c r="E37" s="114">
        <v>120</v>
      </c>
      <c r="F37" s="114">
        <v>145</v>
      </c>
      <c r="G37" s="114">
        <v>67</v>
      </c>
      <c r="H37" s="114">
        <v>1.2</v>
      </c>
      <c r="I37" s="114" t="s">
        <v>152</v>
      </c>
      <c r="J37" s="114" t="s">
        <v>152</v>
      </c>
      <c r="K37" s="114" t="s">
        <v>152</v>
      </c>
      <c r="L37" s="114" t="s">
        <v>152</v>
      </c>
      <c r="M37" s="114" t="s">
        <v>153</v>
      </c>
      <c r="N37" s="114" t="s">
        <v>154</v>
      </c>
      <c r="O37" s="287"/>
      <c r="P37" s="285"/>
      <c r="Q37" s="288"/>
      <c r="R37" s="274"/>
    </row>
    <row r="38" spans="1:18" s="83" customFormat="1" ht="12.75">
      <c r="A38" s="106" t="s">
        <v>218</v>
      </c>
      <c r="B38" s="107" t="s">
        <v>168</v>
      </c>
      <c r="C38" s="108">
        <v>650</v>
      </c>
      <c r="D38" s="111">
        <v>4</v>
      </c>
      <c r="E38" s="108">
        <v>80</v>
      </c>
      <c r="F38" s="108">
        <v>100</v>
      </c>
      <c r="G38" s="108" t="s">
        <v>219</v>
      </c>
      <c r="H38" s="108">
        <v>1.6</v>
      </c>
      <c r="I38" s="108" t="s">
        <v>152</v>
      </c>
      <c r="J38" s="108" t="s">
        <v>152</v>
      </c>
      <c r="K38" s="108" t="s">
        <v>152</v>
      </c>
      <c r="L38" s="108" t="s">
        <v>152</v>
      </c>
      <c r="M38" s="108" t="s">
        <v>153</v>
      </c>
      <c r="N38" s="108" t="s">
        <v>207</v>
      </c>
      <c r="O38" s="88" t="s">
        <v>170</v>
      </c>
      <c r="P38" s="282" t="s">
        <v>171</v>
      </c>
      <c r="Q38" s="283" t="s">
        <v>172</v>
      </c>
      <c r="R38" s="128"/>
    </row>
    <row r="39" spans="1:18" s="83" customFormat="1" ht="12.75">
      <c r="A39" s="106" t="s">
        <v>220</v>
      </c>
      <c r="B39" s="107" t="s">
        <v>221</v>
      </c>
      <c r="C39" s="108">
        <v>650</v>
      </c>
      <c r="D39" s="111">
        <v>6</v>
      </c>
      <c r="E39" s="108">
        <v>120</v>
      </c>
      <c r="F39" s="108">
        <v>145</v>
      </c>
      <c r="G39" s="108" t="s">
        <v>219</v>
      </c>
      <c r="H39" s="108">
        <v>1.2</v>
      </c>
      <c r="I39" s="108" t="s">
        <v>152</v>
      </c>
      <c r="J39" s="108" t="s">
        <v>152</v>
      </c>
      <c r="K39" s="108" t="s">
        <v>152</v>
      </c>
      <c r="L39" s="108" t="s">
        <v>152</v>
      </c>
      <c r="M39" s="108" t="s">
        <v>153</v>
      </c>
      <c r="N39" s="108" t="s">
        <v>154</v>
      </c>
      <c r="O39" s="88" t="s">
        <v>222</v>
      </c>
      <c r="P39" s="282"/>
      <c r="Q39" s="283"/>
      <c r="R39" s="128"/>
    </row>
    <row r="40" spans="1:18" s="83" customFormat="1" ht="12.75">
      <c r="A40" s="106" t="s">
        <v>223</v>
      </c>
      <c r="B40" s="107" t="s">
        <v>224</v>
      </c>
      <c r="C40" s="108">
        <v>650</v>
      </c>
      <c r="D40" s="111">
        <v>6</v>
      </c>
      <c r="E40" s="108">
        <v>120</v>
      </c>
      <c r="F40" s="108">
        <v>145</v>
      </c>
      <c r="G40" s="108" t="s">
        <v>219</v>
      </c>
      <c r="H40" s="108">
        <v>0.9</v>
      </c>
      <c r="I40" s="108" t="s">
        <v>152</v>
      </c>
      <c r="J40" s="108" t="s">
        <v>152</v>
      </c>
      <c r="K40" s="108" t="s">
        <v>152</v>
      </c>
      <c r="L40" s="108" t="s">
        <v>152</v>
      </c>
      <c r="M40" s="108" t="s">
        <v>153</v>
      </c>
      <c r="N40" s="108" t="s">
        <v>154</v>
      </c>
      <c r="O40" s="88" t="s">
        <v>225</v>
      </c>
      <c r="P40" s="282"/>
      <c r="Q40" s="283"/>
      <c r="R40" s="128"/>
    </row>
    <row r="41" spans="1:18" s="83" customFormat="1" ht="12.75">
      <c r="A41" s="106" t="s">
        <v>226</v>
      </c>
      <c r="B41" s="107" t="s">
        <v>224</v>
      </c>
      <c r="C41" s="108">
        <v>650</v>
      </c>
      <c r="D41" s="111">
        <v>8</v>
      </c>
      <c r="E41" s="108">
        <v>160</v>
      </c>
      <c r="F41" s="108">
        <v>190</v>
      </c>
      <c r="G41" s="108" t="s">
        <v>219</v>
      </c>
      <c r="H41" s="108">
        <v>0.9</v>
      </c>
      <c r="I41" s="108" t="s">
        <v>152</v>
      </c>
      <c r="J41" s="108" t="s">
        <v>152</v>
      </c>
      <c r="K41" s="108" t="s">
        <v>152</v>
      </c>
      <c r="L41" s="108" t="s">
        <v>152</v>
      </c>
      <c r="M41" s="108" t="s">
        <v>153</v>
      </c>
      <c r="N41" s="108" t="s">
        <v>154</v>
      </c>
      <c r="O41" s="88" t="s">
        <v>225</v>
      </c>
      <c r="P41" s="282"/>
      <c r="Q41" s="283"/>
      <c r="R41" s="128"/>
    </row>
    <row r="42" spans="1:18" s="83" customFormat="1" ht="12.75">
      <c r="A42" s="148" t="s">
        <v>227</v>
      </c>
      <c r="B42" s="149"/>
      <c r="C42" s="110">
        <v>650</v>
      </c>
      <c r="D42" s="150">
        <v>3.5</v>
      </c>
      <c r="E42" s="110">
        <v>70</v>
      </c>
      <c r="F42" s="110">
        <v>80</v>
      </c>
      <c r="G42" s="110" t="s">
        <v>228</v>
      </c>
      <c r="H42" s="110">
        <v>2.2000000000000002</v>
      </c>
      <c r="I42" s="110" t="s">
        <v>138</v>
      </c>
      <c r="J42" s="110" t="s">
        <v>152</v>
      </c>
      <c r="K42" s="110" t="s">
        <v>138</v>
      </c>
      <c r="L42" s="110" t="s">
        <v>152</v>
      </c>
      <c r="M42" s="110" t="s">
        <v>139</v>
      </c>
      <c r="N42" s="110" t="s">
        <v>229</v>
      </c>
      <c r="O42" s="151"/>
      <c r="P42" s="284" t="s">
        <v>176</v>
      </c>
      <c r="Q42" s="272" t="s">
        <v>177</v>
      </c>
      <c r="R42" s="277" t="s">
        <v>230</v>
      </c>
    </row>
    <row r="43" spans="1:18" s="120" customFormat="1" ht="12.75">
      <c r="A43" s="106" t="s">
        <v>231</v>
      </c>
      <c r="B43" s="107"/>
      <c r="C43" s="108">
        <v>400</v>
      </c>
      <c r="D43" s="111">
        <v>5</v>
      </c>
      <c r="E43" s="108">
        <v>100</v>
      </c>
      <c r="F43" s="108" t="s">
        <v>232</v>
      </c>
      <c r="G43" s="108" t="s">
        <v>228</v>
      </c>
      <c r="H43" s="108">
        <v>1.1000000000000001</v>
      </c>
      <c r="I43" s="108" t="s">
        <v>138</v>
      </c>
      <c r="J43" s="108" t="s">
        <v>152</v>
      </c>
      <c r="K43" s="108" t="s">
        <v>138</v>
      </c>
      <c r="L43" s="108" t="s">
        <v>152</v>
      </c>
      <c r="M43" s="108" t="s">
        <v>139</v>
      </c>
      <c r="N43" s="108" t="s">
        <v>229</v>
      </c>
      <c r="O43" s="152" t="s">
        <v>232</v>
      </c>
      <c r="P43" s="282"/>
      <c r="Q43" s="272"/>
      <c r="R43" s="278"/>
    </row>
    <row r="44" spans="1:18" s="83" customFormat="1" ht="12.75">
      <c r="A44" s="106" t="s">
        <v>233</v>
      </c>
      <c r="B44" s="107" t="s">
        <v>174</v>
      </c>
      <c r="C44" s="108">
        <v>650</v>
      </c>
      <c r="D44" s="111">
        <v>5</v>
      </c>
      <c r="E44" s="108">
        <v>100</v>
      </c>
      <c r="F44" s="108">
        <v>130</v>
      </c>
      <c r="G44" s="108" t="s">
        <v>228</v>
      </c>
      <c r="H44" s="108">
        <v>1.6</v>
      </c>
      <c r="I44" s="108" t="s">
        <v>138</v>
      </c>
      <c r="J44" s="108" t="s">
        <v>152</v>
      </c>
      <c r="K44" s="108" t="s">
        <v>138</v>
      </c>
      <c r="L44" s="108" t="s">
        <v>152</v>
      </c>
      <c r="M44" s="108" t="s">
        <v>139</v>
      </c>
      <c r="N44" s="108" t="s">
        <v>229</v>
      </c>
      <c r="O44" s="152" t="s">
        <v>170</v>
      </c>
      <c r="P44" s="282"/>
      <c r="Q44" s="272"/>
      <c r="R44" s="274"/>
    </row>
    <row r="45" spans="1:18" s="120" customFormat="1" ht="12.75">
      <c r="A45" s="116" t="s">
        <v>174</v>
      </c>
      <c r="B45" s="117"/>
      <c r="C45" s="118">
        <v>650</v>
      </c>
      <c r="D45" s="119">
        <v>5</v>
      </c>
      <c r="E45" s="118">
        <v>100</v>
      </c>
      <c r="F45" s="118">
        <v>130</v>
      </c>
      <c r="G45" s="118" t="s">
        <v>228</v>
      </c>
      <c r="H45" s="118">
        <v>1.6</v>
      </c>
      <c r="I45" s="118" t="s">
        <v>138</v>
      </c>
      <c r="J45" s="118" t="s">
        <v>152</v>
      </c>
      <c r="K45" s="118" t="s">
        <v>138</v>
      </c>
      <c r="L45" s="118" t="s">
        <v>152</v>
      </c>
      <c r="M45" s="118" t="s">
        <v>139</v>
      </c>
      <c r="N45" s="118" t="s">
        <v>229</v>
      </c>
      <c r="O45" s="152" t="s">
        <v>170</v>
      </c>
      <c r="P45" s="282"/>
      <c r="Q45" s="272"/>
      <c r="R45" s="274"/>
    </row>
    <row r="46" spans="1:18" s="83" customFormat="1" ht="12.75">
      <c r="A46" s="106" t="s">
        <v>179</v>
      </c>
      <c r="B46" s="107"/>
      <c r="C46" s="108">
        <v>650</v>
      </c>
      <c r="D46" s="111">
        <v>6</v>
      </c>
      <c r="E46" s="108">
        <v>150</v>
      </c>
      <c r="F46" s="108">
        <v>180</v>
      </c>
      <c r="G46" s="108" t="s">
        <v>228</v>
      </c>
      <c r="H46" s="108">
        <v>0.9</v>
      </c>
      <c r="I46" s="108" t="s">
        <v>138</v>
      </c>
      <c r="J46" s="108" t="s">
        <v>152</v>
      </c>
      <c r="K46" s="108" t="s">
        <v>138</v>
      </c>
      <c r="L46" s="108" t="s">
        <v>152</v>
      </c>
      <c r="M46" s="108" t="s">
        <v>139</v>
      </c>
      <c r="N46" s="108" t="s">
        <v>229</v>
      </c>
      <c r="O46" s="152" t="s">
        <v>222</v>
      </c>
      <c r="P46" s="282"/>
      <c r="Q46" s="272"/>
      <c r="R46" s="274"/>
    </row>
    <row r="47" spans="1:18" s="142" customFormat="1" ht="12.75">
      <c r="A47" s="139" t="s">
        <v>234</v>
      </c>
      <c r="B47" s="140"/>
      <c r="C47" s="141">
        <v>650</v>
      </c>
      <c r="D47" s="153">
        <v>6</v>
      </c>
      <c r="E47" s="141">
        <v>150</v>
      </c>
      <c r="F47" s="141">
        <v>180</v>
      </c>
      <c r="G47" s="141" t="s">
        <v>228</v>
      </c>
      <c r="H47" s="141">
        <v>0.9</v>
      </c>
      <c r="I47" s="141" t="s">
        <v>138</v>
      </c>
      <c r="J47" s="141" t="s">
        <v>152</v>
      </c>
      <c r="K47" s="141" t="s">
        <v>138</v>
      </c>
      <c r="L47" s="141" t="s">
        <v>152</v>
      </c>
      <c r="M47" s="141" t="s">
        <v>139</v>
      </c>
      <c r="N47" s="141" t="s">
        <v>229</v>
      </c>
      <c r="O47" s="154" t="s">
        <v>222</v>
      </c>
      <c r="P47" s="282"/>
      <c r="Q47" s="272"/>
      <c r="R47" s="274"/>
    </row>
    <row r="48" spans="1:18" s="83" customFormat="1" ht="12.75">
      <c r="A48" s="106" t="s">
        <v>235</v>
      </c>
      <c r="B48" s="107"/>
      <c r="C48" s="108">
        <v>650</v>
      </c>
      <c r="D48" s="111">
        <v>8</v>
      </c>
      <c r="E48" s="108">
        <v>200</v>
      </c>
      <c r="F48" s="108">
        <v>230</v>
      </c>
      <c r="G48" s="108" t="s">
        <v>228</v>
      </c>
      <c r="H48" s="108">
        <v>0.9</v>
      </c>
      <c r="I48" s="108" t="s">
        <v>138</v>
      </c>
      <c r="J48" s="108" t="s">
        <v>152</v>
      </c>
      <c r="K48" s="108" t="s">
        <v>138</v>
      </c>
      <c r="L48" s="108" t="s">
        <v>152</v>
      </c>
      <c r="M48" s="108" t="s">
        <v>139</v>
      </c>
      <c r="N48" s="108" t="s">
        <v>159</v>
      </c>
      <c r="O48" s="152" t="s">
        <v>225</v>
      </c>
      <c r="P48" s="282"/>
      <c r="Q48" s="272"/>
      <c r="R48" s="274"/>
    </row>
    <row r="49" spans="1:18" s="142" customFormat="1" ht="12.75">
      <c r="A49" s="139" t="s">
        <v>236</v>
      </c>
      <c r="B49" s="140"/>
      <c r="C49" s="141">
        <v>650</v>
      </c>
      <c r="D49" s="153">
        <v>8</v>
      </c>
      <c r="E49" s="141">
        <v>200</v>
      </c>
      <c r="F49" s="141">
        <v>230</v>
      </c>
      <c r="G49" s="141" t="s">
        <v>228</v>
      </c>
      <c r="H49" s="141">
        <v>0.9</v>
      </c>
      <c r="I49" s="141" t="s">
        <v>138</v>
      </c>
      <c r="J49" s="141" t="s">
        <v>152</v>
      </c>
      <c r="K49" s="141" t="s">
        <v>138</v>
      </c>
      <c r="L49" s="141" t="s">
        <v>152</v>
      </c>
      <c r="M49" s="141" t="s">
        <v>139</v>
      </c>
      <c r="N49" s="141" t="s">
        <v>159</v>
      </c>
      <c r="O49" s="154" t="s">
        <v>225</v>
      </c>
      <c r="P49" s="282"/>
      <c r="Q49" s="272"/>
      <c r="R49" s="274"/>
    </row>
    <row r="50" spans="1:18" s="142" customFormat="1" ht="12.75">
      <c r="A50" s="106" t="s">
        <v>237</v>
      </c>
      <c r="B50" s="107"/>
      <c r="C50" s="108">
        <v>650</v>
      </c>
      <c r="D50" s="111">
        <v>11.5</v>
      </c>
      <c r="E50" s="108">
        <v>270</v>
      </c>
      <c r="F50" s="108">
        <v>300</v>
      </c>
      <c r="G50" s="108" t="s">
        <v>228</v>
      </c>
      <c r="H50" s="108">
        <v>0.65</v>
      </c>
      <c r="I50" s="108" t="s">
        <v>138</v>
      </c>
      <c r="J50" s="108" t="s">
        <v>152</v>
      </c>
      <c r="K50" s="108" t="s">
        <v>138</v>
      </c>
      <c r="L50" s="108" t="s">
        <v>152</v>
      </c>
      <c r="M50" s="108" t="s">
        <v>139</v>
      </c>
      <c r="N50" s="108" t="s">
        <v>159</v>
      </c>
      <c r="O50" s="152" t="s">
        <v>232</v>
      </c>
      <c r="P50" s="282"/>
      <c r="Q50" s="272"/>
      <c r="R50" s="274"/>
    </row>
    <row r="51" spans="1:18" s="142" customFormat="1" ht="12.75">
      <c r="A51" s="139" t="s">
        <v>238</v>
      </c>
      <c r="B51" s="140"/>
      <c r="C51" s="141">
        <v>650</v>
      </c>
      <c r="D51" s="153">
        <v>11.5</v>
      </c>
      <c r="E51" s="141">
        <v>270</v>
      </c>
      <c r="F51" s="141">
        <v>300</v>
      </c>
      <c r="G51" s="141" t="s">
        <v>228</v>
      </c>
      <c r="H51" s="141">
        <v>0.65</v>
      </c>
      <c r="I51" s="141" t="s">
        <v>138</v>
      </c>
      <c r="J51" s="141" t="s">
        <v>152</v>
      </c>
      <c r="K51" s="141" t="s">
        <v>138</v>
      </c>
      <c r="L51" s="141" t="s">
        <v>152</v>
      </c>
      <c r="M51" s="141" t="s">
        <v>139</v>
      </c>
      <c r="N51" s="141" t="s">
        <v>159</v>
      </c>
      <c r="O51" s="154" t="s">
        <v>232</v>
      </c>
      <c r="P51" s="282"/>
      <c r="Q51" s="272"/>
      <c r="R51" s="274"/>
    </row>
    <row r="52" spans="1:18" s="83" customFormat="1" ht="12.75">
      <c r="A52" s="155" t="s">
        <v>239</v>
      </c>
      <c r="B52" s="156"/>
      <c r="C52" s="157">
        <v>650</v>
      </c>
      <c r="D52" s="158"/>
      <c r="E52" s="157"/>
      <c r="F52" s="157"/>
      <c r="G52" s="157" t="s">
        <v>228</v>
      </c>
      <c r="H52" s="157"/>
      <c r="I52" s="157" t="s">
        <v>138</v>
      </c>
      <c r="J52" s="157" t="s">
        <v>152</v>
      </c>
      <c r="K52" s="157" t="s">
        <v>138</v>
      </c>
      <c r="L52" s="157" t="s">
        <v>152</v>
      </c>
      <c r="M52" s="157" t="s">
        <v>139</v>
      </c>
      <c r="N52" s="157" t="s">
        <v>159</v>
      </c>
      <c r="O52" s="159" t="s">
        <v>232</v>
      </c>
      <c r="P52" s="285"/>
      <c r="Q52" s="273"/>
      <c r="R52" s="279"/>
    </row>
    <row r="53" spans="1:18" s="93" customFormat="1" ht="15">
      <c r="A53" s="269" t="s">
        <v>240</v>
      </c>
      <c r="B53" s="269"/>
      <c r="C53" s="269"/>
      <c r="D53" s="269"/>
      <c r="E53" s="160"/>
      <c r="F53" s="160"/>
      <c r="G53" s="160"/>
      <c r="H53" s="160"/>
      <c r="I53" s="161"/>
      <c r="J53" s="161"/>
      <c r="K53" s="161"/>
      <c r="L53" s="161"/>
      <c r="M53" s="161"/>
      <c r="N53" s="162"/>
      <c r="O53" s="163"/>
      <c r="P53" s="160"/>
      <c r="Q53" s="164"/>
      <c r="R53" s="123"/>
    </row>
    <row r="54" spans="1:18" s="166" customFormat="1" ht="12.75">
      <c r="A54" s="148" t="s">
        <v>241</v>
      </c>
      <c r="B54" s="149"/>
      <c r="C54" s="110">
        <v>650</v>
      </c>
      <c r="D54" s="165">
        <v>2</v>
      </c>
      <c r="E54" s="110">
        <v>55</v>
      </c>
      <c r="F54" s="110">
        <v>65</v>
      </c>
      <c r="G54" s="110">
        <v>70</v>
      </c>
      <c r="H54" s="110">
        <v>1.6</v>
      </c>
      <c r="I54" s="96" t="s">
        <v>138</v>
      </c>
      <c r="J54" s="96" t="s">
        <v>138</v>
      </c>
      <c r="K54" s="96" t="s">
        <v>138</v>
      </c>
      <c r="L54" s="96" t="s">
        <v>152</v>
      </c>
      <c r="M54" s="96" t="s">
        <v>153</v>
      </c>
      <c r="N54" s="110" t="s">
        <v>229</v>
      </c>
      <c r="O54" s="280" t="s">
        <v>155</v>
      </c>
      <c r="P54" s="270" t="s">
        <v>242</v>
      </c>
      <c r="Q54" s="271" t="s">
        <v>243</v>
      </c>
      <c r="R54" s="262" t="s">
        <v>244</v>
      </c>
    </row>
    <row r="55" spans="1:18" s="166" customFormat="1" ht="12.75">
      <c r="A55" s="167" t="s">
        <v>245</v>
      </c>
      <c r="B55" s="168"/>
      <c r="C55" s="84">
        <v>650</v>
      </c>
      <c r="D55" s="169">
        <v>3.2</v>
      </c>
      <c r="E55" s="84">
        <v>80</v>
      </c>
      <c r="F55" s="84">
        <v>95</v>
      </c>
      <c r="G55" s="84">
        <v>70</v>
      </c>
      <c r="H55" s="84">
        <v>0.9</v>
      </c>
      <c r="I55" s="114" t="s">
        <v>138</v>
      </c>
      <c r="J55" s="114" t="s">
        <v>138</v>
      </c>
      <c r="K55" s="114" t="s">
        <v>138</v>
      </c>
      <c r="L55" s="114" t="s">
        <v>152</v>
      </c>
      <c r="M55" s="114" t="s">
        <v>153</v>
      </c>
      <c r="N55" s="84" t="s">
        <v>229</v>
      </c>
      <c r="O55" s="281"/>
      <c r="P55" s="268"/>
      <c r="Q55" s="273"/>
      <c r="R55" s="264"/>
    </row>
    <row r="56" spans="1:18" s="120" customFormat="1" ht="12.75">
      <c r="A56" s="116" t="s">
        <v>246</v>
      </c>
      <c r="B56" s="117" t="s">
        <v>168</v>
      </c>
      <c r="C56" s="118">
        <v>650</v>
      </c>
      <c r="D56" s="119">
        <v>4</v>
      </c>
      <c r="E56" s="118">
        <v>80</v>
      </c>
      <c r="F56" s="118">
        <v>100</v>
      </c>
      <c r="G56" s="118" t="s">
        <v>219</v>
      </c>
      <c r="H56" s="118">
        <v>1.6</v>
      </c>
      <c r="I56" s="118" t="s">
        <v>138</v>
      </c>
      <c r="J56" s="118" t="s">
        <v>138</v>
      </c>
      <c r="K56" s="118" t="s">
        <v>138</v>
      </c>
      <c r="L56" s="118" t="s">
        <v>138</v>
      </c>
      <c r="M56" s="118" t="s">
        <v>153</v>
      </c>
      <c r="N56" s="118" t="s">
        <v>207</v>
      </c>
      <c r="O56" s="146" t="s">
        <v>170</v>
      </c>
      <c r="P56" s="267" t="s">
        <v>171</v>
      </c>
      <c r="Q56" s="272" t="s">
        <v>247</v>
      </c>
      <c r="R56" s="274" t="s">
        <v>244</v>
      </c>
    </row>
    <row r="57" spans="1:18" s="120" customFormat="1" ht="12.75">
      <c r="A57" s="116" t="s">
        <v>168</v>
      </c>
      <c r="B57" s="117"/>
      <c r="C57" s="118">
        <v>650</v>
      </c>
      <c r="D57" s="119">
        <v>4</v>
      </c>
      <c r="E57" s="118">
        <v>80</v>
      </c>
      <c r="F57" s="118">
        <v>100</v>
      </c>
      <c r="G57" s="118" t="s">
        <v>219</v>
      </c>
      <c r="H57" s="118">
        <v>1.6</v>
      </c>
      <c r="I57" s="118" t="s">
        <v>138</v>
      </c>
      <c r="J57" s="118" t="s">
        <v>138</v>
      </c>
      <c r="K57" s="118" t="s">
        <v>138</v>
      </c>
      <c r="L57" s="118" t="s">
        <v>138</v>
      </c>
      <c r="M57" s="118" t="s">
        <v>153</v>
      </c>
      <c r="N57" s="118" t="s">
        <v>207</v>
      </c>
      <c r="O57" s="146" t="s">
        <v>170</v>
      </c>
      <c r="P57" s="267"/>
      <c r="Q57" s="272"/>
      <c r="R57" s="274"/>
    </row>
    <row r="58" spans="1:18" s="83" customFormat="1" ht="12.75">
      <c r="A58" s="116" t="s">
        <v>248</v>
      </c>
      <c r="B58" s="117" t="s">
        <v>221</v>
      </c>
      <c r="C58" s="118">
        <v>650</v>
      </c>
      <c r="D58" s="119">
        <v>6</v>
      </c>
      <c r="E58" s="118">
        <v>120</v>
      </c>
      <c r="F58" s="118">
        <v>145</v>
      </c>
      <c r="G58" s="118" t="s">
        <v>219</v>
      </c>
      <c r="H58" s="118">
        <v>1.2</v>
      </c>
      <c r="I58" s="108" t="s">
        <v>138</v>
      </c>
      <c r="J58" s="108" t="s">
        <v>152</v>
      </c>
      <c r="K58" s="108" t="s">
        <v>138</v>
      </c>
      <c r="L58" s="108" t="s">
        <v>152</v>
      </c>
      <c r="M58" s="108" t="s">
        <v>153</v>
      </c>
      <c r="N58" s="118" t="s">
        <v>229</v>
      </c>
      <c r="O58" s="146" t="s">
        <v>222</v>
      </c>
      <c r="P58" s="267"/>
      <c r="Q58" s="272"/>
      <c r="R58" s="274"/>
    </row>
    <row r="59" spans="1:18" s="120" customFormat="1" ht="12.75">
      <c r="A59" s="116" t="s">
        <v>249</v>
      </c>
      <c r="B59" s="117"/>
      <c r="C59" s="118">
        <v>650</v>
      </c>
      <c r="D59" s="119">
        <v>6</v>
      </c>
      <c r="E59" s="118">
        <v>120</v>
      </c>
      <c r="F59" s="118">
        <v>145</v>
      </c>
      <c r="G59" s="118" t="s">
        <v>219</v>
      </c>
      <c r="H59" s="118">
        <v>1.2</v>
      </c>
      <c r="I59" s="108" t="s">
        <v>138</v>
      </c>
      <c r="J59" s="108" t="s">
        <v>152</v>
      </c>
      <c r="K59" s="108" t="s">
        <v>138</v>
      </c>
      <c r="L59" s="108" t="s">
        <v>152</v>
      </c>
      <c r="M59" s="108" t="s">
        <v>153</v>
      </c>
      <c r="N59" s="118" t="s">
        <v>154</v>
      </c>
      <c r="O59" s="146" t="s">
        <v>222</v>
      </c>
      <c r="P59" s="267"/>
      <c r="Q59" s="272"/>
      <c r="R59" s="274"/>
    </row>
    <row r="60" spans="1:18" s="120" customFormat="1" ht="12.75">
      <c r="A60" s="116" t="s">
        <v>221</v>
      </c>
      <c r="B60" s="117"/>
      <c r="C60" s="118">
        <v>650</v>
      </c>
      <c r="D60" s="119">
        <v>6</v>
      </c>
      <c r="E60" s="118">
        <v>120</v>
      </c>
      <c r="F60" s="118">
        <v>145</v>
      </c>
      <c r="G60" s="118" t="s">
        <v>219</v>
      </c>
      <c r="H60" s="118">
        <v>1.2</v>
      </c>
      <c r="I60" s="118" t="s">
        <v>138</v>
      </c>
      <c r="J60" s="118" t="s">
        <v>138</v>
      </c>
      <c r="K60" s="118" t="s">
        <v>138</v>
      </c>
      <c r="L60" s="118" t="s">
        <v>138</v>
      </c>
      <c r="M60" s="118" t="s">
        <v>153</v>
      </c>
      <c r="N60" s="118" t="s">
        <v>207</v>
      </c>
      <c r="O60" s="146" t="s">
        <v>222</v>
      </c>
      <c r="P60" s="267"/>
      <c r="Q60" s="272"/>
      <c r="R60" s="274"/>
    </row>
    <row r="61" spans="1:18" s="120" customFormat="1" ht="12.75">
      <c r="A61" s="116" t="s">
        <v>224</v>
      </c>
      <c r="B61" s="117"/>
      <c r="C61" s="118">
        <v>650</v>
      </c>
      <c r="D61" s="119">
        <v>8</v>
      </c>
      <c r="E61" s="118">
        <v>160</v>
      </c>
      <c r="F61" s="118">
        <v>190</v>
      </c>
      <c r="G61" s="118" t="s">
        <v>219</v>
      </c>
      <c r="H61" s="118">
        <v>0.9</v>
      </c>
      <c r="I61" s="108" t="s">
        <v>138</v>
      </c>
      <c r="J61" s="108" t="s">
        <v>138</v>
      </c>
      <c r="K61" s="108" t="s">
        <v>138</v>
      </c>
      <c r="L61" s="108" t="s">
        <v>138</v>
      </c>
      <c r="M61" s="108" t="s">
        <v>153</v>
      </c>
      <c r="N61" s="118" t="s">
        <v>154</v>
      </c>
      <c r="O61" s="146" t="s">
        <v>225</v>
      </c>
      <c r="P61" s="267"/>
      <c r="Q61" s="272"/>
      <c r="R61" s="274"/>
    </row>
    <row r="62" spans="1:18" s="120" customFormat="1" ht="12.75">
      <c r="A62" s="116" t="s">
        <v>250</v>
      </c>
      <c r="B62" s="117"/>
      <c r="C62" s="118">
        <v>650</v>
      </c>
      <c r="D62" s="119">
        <v>9.6999999999999993</v>
      </c>
      <c r="E62" s="118">
        <v>200</v>
      </c>
      <c r="F62" s="118">
        <v>240</v>
      </c>
      <c r="G62" s="118" t="s">
        <v>219</v>
      </c>
      <c r="H62" s="118">
        <v>0.65</v>
      </c>
      <c r="I62" s="108" t="s">
        <v>138</v>
      </c>
      <c r="J62" s="108" t="s">
        <v>138</v>
      </c>
      <c r="K62" s="108" t="s">
        <v>138</v>
      </c>
      <c r="L62" s="108" t="s">
        <v>138</v>
      </c>
      <c r="M62" s="108" t="s">
        <v>153</v>
      </c>
      <c r="N62" s="118" t="s">
        <v>154</v>
      </c>
      <c r="O62" s="146" t="s">
        <v>232</v>
      </c>
      <c r="P62" s="267"/>
      <c r="Q62" s="272"/>
      <c r="R62" s="274"/>
    </row>
    <row r="63" spans="1:18" s="120" customFormat="1" ht="12.75">
      <c r="A63" s="170" t="s">
        <v>251</v>
      </c>
      <c r="B63" s="171"/>
      <c r="C63" s="172">
        <v>800</v>
      </c>
      <c r="D63" s="173">
        <v>4</v>
      </c>
      <c r="E63" s="172">
        <v>80</v>
      </c>
      <c r="F63" s="172">
        <v>100</v>
      </c>
      <c r="G63" s="172">
        <v>66</v>
      </c>
      <c r="H63" s="173">
        <v>2</v>
      </c>
      <c r="I63" s="172" t="s">
        <v>152</v>
      </c>
      <c r="J63" s="172" t="s">
        <v>152</v>
      </c>
      <c r="K63" s="172" t="s">
        <v>152</v>
      </c>
      <c r="L63" s="172" t="s">
        <v>152</v>
      </c>
      <c r="M63" s="172" t="s">
        <v>153</v>
      </c>
      <c r="N63" s="172" t="s">
        <v>154</v>
      </c>
      <c r="O63" s="174" t="s">
        <v>155</v>
      </c>
      <c r="P63" s="270" t="s">
        <v>252</v>
      </c>
      <c r="Q63" s="275" t="s">
        <v>253</v>
      </c>
      <c r="R63" s="262" t="s">
        <v>254</v>
      </c>
    </row>
    <row r="64" spans="1:18" s="142" customFormat="1" ht="13.5" customHeight="1">
      <c r="A64" s="167" t="s">
        <v>165</v>
      </c>
      <c r="B64" s="168"/>
      <c r="C64" s="84">
        <v>800</v>
      </c>
      <c r="D64" s="176">
        <v>5</v>
      </c>
      <c r="E64" s="84">
        <v>110</v>
      </c>
      <c r="F64" s="84">
        <v>130</v>
      </c>
      <c r="G64" s="84">
        <v>66</v>
      </c>
      <c r="H64" s="84">
        <v>1.5</v>
      </c>
      <c r="I64" s="84" t="s">
        <v>152</v>
      </c>
      <c r="J64" s="84" t="s">
        <v>152</v>
      </c>
      <c r="K64" s="84" t="s">
        <v>152</v>
      </c>
      <c r="L64" s="84" t="s">
        <v>152</v>
      </c>
      <c r="M64" s="84" t="s">
        <v>153</v>
      </c>
      <c r="N64" s="84" t="s">
        <v>154</v>
      </c>
      <c r="O64" s="109" t="s">
        <v>155</v>
      </c>
      <c r="P64" s="268"/>
      <c r="Q64" s="276"/>
      <c r="R64" s="264"/>
    </row>
    <row r="65" spans="1:19" s="120" customFormat="1" ht="12.75">
      <c r="A65" s="116" t="s">
        <v>255</v>
      </c>
      <c r="B65" s="117"/>
      <c r="C65" s="118">
        <v>650</v>
      </c>
      <c r="D65" s="119">
        <v>4</v>
      </c>
      <c r="E65" s="118">
        <v>80</v>
      </c>
      <c r="F65" s="118">
        <v>100</v>
      </c>
      <c r="G65" s="118" t="s">
        <v>219</v>
      </c>
      <c r="H65" s="118">
        <v>1.6</v>
      </c>
      <c r="I65" s="118" t="s">
        <v>138</v>
      </c>
      <c r="J65" s="118" t="s">
        <v>138</v>
      </c>
      <c r="K65" s="118" t="s">
        <v>139</v>
      </c>
      <c r="L65" s="118" t="s">
        <v>138</v>
      </c>
      <c r="M65" s="118" t="s">
        <v>153</v>
      </c>
      <c r="N65" s="118" t="s">
        <v>207</v>
      </c>
      <c r="O65" s="146" t="s">
        <v>256</v>
      </c>
      <c r="P65" s="267" t="s">
        <v>171</v>
      </c>
      <c r="Q65" s="177"/>
      <c r="R65" s="178" t="s">
        <v>257</v>
      </c>
    </row>
    <row r="66" spans="1:19" s="142" customFormat="1" ht="13.5" customHeight="1">
      <c r="A66" s="139" t="s">
        <v>258</v>
      </c>
      <c r="B66" s="140"/>
      <c r="C66" s="141">
        <v>650</v>
      </c>
      <c r="D66" s="153">
        <v>4</v>
      </c>
      <c r="E66" s="141">
        <v>80</v>
      </c>
      <c r="F66" s="141">
        <v>100</v>
      </c>
      <c r="G66" s="141" t="s">
        <v>219</v>
      </c>
      <c r="H66" s="141">
        <v>1.6</v>
      </c>
      <c r="I66" s="141" t="s">
        <v>138</v>
      </c>
      <c r="J66" s="141" t="s">
        <v>138</v>
      </c>
      <c r="K66" s="141" t="s">
        <v>139</v>
      </c>
      <c r="L66" s="141" t="s">
        <v>138</v>
      </c>
      <c r="M66" s="141" t="s">
        <v>153</v>
      </c>
      <c r="N66" s="141" t="s">
        <v>207</v>
      </c>
      <c r="O66" s="179" t="s">
        <v>256</v>
      </c>
      <c r="P66" s="267"/>
      <c r="Q66" s="180"/>
      <c r="R66" s="181" t="s">
        <v>257</v>
      </c>
    </row>
    <row r="67" spans="1:19" s="142" customFormat="1" ht="13.5" customHeight="1">
      <c r="A67" s="139" t="s">
        <v>259</v>
      </c>
      <c r="B67" s="140"/>
      <c r="C67" s="141">
        <v>650</v>
      </c>
      <c r="D67" s="153">
        <v>4</v>
      </c>
      <c r="E67" s="141">
        <v>80</v>
      </c>
      <c r="F67" s="141">
        <v>100</v>
      </c>
      <c r="G67" s="141" t="s">
        <v>219</v>
      </c>
      <c r="H67" s="141">
        <v>1.6</v>
      </c>
      <c r="I67" s="141" t="s">
        <v>138</v>
      </c>
      <c r="J67" s="141" t="s">
        <v>138</v>
      </c>
      <c r="K67" s="141" t="s">
        <v>139</v>
      </c>
      <c r="L67" s="141" t="s">
        <v>138</v>
      </c>
      <c r="M67" s="141" t="s">
        <v>153</v>
      </c>
      <c r="N67" s="141" t="s">
        <v>207</v>
      </c>
      <c r="O67" s="179" t="s">
        <v>256</v>
      </c>
      <c r="P67" s="268"/>
      <c r="Q67" s="180"/>
      <c r="R67" s="181" t="s">
        <v>257</v>
      </c>
    </row>
    <row r="68" spans="1:19" s="120" customFormat="1" ht="13.5" customHeight="1">
      <c r="A68" s="148" t="s">
        <v>260</v>
      </c>
      <c r="B68" s="149"/>
      <c r="C68" s="110">
        <v>200</v>
      </c>
      <c r="D68" s="150">
        <v>3.2</v>
      </c>
      <c r="E68" s="182">
        <v>40</v>
      </c>
      <c r="F68" s="183" t="s">
        <v>261</v>
      </c>
      <c r="G68" s="110">
        <v>300</v>
      </c>
      <c r="H68" s="110">
        <v>0.3</v>
      </c>
      <c r="I68" s="96" t="s">
        <v>138</v>
      </c>
      <c r="J68" s="96" t="s">
        <v>139</v>
      </c>
      <c r="K68" s="96" t="s">
        <v>138</v>
      </c>
      <c r="L68" s="96" t="s">
        <v>138</v>
      </c>
      <c r="M68" s="110" t="s">
        <v>139</v>
      </c>
      <c r="N68" s="110" t="s">
        <v>229</v>
      </c>
      <c r="O68" s="131" t="s">
        <v>262</v>
      </c>
      <c r="P68" s="110" t="s">
        <v>263</v>
      </c>
      <c r="Q68" s="175"/>
      <c r="R68" s="130"/>
    </row>
    <row r="69" spans="1:19" s="142" customFormat="1" ht="13.5" customHeight="1">
      <c r="A69" s="155" t="s">
        <v>264</v>
      </c>
      <c r="B69" s="156"/>
      <c r="C69" s="157">
        <v>200</v>
      </c>
      <c r="D69" s="158"/>
      <c r="E69" s="184"/>
      <c r="F69" s="185"/>
      <c r="G69" s="157">
        <v>300</v>
      </c>
      <c r="H69" s="157"/>
      <c r="I69" s="157"/>
      <c r="J69" s="157"/>
      <c r="K69" s="157"/>
      <c r="L69" s="157"/>
      <c r="M69" s="157" t="s">
        <v>139</v>
      </c>
      <c r="N69" s="157" t="s">
        <v>265</v>
      </c>
      <c r="O69" s="185"/>
      <c r="P69" s="157" t="s">
        <v>263</v>
      </c>
      <c r="Q69" s="186"/>
      <c r="R69" s="187"/>
    </row>
    <row r="70" spans="1:19" s="93" customFormat="1" ht="15">
      <c r="A70" s="269" t="s">
        <v>266</v>
      </c>
      <c r="B70" s="269"/>
      <c r="C70" s="269"/>
      <c r="D70" s="269"/>
      <c r="E70" s="160"/>
      <c r="F70" s="160"/>
      <c r="G70" s="160"/>
      <c r="H70" s="160"/>
      <c r="I70" s="161"/>
      <c r="J70" s="161"/>
      <c r="K70" s="161"/>
      <c r="L70" s="161"/>
      <c r="M70" s="161"/>
      <c r="N70" s="162"/>
      <c r="O70" s="163"/>
      <c r="P70" s="160"/>
      <c r="Q70" s="164"/>
      <c r="R70" s="123"/>
    </row>
    <row r="71" spans="1:19" s="166" customFormat="1" ht="13.5">
      <c r="A71" s="148" t="s">
        <v>267</v>
      </c>
      <c r="B71" s="149" t="s">
        <v>268</v>
      </c>
      <c r="C71" s="110">
        <v>650</v>
      </c>
      <c r="D71" s="110">
        <v>0.6</v>
      </c>
      <c r="E71" s="110" t="s">
        <v>269</v>
      </c>
      <c r="F71" s="110" t="s">
        <v>269</v>
      </c>
      <c r="G71" s="110">
        <v>100</v>
      </c>
      <c r="H71" s="110">
        <v>18</v>
      </c>
      <c r="I71" s="96" t="s">
        <v>138</v>
      </c>
      <c r="J71" s="96" t="s">
        <v>139</v>
      </c>
      <c r="K71" s="96" t="s">
        <v>139</v>
      </c>
      <c r="L71" s="96" t="s">
        <v>138</v>
      </c>
      <c r="M71" s="96" t="s">
        <v>139</v>
      </c>
      <c r="N71" s="110" t="s">
        <v>270</v>
      </c>
      <c r="O71" s="131" t="s">
        <v>271</v>
      </c>
      <c r="P71" s="270" t="s">
        <v>185</v>
      </c>
      <c r="Q71" s="271" t="s">
        <v>272</v>
      </c>
      <c r="R71" s="262" t="s">
        <v>273</v>
      </c>
      <c r="S71" s="138"/>
    </row>
    <row r="72" spans="1:19" s="166" customFormat="1" ht="13.5">
      <c r="A72" s="116" t="s">
        <v>268</v>
      </c>
      <c r="B72" s="117"/>
      <c r="C72" s="118">
        <v>650</v>
      </c>
      <c r="D72" s="118">
        <v>0.48</v>
      </c>
      <c r="E72" s="118" t="s">
        <v>269</v>
      </c>
      <c r="F72" s="118" t="s">
        <v>269</v>
      </c>
      <c r="G72" s="118">
        <v>100</v>
      </c>
      <c r="H72" s="118">
        <v>18</v>
      </c>
      <c r="I72" s="108" t="s">
        <v>138</v>
      </c>
      <c r="J72" s="108" t="s">
        <v>139</v>
      </c>
      <c r="K72" s="108" t="s">
        <v>139</v>
      </c>
      <c r="L72" s="108" t="s">
        <v>138</v>
      </c>
      <c r="M72" s="108" t="s">
        <v>139</v>
      </c>
      <c r="N72" s="118" t="s">
        <v>270</v>
      </c>
      <c r="O72" s="146" t="s">
        <v>271</v>
      </c>
      <c r="P72" s="267"/>
      <c r="Q72" s="272"/>
      <c r="R72" s="263"/>
      <c r="S72" s="138"/>
    </row>
    <row r="73" spans="1:19" s="166" customFormat="1" ht="12.75">
      <c r="A73" s="167" t="s">
        <v>274</v>
      </c>
      <c r="B73" s="168"/>
      <c r="C73" s="84">
        <v>650</v>
      </c>
      <c r="D73" s="84">
        <v>0.3</v>
      </c>
      <c r="E73" s="84" t="s">
        <v>275</v>
      </c>
      <c r="F73" s="84" t="s">
        <v>275</v>
      </c>
      <c r="G73" s="84">
        <v>100</v>
      </c>
      <c r="H73" s="84">
        <v>38</v>
      </c>
      <c r="I73" s="114" t="s">
        <v>138</v>
      </c>
      <c r="J73" s="114" t="s">
        <v>139</v>
      </c>
      <c r="K73" s="114" t="s">
        <v>139</v>
      </c>
      <c r="L73" s="114" t="s">
        <v>138</v>
      </c>
      <c r="M73" s="114" t="s">
        <v>139</v>
      </c>
      <c r="N73" s="84" t="s">
        <v>270</v>
      </c>
      <c r="O73" s="109" t="s">
        <v>276</v>
      </c>
      <c r="P73" s="268"/>
      <c r="Q73" s="273"/>
      <c r="R73" s="264"/>
    </row>
    <row r="74" spans="1:19" s="142" customFormat="1" ht="12.75">
      <c r="A74" s="170" t="s">
        <v>277</v>
      </c>
      <c r="B74" s="171"/>
      <c r="C74" s="172">
        <v>700</v>
      </c>
      <c r="D74" s="172"/>
      <c r="E74" s="172"/>
      <c r="F74" s="172"/>
      <c r="G74" s="172">
        <v>134</v>
      </c>
      <c r="H74" s="172"/>
      <c r="I74" s="172"/>
      <c r="J74" s="172"/>
      <c r="K74" s="172"/>
      <c r="L74" s="172"/>
      <c r="M74" s="172"/>
      <c r="N74" s="172" t="s">
        <v>278</v>
      </c>
      <c r="O74" s="174"/>
      <c r="P74" s="265" t="s">
        <v>185</v>
      </c>
      <c r="Q74" s="188"/>
      <c r="R74" s="266" t="s">
        <v>273</v>
      </c>
    </row>
    <row r="75" spans="1:19" s="142" customFormat="1" ht="13.5" customHeight="1">
      <c r="A75" s="139" t="s">
        <v>279</v>
      </c>
      <c r="B75" s="140"/>
      <c r="C75" s="141">
        <v>700</v>
      </c>
      <c r="D75" s="141"/>
      <c r="E75" s="141"/>
      <c r="F75" s="141"/>
      <c r="G75" s="141">
        <v>134</v>
      </c>
      <c r="H75" s="141"/>
      <c r="I75" s="141"/>
      <c r="J75" s="141"/>
      <c r="K75" s="141"/>
      <c r="L75" s="141"/>
      <c r="M75" s="141"/>
      <c r="N75" s="141" t="s">
        <v>278</v>
      </c>
      <c r="O75" s="179"/>
      <c r="P75" s="258"/>
      <c r="Q75" s="180"/>
      <c r="R75" s="260"/>
    </row>
    <row r="76" spans="1:19" s="142" customFormat="1" ht="13.5" customHeight="1">
      <c r="A76" s="155" t="s">
        <v>281</v>
      </c>
      <c r="B76" s="156"/>
      <c r="C76" s="157">
        <v>650</v>
      </c>
      <c r="D76" s="157">
        <v>0.5</v>
      </c>
      <c r="E76" s="157"/>
      <c r="F76" s="157"/>
      <c r="G76" s="157">
        <v>70</v>
      </c>
      <c r="H76" s="157">
        <v>19</v>
      </c>
      <c r="I76" s="157" t="s">
        <v>138</v>
      </c>
      <c r="J76" s="157" t="s">
        <v>139</v>
      </c>
      <c r="K76" s="157" t="s">
        <v>138</v>
      </c>
      <c r="L76" s="157" t="s">
        <v>138</v>
      </c>
      <c r="M76" s="157" t="s">
        <v>153</v>
      </c>
      <c r="N76" s="157" t="s">
        <v>280</v>
      </c>
      <c r="O76" s="185"/>
      <c r="P76" s="157"/>
      <c r="Q76" s="186"/>
      <c r="R76" s="187"/>
    </row>
    <row r="77" spans="1:19" s="142" customFormat="1" ht="12.75">
      <c r="A77" s="190" t="s">
        <v>282</v>
      </c>
      <c r="B77" s="191"/>
      <c r="C77" s="192">
        <v>700</v>
      </c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 t="s">
        <v>283</v>
      </c>
      <c r="O77" s="193"/>
      <c r="P77" s="192" t="s">
        <v>284</v>
      </c>
      <c r="Q77" s="194"/>
      <c r="R77" s="195" t="s">
        <v>273</v>
      </c>
    </row>
    <row r="78" spans="1:19" s="142" customFormat="1" ht="12.75">
      <c r="A78" s="190" t="s">
        <v>404</v>
      </c>
      <c r="B78" s="191"/>
      <c r="C78" s="192">
        <v>650</v>
      </c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3"/>
      <c r="P78" s="192"/>
      <c r="Q78" s="194"/>
      <c r="R78" s="195"/>
    </row>
    <row r="79" spans="1:19" s="142" customFormat="1" ht="12.75">
      <c r="A79" s="190" t="s">
        <v>285</v>
      </c>
      <c r="B79" s="191"/>
      <c r="C79" s="192">
        <v>650</v>
      </c>
      <c r="D79" s="192">
        <v>1.5</v>
      </c>
      <c r="E79" s="192">
        <v>15</v>
      </c>
      <c r="F79" s="192">
        <v>17</v>
      </c>
      <c r="G79" s="192">
        <v>100</v>
      </c>
      <c r="H79" s="196">
        <v>6</v>
      </c>
      <c r="I79" s="192" t="s">
        <v>138</v>
      </c>
      <c r="J79" s="192" t="s">
        <v>405</v>
      </c>
      <c r="K79" s="192" t="s">
        <v>138</v>
      </c>
      <c r="L79" s="192" t="s">
        <v>138</v>
      </c>
      <c r="M79" s="192" t="s">
        <v>153</v>
      </c>
      <c r="N79" s="192" t="s">
        <v>183</v>
      </c>
      <c r="O79" s="193"/>
      <c r="P79" s="192" t="s">
        <v>192</v>
      </c>
      <c r="Q79" s="194"/>
      <c r="R79" s="195" t="s">
        <v>286</v>
      </c>
    </row>
    <row r="80" spans="1:19" s="142" customFormat="1" ht="12.75">
      <c r="A80" s="190" t="s">
        <v>406</v>
      </c>
      <c r="B80" s="191"/>
      <c r="C80" s="192">
        <v>650</v>
      </c>
      <c r="D80" s="192">
        <v>1.5</v>
      </c>
      <c r="E80" s="192">
        <v>15</v>
      </c>
      <c r="F80" s="192">
        <v>17</v>
      </c>
      <c r="G80" s="192">
        <v>67</v>
      </c>
      <c r="H80" s="196">
        <v>6</v>
      </c>
      <c r="I80" s="192" t="s">
        <v>405</v>
      </c>
      <c r="J80" s="192" t="s">
        <v>405</v>
      </c>
      <c r="K80" s="192" t="s">
        <v>405</v>
      </c>
      <c r="L80" s="192" t="s">
        <v>405</v>
      </c>
      <c r="M80" s="192" t="s">
        <v>407</v>
      </c>
      <c r="N80" s="192" t="s">
        <v>408</v>
      </c>
      <c r="O80" s="193"/>
      <c r="P80" s="192" t="s">
        <v>409</v>
      </c>
      <c r="Q80" s="194"/>
      <c r="R80" s="195"/>
    </row>
    <row r="81" spans="1:18" s="142" customFormat="1" ht="12.75">
      <c r="A81" s="190" t="s">
        <v>410</v>
      </c>
      <c r="B81" s="191"/>
      <c r="C81" s="192">
        <v>650</v>
      </c>
      <c r="D81" s="192">
        <v>2.15</v>
      </c>
      <c r="E81" s="192">
        <v>25</v>
      </c>
      <c r="F81" s="192">
        <v>30</v>
      </c>
      <c r="G81" s="192">
        <v>50</v>
      </c>
      <c r="H81" s="196">
        <v>4.5</v>
      </c>
      <c r="I81" s="192" t="s">
        <v>405</v>
      </c>
      <c r="J81" s="192" t="s">
        <v>405</v>
      </c>
      <c r="K81" s="192" t="s">
        <v>405</v>
      </c>
      <c r="L81" s="192" t="s">
        <v>405</v>
      </c>
      <c r="M81" s="192" t="s">
        <v>407</v>
      </c>
      <c r="N81" s="192" t="s">
        <v>408</v>
      </c>
      <c r="O81" s="193"/>
      <c r="P81" s="192" t="s">
        <v>411</v>
      </c>
      <c r="Q81" s="194"/>
      <c r="R81" s="195"/>
    </row>
    <row r="82" spans="1:18" s="142" customFormat="1" ht="12.75">
      <c r="A82" s="190" t="s">
        <v>287</v>
      </c>
      <c r="B82" s="191"/>
      <c r="C82" s="192">
        <v>650</v>
      </c>
      <c r="D82" s="192">
        <v>2.15</v>
      </c>
      <c r="E82" s="192">
        <v>25</v>
      </c>
      <c r="F82" s="192">
        <v>30</v>
      </c>
      <c r="G82" s="192">
        <v>67</v>
      </c>
      <c r="H82" s="192">
        <v>4.5</v>
      </c>
      <c r="I82" s="192" t="s">
        <v>138</v>
      </c>
      <c r="J82" s="192" t="s">
        <v>138</v>
      </c>
      <c r="K82" s="192" t="s">
        <v>138</v>
      </c>
      <c r="L82" s="192" t="s">
        <v>138</v>
      </c>
      <c r="M82" s="192" t="s">
        <v>153</v>
      </c>
      <c r="N82" s="192" t="s">
        <v>183</v>
      </c>
      <c r="O82" s="193"/>
      <c r="P82" s="192" t="s">
        <v>288</v>
      </c>
      <c r="Q82" s="194"/>
      <c r="R82" s="195" t="s">
        <v>286</v>
      </c>
    </row>
    <row r="83" spans="1:18" s="142" customFormat="1" ht="12.75">
      <c r="A83" s="170" t="s">
        <v>412</v>
      </c>
      <c r="B83" s="171"/>
      <c r="C83" s="172">
        <v>650</v>
      </c>
      <c r="D83" s="173">
        <v>2</v>
      </c>
      <c r="E83" s="172">
        <v>50</v>
      </c>
      <c r="F83" s="172">
        <v>60</v>
      </c>
      <c r="G83" s="172">
        <v>70</v>
      </c>
      <c r="H83" s="172">
        <v>2.2000000000000002</v>
      </c>
      <c r="I83" s="172" t="s">
        <v>138</v>
      </c>
      <c r="J83" s="172" t="s">
        <v>138</v>
      </c>
      <c r="K83" s="172" t="s">
        <v>138</v>
      </c>
      <c r="L83" s="172" t="s">
        <v>152</v>
      </c>
      <c r="M83" s="172" t="s">
        <v>153</v>
      </c>
      <c r="N83" s="172" t="s">
        <v>289</v>
      </c>
      <c r="O83" s="174"/>
      <c r="P83" s="265" t="s">
        <v>242</v>
      </c>
      <c r="Q83" s="188"/>
      <c r="R83" s="266" t="s">
        <v>286</v>
      </c>
    </row>
    <row r="84" spans="1:18" s="142" customFormat="1" ht="12.75">
      <c r="A84" s="139" t="s">
        <v>290</v>
      </c>
      <c r="B84" s="140"/>
      <c r="C84" s="141">
        <v>650</v>
      </c>
      <c r="D84" s="153">
        <v>2</v>
      </c>
      <c r="E84" s="141">
        <v>55</v>
      </c>
      <c r="F84" s="141">
        <v>65</v>
      </c>
      <c r="G84" s="141">
        <v>70</v>
      </c>
      <c r="H84" s="141">
        <v>1.6</v>
      </c>
      <c r="I84" s="141" t="s">
        <v>138</v>
      </c>
      <c r="J84" s="141" t="s">
        <v>138</v>
      </c>
      <c r="K84" s="141" t="s">
        <v>138</v>
      </c>
      <c r="L84" s="141" t="s">
        <v>152</v>
      </c>
      <c r="M84" s="141" t="s">
        <v>153</v>
      </c>
      <c r="N84" s="141" t="s">
        <v>289</v>
      </c>
      <c r="O84" s="179"/>
      <c r="P84" s="258"/>
      <c r="Q84" s="180"/>
      <c r="R84" s="260"/>
    </row>
    <row r="85" spans="1:18" s="142" customFormat="1" ht="12.75">
      <c r="A85" s="170" t="s">
        <v>291</v>
      </c>
      <c r="B85" s="171"/>
      <c r="C85" s="172">
        <v>650</v>
      </c>
      <c r="D85" s="172"/>
      <c r="E85" s="172">
        <v>55</v>
      </c>
      <c r="F85" s="172">
        <v>65</v>
      </c>
      <c r="G85" s="172">
        <v>70</v>
      </c>
      <c r="H85" s="172">
        <v>1.6</v>
      </c>
      <c r="I85" s="172"/>
      <c r="J85" s="172"/>
      <c r="K85" s="172"/>
      <c r="L85" s="172"/>
      <c r="M85" s="172"/>
      <c r="N85" s="172" t="s">
        <v>265</v>
      </c>
      <c r="O85" s="174"/>
      <c r="P85" s="172" t="s">
        <v>195</v>
      </c>
      <c r="Q85" s="188"/>
      <c r="R85" s="189" t="s">
        <v>286</v>
      </c>
    </row>
    <row r="86" spans="1:18" s="142" customFormat="1" ht="12.75">
      <c r="A86" s="190" t="s">
        <v>292</v>
      </c>
      <c r="B86" s="191"/>
      <c r="C86" s="192">
        <v>800</v>
      </c>
      <c r="D86" s="196">
        <v>5</v>
      </c>
      <c r="E86" s="192">
        <v>110</v>
      </c>
      <c r="F86" s="192">
        <v>130</v>
      </c>
      <c r="G86" s="192">
        <v>66</v>
      </c>
      <c r="H86" s="192">
        <v>1.5</v>
      </c>
      <c r="I86" s="192" t="s">
        <v>152</v>
      </c>
      <c r="J86" s="192" t="s">
        <v>152</v>
      </c>
      <c r="K86" s="192" t="s">
        <v>152</v>
      </c>
      <c r="L86" s="192" t="s">
        <v>152</v>
      </c>
      <c r="M86" s="192" t="s">
        <v>153</v>
      </c>
      <c r="N86" s="192" t="s">
        <v>154</v>
      </c>
      <c r="O86" s="193"/>
      <c r="P86" s="192" t="s">
        <v>284</v>
      </c>
      <c r="Q86" s="194"/>
      <c r="R86" s="195" t="s">
        <v>286</v>
      </c>
    </row>
    <row r="87" spans="1:18" s="142" customFormat="1" ht="13.5" customHeight="1">
      <c r="A87" s="139" t="s">
        <v>293</v>
      </c>
      <c r="B87" s="140"/>
      <c r="C87" s="141">
        <v>650</v>
      </c>
      <c r="D87" s="153"/>
      <c r="E87" s="141"/>
      <c r="F87" s="141"/>
      <c r="G87" s="141"/>
      <c r="H87" s="141"/>
      <c r="I87" s="141"/>
      <c r="J87" s="141"/>
      <c r="K87" s="141"/>
      <c r="L87" s="141"/>
      <c r="M87" s="141"/>
      <c r="N87" s="141" t="s">
        <v>229</v>
      </c>
      <c r="O87" s="179"/>
      <c r="P87" s="258" t="s">
        <v>413</v>
      </c>
      <c r="Q87" s="180"/>
      <c r="R87" s="260"/>
    </row>
    <row r="88" spans="1:18" s="142" customFormat="1" ht="13.5" customHeight="1">
      <c r="A88" s="139" t="s">
        <v>294</v>
      </c>
      <c r="B88" s="140"/>
      <c r="C88" s="141">
        <v>650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 t="s">
        <v>229</v>
      </c>
      <c r="O88" s="179"/>
      <c r="P88" s="258"/>
      <c r="Q88" s="180"/>
      <c r="R88" s="260"/>
    </row>
    <row r="89" spans="1:18" s="142" customFormat="1" ht="13.5" customHeight="1">
      <c r="A89" s="139" t="s">
        <v>295</v>
      </c>
      <c r="B89" s="140"/>
      <c r="C89" s="141">
        <v>650</v>
      </c>
      <c r="D89" s="153">
        <v>2</v>
      </c>
      <c r="E89" s="141">
        <v>55</v>
      </c>
      <c r="F89" s="141">
        <v>65</v>
      </c>
      <c r="G89" s="141">
        <v>70</v>
      </c>
      <c r="H89" s="141">
        <v>1.6</v>
      </c>
      <c r="I89" s="141" t="s">
        <v>138</v>
      </c>
      <c r="J89" s="141" t="s">
        <v>138</v>
      </c>
      <c r="K89" s="141" t="s">
        <v>138</v>
      </c>
      <c r="L89" s="141" t="s">
        <v>152</v>
      </c>
      <c r="M89" s="141" t="s">
        <v>153</v>
      </c>
      <c r="N89" s="141" t="s">
        <v>159</v>
      </c>
      <c r="O89" s="179"/>
      <c r="P89" s="258"/>
      <c r="Q89" s="180"/>
      <c r="R89" s="260"/>
    </row>
    <row r="90" spans="1:18" s="142" customFormat="1" ht="13.5" customHeight="1">
      <c r="A90" s="155" t="s">
        <v>296</v>
      </c>
      <c r="B90" s="156"/>
      <c r="C90" s="157">
        <v>650</v>
      </c>
      <c r="D90" s="158"/>
      <c r="E90" s="157"/>
      <c r="F90" s="157"/>
      <c r="G90" s="157"/>
      <c r="H90" s="157"/>
      <c r="I90" s="157"/>
      <c r="J90" s="157"/>
      <c r="K90" s="157"/>
      <c r="L90" s="157"/>
      <c r="M90" s="157"/>
      <c r="N90" s="157" t="s">
        <v>159</v>
      </c>
      <c r="O90" s="185"/>
      <c r="P90" s="259"/>
      <c r="Q90" s="186"/>
      <c r="R90" s="261"/>
    </row>
    <row r="91" spans="1:18" s="142" customFormat="1" ht="12.75">
      <c r="A91" s="190" t="s">
        <v>297</v>
      </c>
      <c r="B91" s="191"/>
      <c r="C91" s="192">
        <v>650</v>
      </c>
      <c r="D91" s="196"/>
      <c r="E91" s="192"/>
      <c r="F91" s="192"/>
      <c r="G91" s="192"/>
      <c r="H91" s="192"/>
      <c r="I91" s="192"/>
      <c r="J91" s="192"/>
      <c r="K91" s="192"/>
      <c r="L91" s="192"/>
      <c r="M91" s="192"/>
      <c r="N91" s="192" t="s">
        <v>159</v>
      </c>
      <c r="O91" s="193"/>
      <c r="P91" s="192" t="s">
        <v>298</v>
      </c>
      <c r="Q91" s="194"/>
      <c r="R91" s="195"/>
    </row>
    <row r="92" spans="1:18" s="166" customFormat="1" ht="12.75">
      <c r="A92" s="197"/>
      <c r="B92" s="198"/>
      <c r="C92" s="199"/>
      <c r="D92" s="200"/>
      <c r="E92" s="199"/>
      <c r="F92" s="199"/>
      <c r="G92" s="199"/>
      <c r="H92" s="199"/>
      <c r="I92" s="201" t="s">
        <v>299</v>
      </c>
      <c r="J92" s="199"/>
      <c r="K92" s="199"/>
      <c r="L92" s="199"/>
      <c r="M92" s="199"/>
      <c r="N92" s="199"/>
      <c r="O92" s="202"/>
      <c r="P92" s="202"/>
    </row>
    <row r="93" spans="1:18" s="83" customFormat="1" ht="12.75">
      <c r="A93" s="203" t="s">
        <v>300</v>
      </c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2"/>
      <c r="O93" s="202"/>
      <c r="P93" s="205"/>
    </row>
    <row r="94" spans="1:18" s="120" customFormat="1" ht="12.75">
      <c r="A94" s="206" t="s">
        <v>301</v>
      </c>
      <c r="B94" s="207"/>
      <c r="C94" s="208"/>
      <c r="D94" s="208"/>
      <c r="E94" s="208"/>
      <c r="F94" s="208"/>
      <c r="G94" s="208"/>
      <c r="H94" s="208"/>
      <c r="N94" s="209"/>
      <c r="O94" s="209"/>
    </row>
    <row r="95" spans="1:18" s="120" customFormat="1" ht="12.75">
      <c r="A95" s="210" t="s">
        <v>302</v>
      </c>
      <c r="B95" s="211" t="s">
        <v>303</v>
      </c>
      <c r="C95" s="212"/>
      <c r="D95" s="212"/>
      <c r="E95" s="212"/>
      <c r="F95" s="212"/>
      <c r="G95" s="212"/>
      <c r="H95" s="212"/>
      <c r="N95" s="209"/>
      <c r="O95" s="209"/>
    </row>
    <row r="96" spans="1:18" s="120" customFormat="1" ht="12.75">
      <c r="A96" s="213" t="s">
        <v>304</v>
      </c>
      <c r="B96" s="214" t="s">
        <v>305</v>
      </c>
      <c r="C96" s="215"/>
      <c r="D96" s="215"/>
      <c r="E96" s="215"/>
      <c r="F96" s="215"/>
      <c r="G96" s="215"/>
      <c r="H96" s="215"/>
      <c r="N96" s="209"/>
      <c r="O96" s="209"/>
    </row>
    <row r="97" spans="1:15" s="93" customFormat="1">
      <c r="A97" s="216" t="s">
        <v>414</v>
      </c>
      <c r="B97" s="217"/>
      <c r="N97" s="218"/>
      <c r="O97" s="218"/>
    </row>
    <row r="98" spans="1:15" s="93" customFormat="1">
      <c r="A98" s="219"/>
      <c r="B98" s="220"/>
      <c r="N98" s="218"/>
      <c r="O98" s="218"/>
    </row>
    <row r="99" spans="1:15" s="93" customFormat="1">
      <c r="A99" s="219"/>
      <c r="B99" s="220"/>
      <c r="N99" s="218"/>
      <c r="O99" s="218"/>
    </row>
    <row r="100" spans="1:15" s="93" customFormat="1">
      <c r="A100" s="219"/>
      <c r="B100" s="220"/>
      <c r="N100" s="218"/>
      <c r="O100" s="218"/>
    </row>
    <row r="101" spans="1:15" s="93" customFormat="1">
      <c r="A101" s="219"/>
      <c r="B101" s="220"/>
      <c r="N101" s="218"/>
      <c r="O101" s="218"/>
    </row>
    <row r="102" spans="1:15" s="93" customFormat="1">
      <c r="A102" s="219"/>
      <c r="B102" s="220"/>
      <c r="N102" s="218"/>
      <c r="O102" s="218"/>
    </row>
    <row r="103" spans="1:15" s="93" customFormat="1">
      <c r="A103" s="219"/>
      <c r="B103" s="220"/>
      <c r="N103" s="218"/>
      <c r="O103" s="218"/>
    </row>
    <row r="104" spans="1:15" s="93" customFormat="1">
      <c r="A104" s="219"/>
      <c r="B104" s="220"/>
      <c r="N104" s="218"/>
      <c r="O104" s="218"/>
    </row>
    <row r="105" spans="1:15" s="93" customFormat="1">
      <c r="A105" s="219"/>
      <c r="B105" s="220"/>
      <c r="N105" s="218"/>
      <c r="O105" s="218"/>
    </row>
    <row r="106" spans="1:15" s="93" customFormat="1">
      <c r="A106" s="219"/>
      <c r="B106" s="220"/>
      <c r="N106" s="218"/>
      <c r="O106" s="218"/>
    </row>
    <row r="107" spans="1:15" s="93" customFormat="1">
      <c r="A107" s="219"/>
      <c r="B107" s="220"/>
      <c r="N107" s="218"/>
      <c r="O107" s="218"/>
    </row>
    <row r="108" spans="1:15" s="93" customFormat="1">
      <c r="A108" s="219"/>
      <c r="B108" s="220"/>
      <c r="N108" s="218"/>
      <c r="O108" s="218"/>
    </row>
  </sheetData>
  <mergeCells count="79">
    <mergeCell ref="A1:A3"/>
    <mergeCell ref="B1:B3"/>
    <mergeCell ref="C1:H1"/>
    <mergeCell ref="I1:L1"/>
    <mergeCell ref="C2:C3"/>
    <mergeCell ref="D2:D3"/>
    <mergeCell ref="E2:F2"/>
    <mergeCell ref="G2:G3"/>
    <mergeCell ref="H2:H3"/>
    <mergeCell ref="I2:I3"/>
    <mergeCell ref="S1:S3"/>
    <mergeCell ref="T1:T3"/>
    <mergeCell ref="M1:M3"/>
    <mergeCell ref="N1:N3"/>
    <mergeCell ref="O1:O3"/>
    <mergeCell ref="P1:P3"/>
    <mergeCell ref="J2:J3"/>
    <mergeCell ref="K2:K3"/>
    <mergeCell ref="L2:L3"/>
    <mergeCell ref="Q5:Q6"/>
    <mergeCell ref="Q1:Q3"/>
    <mergeCell ref="R1:R3"/>
    <mergeCell ref="R10:R11"/>
    <mergeCell ref="O14:O15"/>
    <mergeCell ref="P14:P15"/>
    <mergeCell ref="Q14:Q15"/>
    <mergeCell ref="O7:O9"/>
    <mergeCell ref="P7:P9"/>
    <mergeCell ref="Q7:Q12"/>
    <mergeCell ref="O10:O12"/>
    <mergeCell ref="P10:P12"/>
    <mergeCell ref="O22:O23"/>
    <mergeCell ref="P22:P23"/>
    <mergeCell ref="Q22:Q23"/>
    <mergeCell ref="A24:D24"/>
    <mergeCell ref="A16:D16"/>
    <mergeCell ref="P17:P18"/>
    <mergeCell ref="Q17:Q18"/>
    <mergeCell ref="Q19:Q21"/>
    <mergeCell ref="R36:R37"/>
    <mergeCell ref="Q25:Q26"/>
    <mergeCell ref="A28:D28"/>
    <mergeCell ref="O29:O30"/>
    <mergeCell ref="P29:P30"/>
    <mergeCell ref="Q29:Q31"/>
    <mergeCell ref="O31:O33"/>
    <mergeCell ref="P31:P33"/>
    <mergeCell ref="Q32:Q35"/>
    <mergeCell ref="P34:P35"/>
    <mergeCell ref="P38:P41"/>
    <mergeCell ref="Q38:Q41"/>
    <mergeCell ref="P42:P52"/>
    <mergeCell ref="Q42:Q52"/>
    <mergeCell ref="O36:O37"/>
    <mergeCell ref="P36:P37"/>
    <mergeCell ref="Q36:Q37"/>
    <mergeCell ref="R56:R62"/>
    <mergeCell ref="P63:P64"/>
    <mergeCell ref="Q63:Q64"/>
    <mergeCell ref="R63:R64"/>
    <mergeCell ref="R42:R52"/>
    <mergeCell ref="A53:D53"/>
    <mergeCell ref="O54:O55"/>
    <mergeCell ref="P54:P55"/>
    <mergeCell ref="Q54:Q55"/>
    <mergeCell ref="R54:R55"/>
    <mergeCell ref="P65:P67"/>
    <mergeCell ref="A70:D70"/>
    <mergeCell ref="P71:P73"/>
    <mergeCell ref="Q71:Q73"/>
    <mergeCell ref="P56:P62"/>
    <mergeCell ref="Q56:Q62"/>
    <mergeCell ref="P87:P90"/>
    <mergeCell ref="R87:R90"/>
    <mergeCell ref="R71:R73"/>
    <mergeCell ref="P74:P75"/>
    <mergeCell ref="R74:R75"/>
    <mergeCell ref="P83:P84"/>
    <mergeCell ref="R83:R84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132</vt:i4>
      </vt:variant>
    </vt:vector>
  </HeadingPairs>
  <TitlesOfParts>
    <vt:vector size="135" baseType="lpstr">
      <vt:lpstr>Forward with reset winding</vt:lpstr>
      <vt:lpstr>Forward with RCD reset</vt:lpstr>
      <vt:lpstr>FPS Line up</vt:lpstr>
      <vt:lpstr>'Forward with RCD reset'!Ae</vt:lpstr>
      <vt:lpstr>Ae</vt:lpstr>
      <vt:lpstr>'Forward with RCD reset'!Ael</vt:lpstr>
      <vt:lpstr>Ael</vt:lpstr>
      <vt:lpstr>'Forward with RCD reset'!AL</vt:lpstr>
      <vt:lpstr>AL</vt:lpstr>
      <vt:lpstr>'Forward with RCD reset'!Bast</vt:lpstr>
      <vt:lpstr>Bast</vt:lpstr>
      <vt:lpstr>'Forward with RCD reset'!Bmax</vt:lpstr>
      <vt:lpstr>Bmax</vt:lpstr>
      <vt:lpstr>'Forward with RCD reset'!Bsat</vt:lpstr>
      <vt:lpstr>Bsat</vt:lpstr>
      <vt:lpstr>'Forward with RCD reset'!Co_1</vt:lpstr>
      <vt:lpstr>Co_1</vt:lpstr>
      <vt:lpstr>'Forward with RCD reset'!Co_2</vt:lpstr>
      <vt:lpstr>Co_2</vt:lpstr>
      <vt:lpstr>'Forward with RCD reset'!Co_3</vt:lpstr>
      <vt:lpstr>Co_3</vt:lpstr>
      <vt:lpstr>'Forward with RCD reset'!Co_4</vt:lpstr>
      <vt:lpstr>Co_4</vt:lpstr>
      <vt:lpstr>'Forward with RCD reset'!Dmax</vt:lpstr>
      <vt:lpstr>Dmax</vt:lpstr>
      <vt:lpstr>'Forward with RCD reset'!ffp</vt:lpstr>
      <vt:lpstr>ffp</vt:lpstr>
      <vt:lpstr>'Forward with RCD reset'!fi</vt:lpstr>
      <vt:lpstr>fi</vt:lpstr>
      <vt:lpstr>'Forward with RCD reset'!fL</vt:lpstr>
      <vt:lpstr>fL</vt:lpstr>
      <vt:lpstr>'Forward with RCD reset'!fp</vt:lpstr>
      <vt:lpstr>fp</vt:lpstr>
      <vt:lpstr>'Forward with RCD reset'!fp_1</vt:lpstr>
      <vt:lpstr>fp_1</vt:lpstr>
      <vt:lpstr>'Forward with RCD reset'!fz</vt:lpstr>
      <vt:lpstr>fz</vt:lpstr>
      <vt:lpstr>'Forward with RCD reset'!fz_1</vt:lpstr>
      <vt:lpstr>fz_1</vt:lpstr>
      <vt:lpstr>'Forward with RCD reset'!Ids_peak</vt:lpstr>
      <vt:lpstr>Ids_peak</vt:lpstr>
      <vt:lpstr>'Forward with RCD reset'!Ids_rms</vt:lpstr>
      <vt:lpstr>Ids_rms</vt:lpstr>
      <vt:lpstr>'Forward with RCD reset'!Ilim</vt:lpstr>
      <vt:lpstr>Ilim</vt:lpstr>
      <vt:lpstr>'Forward with RCD reset'!Io_1</vt:lpstr>
      <vt:lpstr>Io_1</vt:lpstr>
      <vt:lpstr>'Forward with RCD reset'!Io_2</vt:lpstr>
      <vt:lpstr>Io_2</vt:lpstr>
      <vt:lpstr>'Forward with RCD reset'!Io_3</vt:lpstr>
      <vt:lpstr>Io_3</vt:lpstr>
      <vt:lpstr>'Forward with RCD reset'!Io_4</vt:lpstr>
      <vt:lpstr>Io_4</vt:lpstr>
      <vt:lpstr>'Forward with RCD reset'!Io1rms</vt:lpstr>
      <vt:lpstr>Io1rms</vt:lpstr>
      <vt:lpstr>'Forward with RCD reset'!Io2rms</vt:lpstr>
      <vt:lpstr>Io2rms</vt:lpstr>
      <vt:lpstr>'Forward with RCD reset'!Io3rms</vt:lpstr>
      <vt:lpstr>Io3rms</vt:lpstr>
      <vt:lpstr>'Forward with RCD reset'!Io4rms</vt:lpstr>
      <vt:lpstr>Io4rms</vt:lpstr>
      <vt:lpstr>'Forward with RCD reset'!K_1</vt:lpstr>
      <vt:lpstr>K_1</vt:lpstr>
      <vt:lpstr>'Forward with RCD reset'!KRF</vt:lpstr>
      <vt:lpstr>KRF</vt:lpstr>
      <vt:lpstr>Llk</vt:lpstr>
      <vt:lpstr>'Forward with RCD reset'!Nc</vt:lpstr>
      <vt:lpstr>Nc</vt:lpstr>
      <vt:lpstr>'Forward with RCD reset'!Nl1</vt:lpstr>
      <vt:lpstr>Nl1</vt:lpstr>
      <vt:lpstr>'Forward with RCD reset'!Nl2</vt:lpstr>
      <vt:lpstr>Nl2</vt:lpstr>
      <vt:lpstr>'Forward with RCD reset'!Nl3</vt:lpstr>
      <vt:lpstr>Nl3</vt:lpstr>
      <vt:lpstr>'Forward with RCD reset'!Nl4</vt:lpstr>
      <vt:lpstr>Nl4</vt:lpstr>
      <vt:lpstr>'Forward with RCD reset'!Np</vt:lpstr>
      <vt:lpstr>Np</vt:lpstr>
      <vt:lpstr>NpNr</vt:lpstr>
      <vt:lpstr>Nr</vt:lpstr>
      <vt:lpstr>'Forward with RCD reset'!Ns1</vt:lpstr>
      <vt:lpstr>Ns1</vt:lpstr>
      <vt:lpstr>'Forward with RCD reset'!Ns2</vt:lpstr>
      <vt:lpstr>Ns2</vt:lpstr>
      <vt:lpstr>'Forward with RCD reset'!Ns3</vt:lpstr>
      <vt:lpstr>Ns3</vt:lpstr>
      <vt:lpstr>'Forward with RCD reset'!Ns4</vt:lpstr>
      <vt:lpstr>Ns4</vt:lpstr>
      <vt:lpstr>nvo</vt:lpstr>
      <vt:lpstr>'Forward with RCD reset'!Pin</vt:lpstr>
      <vt:lpstr>Pin</vt:lpstr>
      <vt:lpstr>'Forward with RCD reset'!Po</vt:lpstr>
      <vt:lpstr>Po</vt:lpstr>
      <vt:lpstr>'Forward with RCD reset'!Rc_1</vt:lpstr>
      <vt:lpstr>Rc_1</vt:lpstr>
      <vt:lpstr>'Forward with RCD reset'!Rc_2</vt:lpstr>
      <vt:lpstr>Rc_2</vt:lpstr>
      <vt:lpstr>'Forward with RCD reset'!Rc_3</vt:lpstr>
      <vt:lpstr>Rc_3</vt:lpstr>
      <vt:lpstr>'Forward with RCD reset'!Rc_4</vt:lpstr>
      <vt:lpstr>Rc_4</vt:lpstr>
      <vt:lpstr>'Forward with RCD reset'!V_line_max</vt:lpstr>
      <vt:lpstr>V_line_max</vt:lpstr>
      <vt:lpstr>'Forward with RCD reset'!V_line_min</vt:lpstr>
      <vt:lpstr>V_line_min</vt:lpstr>
      <vt:lpstr>'Forward with RCD reset'!Vcc</vt:lpstr>
      <vt:lpstr>Vcc</vt:lpstr>
      <vt:lpstr>'Forward with RCD reset'!Vdc_ccm</vt:lpstr>
      <vt:lpstr>Vdc_ccm</vt:lpstr>
      <vt:lpstr>'Forward with RCD reset'!Vdc_max</vt:lpstr>
      <vt:lpstr>Vdc_max</vt:lpstr>
      <vt:lpstr>'Forward with RCD reset'!Vdc_min</vt:lpstr>
      <vt:lpstr>Vdc_min</vt:lpstr>
      <vt:lpstr>'Forward with RCD reset'!VF1</vt:lpstr>
      <vt:lpstr>VF1</vt:lpstr>
      <vt:lpstr>'Forward with RCD reset'!VF2</vt:lpstr>
      <vt:lpstr>VF2</vt:lpstr>
      <vt:lpstr>'Forward with RCD reset'!VF3</vt:lpstr>
      <vt:lpstr>VF3</vt:lpstr>
      <vt:lpstr>'Forward with RCD reset'!VF4</vt:lpstr>
      <vt:lpstr>VF4</vt:lpstr>
      <vt:lpstr>'Forward with RCD reset'!VFC</vt:lpstr>
      <vt:lpstr>VFC</vt:lpstr>
      <vt:lpstr>'Forward with RCD reset'!Vo1</vt:lpstr>
      <vt:lpstr>Vo1</vt:lpstr>
      <vt:lpstr>'Forward with RCD reset'!Vo2</vt:lpstr>
      <vt:lpstr>Vo2</vt:lpstr>
      <vt:lpstr>'Forward with RCD reset'!Vo3</vt:lpstr>
      <vt:lpstr>Vo3</vt:lpstr>
      <vt:lpstr>'Forward with RCD reset'!Vo4</vt:lpstr>
      <vt:lpstr>Vo4</vt:lpstr>
      <vt:lpstr>'Forward with RCD reset'!VRO</vt:lpstr>
      <vt:lpstr>VRO</vt:lpstr>
      <vt:lpstr>'Forward with RCD reset'!Vsn</vt:lpstr>
      <vt:lpstr>Vsn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Tieman</dc:creator>
  <cp:lastModifiedBy>Windows User</cp:lastModifiedBy>
  <cp:lastPrinted>2003-08-20T01:49:29Z</cp:lastPrinted>
  <dcterms:created xsi:type="dcterms:W3CDTF">1997-01-10T04:21:27Z</dcterms:created>
  <dcterms:modified xsi:type="dcterms:W3CDTF">2013-04-01T16:17:27Z</dcterms:modified>
</cp:coreProperties>
</file>