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guideline'!$C$63</definedName>
    <definedName name="Ae">#REF!</definedName>
    <definedName name="AL" localSheetId="0">'FSL series design guideline'!$C$78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guideline'!$C$62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guideline'!$C$111</definedName>
    <definedName name="Co_1">#REF!</definedName>
    <definedName name="Co_2" localSheetId="0">'FSL series design guideline'!$C$112</definedName>
    <definedName name="Co_2">#REF!</definedName>
    <definedName name="Co_3" localSheetId="0">'FSL series design guideline'!$C$113</definedName>
    <definedName name="Co_3">#REF!</definedName>
    <definedName name="Co_4" localSheetId="0">'FSL series design guideline'!$C$114</definedName>
    <definedName name="Co_4">#REF!</definedName>
    <definedName name="Co_5" localSheetId="0">'FSL series design guideline'!$C$115</definedName>
    <definedName name="Co_5">#REF!</definedName>
    <definedName name="Co_6" localSheetId="0">'FSL series design guideline'!$C$116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guideline'!$C$212</definedName>
    <definedName name="ffi">#REF!</definedName>
    <definedName name="ffp" localSheetId="0">'FSL series design guideline'!$C$214</definedName>
    <definedName name="ffp">#REF!</definedName>
    <definedName name="ffz" localSheetId="0">'FSL series design guideline'!$C$213</definedName>
    <definedName name="ffz">#REF!</definedName>
    <definedName name="fi" localSheetId="0">'FSL series design guideline'!$G$145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guideline'!$G$147</definedName>
    <definedName name="fp">#REF!</definedName>
    <definedName name="fp_1" localSheetId="0">'FSL series design guideline'!$G$135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guideline'!$G$146</definedName>
    <definedName name="fz">#REF!</definedName>
    <definedName name="fz_1" localSheetId="0">'FSL series design guideline'!$G$133</definedName>
    <definedName name="fz_1">#REF!</definedName>
    <definedName name="fzr" localSheetId="0">'FSL series design guideline'!$G$134</definedName>
    <definedName name="fzr">#REF!</definedName>
    <definedName name="Ilim" localSheetId="0">'FSL series design guideline'!$C$55</definedName>
    <definedName name="Ilim">#REF!</definedName>
    <definedName name="Ilim.adj">'FSL series design guideline'!$C$57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guideline'!$G$86</definedName>
    <definedName name="Io1rms">#REF!</definedName>
    <definedName name="Io2rms" localSheetId="0">'FSL series design guideline'!$G$87</definedName>
    <definedName name="Io2rms">#REF!</definedName>
    <definedName name="Io3rms" localSheetId="0">'FSL series design guideline'!$G$88</definedName>
    <definedName name="Io3rms">#REF!</definedName>
    <definedName name="Io4rms" localSheetId="0">'FSL series design guideline'!$G$89</definedName>
    <definedName name="Io4rms">#REF!</definedName>
    <definedName name="Io5rms" localSheetId="0">'FSL series design guideline'!$G$90</definedName>
    <definedName name="Io5rms">#REF!</definedName>
    <definedName name="Io6rms" localSheetId="0">'FSL series design guideline'!$G$91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guideline'!$C$132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guideline'!$C$119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guideline'!$I$69</definedName>
    <definedName name="Nc">#REF!</definedName>
    <definedName name="Np" localSheetId="0">'FSL series design guideline'!$I$76</definedName>
    <definedName name="Np">#REF!</definedName>
    <definedName name="Ns1" localSheetId="0">'FSL series design guideline'!$I$70</definedName>
    <definedName name="Ns1">#REF!</definedName>
    <definedName name="Ns2" localSheetId="0">'FSL series design guideline'!$I$71</definedName>
    <definedName name="Ns2">#REF!</definedName>
    <definedName name="Ns3" localSheetId="0">'FSL series design guideline'!$I$72</definedName>
    <definedName name="Ns3">#REF!</definedName>
    <definedName name="Ns4" localSheetId="0">'FSL series design guideline'!$I$73</definedName>
    <definedName name="Ns4">#REF!</definedName>
    <definedName name="Ns5" localSheetId="0">'FSL series design guideline'!$I$74</definedName>
    <definedName name="Ns5">#REF!</definedName>
    <definedName name="Ns6" localSheetId="0">'FSL series design guideline'!$I$75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guideline'!$A$1:$J$178</definedName>
    <definedName name="R_1" localSheetId="0">'FSL series design guideline'!$C$137</definedName>
    <definedName name="R_1">#REF!</definedName>
    <definedName name="Rc_1" localSheetId="0">'FSL series design guideline'!$E$111</definedName>
    <definedName name="Rc_1">#REF!</definedName>
    <definedName name="Rc_2" localSheetId="0">'FSL series design guideline'!$E$112</definedName>
    <definedName name="Rc_2">#REF!</definedName>
    <definedName name="Rc_3" localSheetId="0">'FSL series design guideline'!$E$113</definedName>
    <definedName name="Rc_3">#REF!</definedName>
    <definedName name="Rc_4" localSheetId="0">'FSL series design guideline'!$E$114</definedName>
    <definedName name="Rc_4">#REF!</definedName>
    <definedName name="Rc_5" localSheetId="0">'FSL series design guideline'!$E$115</definedName>
    <definedName name="Rc_5">#REF!</definedName>
    <definedName name="Rc_6" localSheetId="0">'FSL series design guideline'!$E$116</definedName>
    <definedName name="Rc_6">#REF!</definedName>
    <definedName name="RD" localSheetId="0">'FSL series design guideline'!#REF!*1000</definedName>
    <definedName name="RD">#REF!*1000</definedName>
    <definedName name="Rpeak">'FSL series design guideline'!$C$56</definedName>
    <definedName name="Rsn" localSheetId="0">'FSL series design guideline'!$C$122*1000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guideline'!$C$69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guideline'!$E$70</definedName>
    <definedName name="VF1">#REF!</definedName>
    <definedName name="VF2" localSheetId="0">'FSL series design guideline'!$E$71</definedName>
    <definedName name="VF2">#REF!</definedName>
    <definedName name="VF3" localSheetId="0">'FSL series design guideline'!$E$72</definedName>
    <definedName name="VF3">#REF!</definedName>
    <definedName name="VF4" localSheetId="0">'FSL series design guideline'!$E$73</definedName>
    <definedName name="VF4">#REF!</definedName>
    <definedName name="VF5" localSheetId="0">'FSL series design guideline'!$E$74</definedName>
    <definedName name="VF5">#REF!</definedName>
    <definedName name="VF6" localSheetId="0">'FSL series design guideline'!$E$75</definedName>
    <definedName name="VF6">#REF!</definedName>
    <definedName name="VFC" localSheetId="0">'FSL series design guideline'!$E$69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guideline'!$C$71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guideline'!$C$120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6" authorId="1">
      <text>
        <r>
          <rPr>
            <b/>
            <sz val="8"/>
            <rFont val="Tahoma"/>
            <family val="2"/>
          </rPr>
          <t xml:space="preserve">Insert "N" in this blank, if don't want to use Rpeak </t>
        </r>
      </text>
    </comment>
    <comment ref="C55" authorId="1">
      <text>
        <r>
          <rPr>
            <b/>
            <sz val="8"/>
            <rFont val="Tahoma"/>
            <family val="2"/>
          </rPr>
          <t>FSL136HR: 2.15A
FSL136MR: 2.15A
FSL126HR: 1.5A
FSL126MR: 1.5A
FSL116HR: 1.1A
FSL116LR: 1.2A
FSL106HR: 0.7A
FSL106MR: 0.55A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2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<sst xmlns="http://schemas.openxmlformats.org/spreadsheetml/2006/main" count="337" uniqueCount="169">
  <si>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</si>
  <si>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</si>
  <si>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</si>
  <si>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</si>
  <si>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</si>
  <si>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</si>
  <si>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</si>
  <si>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</si>
  <si>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</si>
  <si>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</si>
  <si>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</si>
  <si>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</si>
  <si>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</si>
  <si>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</si>
  <si>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</si>
  <si>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</si>
  <si>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</si>
  <si>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</si>
  <si>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</si>
  <si>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</si>
  <si>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</si>
  <si>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</si>
  <si>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</si>
  <si>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</si>
  <si>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</si>
  <si>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</si>
  <si>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</si>
  <si>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</si>
  <si>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</si>
  <si>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</si>
  <si>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</si>
  <si>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</si>
  <si>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</si>
  <si>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</si>
  <si>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</si>
  <si>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</si>
  <si>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</si>
  <si>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</si>
  <si>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</si>
  <si>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</si>
  <si>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</si>
  <si>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</si>
  <si>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</si>
  <si>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</si>
  <si>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</si>
  <si>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</si>
  <si>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</si>
  <si>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</si>
  <si>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</si>
  <si>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</si>
  <si>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</si>
  <si>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</si>
  <si>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</si>
  <si>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</si>
  <si>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</si>
  <si>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</si>
  <si>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</si>
  <si>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Switching frequency of FPS (f</t>
    </r>
    <r>
      <rPr>
        <vertAlign val="subscript"/>
        <sz val="11"/>
        <color indexed="12"/>
        <rFont val="Arial"/>
        <family val="2"/>
      </rPr>
      <t>s</t>
    </r>
    <r>
      <rPr>
        <sz val="11"/>
        <color indexed="12"/>
        <rFont val="Arial"/>
        <family val="2"/>
      </rPr>
      <t>)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</si>
  <si>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</si>
  <si>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</si>
  <si>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</si>
  <si>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</si>
  <si>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</si>
  <si>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</si>
  <si>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</si>
  <si>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</si>
  <si>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</si>
  <si>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</si>
  <si>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</si>
  <si>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</si>
  <si>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</si>
  <si>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</si>
  <si>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</si>
  <si>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</si>
  <si>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</si>
  <si>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</si>
  <si>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</si>
  <si>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</si>
  <si>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</si>
  <si>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</si>
  <si>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</si>
  <si>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</si>
  <si>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</si>
  <si>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</si>
  <si>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</si>
  <si>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</si>
  <si>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</si>
  <si>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</si>
  <si>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</si>
  <si>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</si>
  <si>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</si>
  <si>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</si>
  <si>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</si>
  <si>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</si>
  <si>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</si>
  <si>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</si>
  <si>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</si>
  <si>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</si>
  <si>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</si>
  <si>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</si>
  <si>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</si>
  <si>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</si>
  <si>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</si>
  <si>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</si>
  <si>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</si>
  <si>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</si>
  <si>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</si>
  <si>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</si>
  <si>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</si>
  <si>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</si>
  <si>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</si>
  <si>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</si>
  <si>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</si>
  <si>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</si>
  <si>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</si>
  <si>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</si>
  <si>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</si>
  <si>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</si>
  <si>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Adjustable current limit resistor (R</t>
    </r>
    <r>
      <rPr>
        <vertAlign val="subscript"/>
        <sz val="11"/>
        <color indexed="12"/>
        <rFont val="Arial"/>
        <family val="2"/>
      </rPr>
      <t>peak</t>
    </r>
    <r>
      <rPr>
        <sz val="11"/>
        <color indexed="12"/>
        <rFont val="Arial"/>
        <family val="2"/>
      </rPr>
      <t>)</t>
    </r>
  </si>
  <si>
    <t>kΩ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</si>
  <si>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</si>
  <si>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</si>
  <si>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</si>
  <si>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</si>
  <si>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</si>
  <si>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</si>
  <si>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</si>
  <si>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</si>
  <si>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</si>
  <si>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</si>
  <si>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r>
      <t>Adjusted typical current limit of FPS (I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>)</t>
    </r>
  </si>
  <si>
    <t>If there is no peak power condition,</t>
  </si>
  <si>
    <t>these conditions should be same with full load.</t>
  </si>
  <si>
    <t>FSL1x6xRN series Design Assistant  ver.1.03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</si>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</sst>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u val="single"/>
      <sz val="11"/>
      <color theme="5" tint="-0.24997000396251678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9" fillId="0" borderId="0">
      <alignment/>
      <protection/>
    </xf>
    <xf numFmtId="0" fontId="7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1" borderId="1" applyNumberFormat="0" applyAlignment="0" applyProtection="0"/>
    <xf numFmtId="10" fontId="7" fillId="30" borderId="8" applyNumberFormat="0" applyBorder="0" applyAlignment="0" applyProtection="0"/>
    <xf numFmtId="0" fontId="82" fillId="0" borderId="9" applyNumberFormat="0" applyFill="0" applyAlignment="0" applyProtection="0"/>
    <xf numFmtId="0" fontId="12" fillId="0" borderId="10">
      <alignment/>
      <protection/>
    </xf>
    <xf numFmtId="0" fontId="83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0" fontId="87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200" fontId="88" fillId="41" borderId="0" xfId="0" applyNumberFormat="1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2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2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2" borderId="0" xfId="0" applyFont="1" applyFill="1" applyAlignment="1" applyProtection="1">
      <alignment vertical="center"/>
      <protection hidden="1"/>
    </xf>
    <xf numFmtId="0" fontId="24" fillId="42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horizontal="center" vertical="center"/>
      <protection hidden="1"/>
    </xf>
    <xf numFmtId="0" fontId="24" fillId="44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right" vertical="center"/>
      <protection hidden="1"/>
    </xf>
    <xf numFmtId="0" fontId="89" fillId="0" borderId="0" xfId="0" applyFont="1" applyAlignment="1" applyProtection="1">
      <alignment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1" fillId="45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2" fillId="0" borderId="0" xfId="0" applyFont="1" applyAlignment="1" applyProtection="1" quotePrefix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3" fillId="0" borderId="0" xfId="0" applyFont="1" applyFill="1" applyAlignment="1" applyProtection="1">
      <alignment vertical="center"/>
      <protection hidden="1"/>
    </xf>
    <xf numFmtId="0" fontId="93" fillId="0" borderId="0" xfId="0" applyFont="1" applyAlignment="1" applyProtection="1">
      <alignment horizontal="left"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2" borderId="0" xfId="0" applyFont="1" applyFill="1" applyAlignment="1" applyProtection="1">
      <alignment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40" fillId="42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guideline'!$B$150:$B$169</c:f>
              <c:numCache/>
            </c:numRef>
          </c:xVal>
          <c:yVal>
            <c:numRef>
              <c:f>'FSL series design guideline'!$C$150:$C$169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guideline'!$B$150:$B$169</c:f>
              <c:numCache/>
            </c:numRef>
          </c:xVal>
          <c:yVal>
            <c:numRef>
              <c:f>'FSL series design guideline'!$D$150:$D$169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guideline'!$B$150:$B$169</c:f>
              <c:numCache/>
            </c:numRef>
          </c:xVal>
          <c:yVal>
            <c:numRef>
              <c:f>'FSL series design guideline'!$E$150:$E$169</c:f>
              <c:numCache/>
            </c:numRef>
          </c:yVal>
          <c:smooth val="1"/>
        </c:ser>
        <c:axId val="37640783"/>
        <c:axId val="3222728"/>
      </c:scatterChart>
      <c:valAx>
        <c:axId val="3764078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222728"/>
        <c:crosses val="autoZero"/>
        <c:crossBetween val="midCat"/>
        <c:dispUnits/>
        <c:minorUnit val="10"/>
      </c:valAx>
      <c:valAx>
        <c:axId val="3222728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7640783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guideline'!$G$150:$G$169</c:f>
              <c:numCache/>
            </c:numRef>
          </c:xVal>
          <c:yVal>
            <c:numRef>
              <c:f>'FSL series design guideline'!$H$150:$H$169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guideline'!$G$150:$G$169</c:f>
              <c:numCache/>
            </c:numRef>
          </c:xVal>
          <c:yVal>
            <c:numRef>
              <c:f>'FSL series design guideline'!$I$150:$I$169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guideline'!$G$150:$G$169</c:f>
              <c:numCache/>
            </c:numRef>
          </c:xVal>
          <c:yVal>
            <c:numRef>
              <c:f>'FSL series design guideline'!$J$150:$J$169</c:f>
              <c:numCache/>
            </c:numRef>
          </c:yVal>
          <c:smooth val="1"/>
        </c:ser>
        <c:axId val="29004553"/>
        <c:axId val="59714386"/>
      </c:scatterChart>
      <c:valAx>
        <c:axId val="2900455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9714386"/>
        <c:crosses val="autoZero"/>
        <c:crossBetween val="midCat"/>
        <c:dispUnits/>
        <c:majorUnit val="10"/>
        <c:minorUnit val="10"/>
      </c:valAx>
      <c:valAx>
        <c:axId val="59714386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9004553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147</xdr:row>
      <xdr:rowOff>66675</xdr:rowOff>
    </xdr:from>
    <xdr:to>
      <xdr:col>9</xdr:col>
      <xdr:colOff>76200</xdr:colOff>
      <xdr:row>162</xdr:row>
      <xdr:rowOff>114300</xdr:rowOff>
    </xdr:to>
    <xdr:graphicFrame>
      <xdr:nvGraphicFramePr>
        <xdr:cNvPr id="1" name="Chart 70"/>
        <xdr:cNvGraphicFramePr/>
      </xdr:nvGraphicFramePr>
      <xdr:xfrm>
        <a:off x="161925" y="3052762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163</xdr:row>
      <xdr:rowOff>38100</xdr:rowOff>
    </xdr:from>
    <xdr:to>
      <xdr:col>9</xdr:col>
      <xdr:colOff>57150</xdr:colOff>
      <xdr:row>177</xdr:row>
      <xdr:rowOff>28575</xdr:rowOff>
    </xdr:to>
    <xdr:graphicFrame>
      <xdr:nvGraphicFramePr>
        <xdr:cNvPr id="2" name="Chart 71"/>
        <xdr:cNvGraphicFramePr/>
      </xdr:nvGraphicFramePr>
      <xdr:xfrm>
        <a:off x="161925" y="3339465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55</xdr:row>
      <xdr:rowOff>19050</xdr:rowOff>
    </xdr:from>
    <xdr:to>
      <xdr:col>13</xdr:col>
      <xdr:colOff>723900</xdr:colOff>
      <xdr:row>62</xdr:row>
      <xdr:rowOff>114300</xdr:rowOff>
    </xdr:to>
    <xdr:pic>
      <xdr:nvPicPr>
        <xdr:cNvPr id="3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11791950"/>
          <a:ext cx="2066925" cy="1609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6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7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6384" width="8.88671875" style="3" customWidth="1"/>
  </cols>
  <sheetData>
    <row r="1" spans="3:11" ht="14.25" customHeight="1">
      <c r="C1" s="89" t="s">
        <v>133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6"/>
      <c r="E11" s="1" t="s">
        <v>50</v>
      </c>
      <c r="F11" s="66"/>
      <c r="G11" s="1" t="s">
        <v>120</v>
      </c>
      <c r="H11" s="66"/>
      <c r="I11" s="1" t="s">
        <v>51</v>
      </c>
      <c r="J11" s="67"/>
      <c r="K11" s="1" t="s">
        <v>121</v>
      </c>
      <c r="L11" s="67"/>
      <c r="M11" s="1" t="s">
        <v>122</v>
      </c>
    </row>
    <row r="12" spans="2:14" ht="15">
      <c r="B12" s="9" t="s">
        <v>32</v>
      </c>
      <c r="C12" s="10">
        <v>12</v>
      </c>
      <c r="D12" s="9" t="s">
        <v>1</v>
      </c>
      <c r="E12" s="12">
        <v>1</v>
      </c>
      <c r="F12" s="9" t="s">
        <v>7</v>
      </c>
      <c r="G12" s="12">
        <v>1</v>
      </c>
      <c r="H12" s="9" t="s">
        <v>7</v>
      </c>
      <c r="I12" s="13">
        <f>Vo1*Io_1</f>
        <v>12</v>
      </c>
      <c r="J12" s="14" t="s">
        <v>3</v>
      </c>
      <c r="K12" s="13">
        <f>Vo1*Io.peak_1</f>
        <v>12</v>
      </c>
      <c r="L12" s="14" t="s">
        <v>3</v>
      </c>
      <c r="M12" s="13">
        <f aca="true" t="shared" si="0" ref="M12:M17">I12/C$18*100</f>
        <v>100</v>
      </c>
      <c r="N12" s="14" t="s">
        <v>4</v>
      </c>
    </row>
    <row r="13" spans="2:14" ht="15">
      <c r="B13" s="9" t="s">
        <v>35</v>
      </c>
      <c r="C13" s="10">
        <v>0</v>
      </c>
      <c r="D13" s="9" t="s">
        <v>1</v>
      </c>
      <c r="E13" s="12">
        <v>0</v>
      </c>
      <c r="F13" s="9" t="s">
        <v>7</v>
      </c>
      <c r="G13" s="12">
        <v>0</v>
      </c>
      <c r="H13" s="9" t="s">
        <v>7</v>
      </c>
      <c r="I13" s="13">
        <f>Vo2*Io_2</f>
        <v>0</v>
      </c>
      <c r="J13" s="14" t="s">
        <v>3</v>
      </c>
      <c r="K13" s="13">
        <f>Vo2*Io.peak_2</f>
        <v>0</v>
      </c>
      <c r="L13" s="14" t="s">
        <v>3</v>
      </c>
      <c r="M13" s="13">
        <f t="shared" si="0"/>
        <v>0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108</v>
      </c>
      <c r="C18" s="16">
        <f>SUM(I12:I17)</f>
        <v>12</v>
      </c>
      <c r="D18" s="14" t="s">
        <v>3</v>
      </c>
    </row>
    <row r="19" spans="2:4" ht="18.75">
      <c r="B19" s="9" t="s">
        <v>52</v>
      </c>
      <c r="C19" s="10">
        <v>80</v>
      </c>
      <c r="D19" s="9" t="s">
        <v>4</v>
      </c>
    </row>
    <row r="20" spans="2:4" ht="18.75">
      <c r="B20" s="14" t="s">
        <v>109</v>
      </c>
      <c r="C20" s="16">
        <f>Po/Eff</f>
        <v>15</v>
      </c>
      <c r="D20" s="14" t="s">
        <v>3</v>
      </c>
    </row>
    <row r="21" spans="2:13" ht="15">
      <c r="B21" s="14"/>
      <c r="C21" s="17"/>
      <c r="D21" s="14"/>
      <c r="F21" s="84" t="s">
        <v>131</v>
      </c>
      <c r="G21" s="84"/>
      <c r="H21" s="84"/>
      <c r="I21" s="84"/>
      <c r="J21" s="84"/>
      <c r="K21" s="84"/>
      <c r="L21" s="84"/>
      <c r="M21" s="84"/>
    </row>
    <row r="22" spans="2:14" ht="18.75">
      <c r="B22" s="14" t="s">
        <v>110</v>
      </c>
      <c r="C22" s="16">
        <f>SUM(K12:K17)</f>
        <v>12</v>
      </c>
      <c r="D22" s="14" t="s">
        <v>3</v>
      </c>
      <c r="F22" s="83" t="s">
        <v>132</v>
      </c>
      <c r="G22" s="83"/>
      <c r="H22" s="83"/>
      <c r="I22" s="83"/>
      <c r="J22" s="83"/>
      <c r="K22" s="83"/>
      <c r="L22" s="83"/>
      <c r="M22" s="83"/>
      <c r="N22" s="51"/>
    </row>
    <row r="23" spans="2:14" ht="18.75">
      <c r="B23" s="9" t="s">
        <v>52</v>
      </c>
      <c r="C23" s="10">
        <v>80</v>
      </c>
      <c r="D23" s="9" t="s">
        <v>4</v>
      </c>
      <c r="N23" s="51"/>
    </row>
    <row r="24" spans="2:14" ht="18.75">
      <c r="B24" s="14" t="s">
        <v>111</v>
      </c>
      <c r="C24" s="16">
        <f>Po.peak/C23*100</f>
        <v>15</v>
      </c>
      <c r="D24" s="14" t="s">
        <v>3</v>
      </c>
      <c r="N24" s="51"/>
    </row>
    <row r="25" ht="14.25">
      <c r="N25" s="51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1"/>
    </row>
    <row r="27" spans="2:14" ht="18.75">
      <c r="B27" s="9" t="s">
        <v>53</v>
      </c>
      <c r="C27" s="10">
        <v>47</v>
      </c>
      <c r="D27" s="9" t="s">
        <v>14</v>
      </c>
      <c r="N27" s="51"/>
    </row>
    <row r="28" spans="2:14" ht="18.75">
      <c r="B28" s="9" t="s">
        <v>114</v>
      </c>
      <c r="C28" s="10">
        <v>0.2</v>
      </c>
      <c r="D28" s="9"/>
      <c r="N28" s="51"/>
    </row>
    <row r="29" spans="2:14" ht="18.75">
      <c r="B29" s="14" t="s">
        <v>54</v>
      </c>
      <c r="C29" s="13">
        <f>SQRT(2*V_line_min^2-Pin*(1-Dch)/Cdc/fL)</f>
        <v>100.96871223831583</v>
      </c>
      <c r="D29" s="14" t="s">
        <v>1</v>
      </c>
      <c r="E29" s="72"/>
      <c r="N29" s="51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1"/>
    </row>
    <row r="31" spans="2:14" ht="15">
      <c r="B31" s="14"/>
      <c r="C31" s="75"/>
      <c r="D31" s="14"/>
      <c r="N31" s="51"/>
    </row>
    <row r="32" spans="2:14" ht="18.75">
      <c r="B32" s="14" t="s">
        <v>112</v>
      </c>
      <c r="C32" s="13">
        <f>SQRT(2*V_line_min^2-Pin.peak*(1-Dch)/Cdc/fL)</f>
        <v>100.96871223831583</v>
      </c>
      <c r="D32" s="14" t="s">
        <v>1</v>
      </c>
      <c r="N32" s="51"/>
    </row>
    <row r="33" spans="2:14" ht="18.75">
      <c r="B33" s="14" t="s">
        <v>113</v>
      </c>
      <c r="C33" s="13">
        <f>SQRT(2)*V_line_max</f>
        <v>373.3523804664971</v>
      </c>
      <c r="D33" s="14" t="s">
        <v>1</v>
      </c>
      <c r="N33" s="51"/>
    </row>
    <row r="34" ht="14.25">
      <c r="N34" s="51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1"/>
    </row>
    <row r="36" spans="2:14" ht="18.75">
      <c r="B36" s="9" t="s">
        <v>136</v>
      </c>
      <c r="C36" s="76">
        <v>79</v>
      </c>
      <c r="D36" s="73" t="s">
        <v>126</v>
      </c>
      <c r="F36" s="78">
        <f>14.6*50/8</f>
        <v>91.25</v>
      </c>
      <c r="N36" s="51"/>
    </row>
    <row r="37" spans="2:14" ht="15">
      <c r="B37" s="14" t="s">
        <v>125</v>
      </c>
      <c r="C37" s="50">
        <f>ROUNDUP(VRO/(Vdc_min+VRO),3)</f>
        <v>0.439</v>
      </c>
      <c r="D37" s="14"/>
      <c r="F37" s="18"/>
      <c r="N37" s="51"/>
    </row>
    <row r="38" spans="2:14" ht="18.75">
      <c r="B38" s="9" t="s">
        <v>124</v>
      </c>
      <c r="C38" s="10">
        <v>0.439</v>
      </c>
      <c r="D38" s="14"/>
      <c r="E38" s="71" t="str">
        <f>IF(Dmax&gt;C37,"---&gt; need to be reduced",IF(Dmax=C37,"---&gt;CCM operation","---&gt;DCM operation"))</f>
        <v>---&gt;CCM operation</v>
      </c>
      <c r="F38" s="18"/>
      <c r="N38" s="51"/>
    </row>
    <row r="39" spans="2:14" ht="18.75">
      <c r="B39" s="14" t="s">
        <v>56</v>
      </c>
      <c r="C39" s="13">
        <f>SQRT(2)*V_line_max+VRO</f>
        <v>452.3523804664971</v>
      </c>
      <c r="D39" s="14" t="s">
        <v>1</v>
      </c>
      <c r="E39" s="3">
        <f>VRO/Vo1</f>
        <v>6.583333333333333</v>
      </c>
      <c r="N39" s="51"/>
    </row>
    <row r="40" ht="14.25">
      <c r="N40" s="51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1"/>
    </row>
    <row r="42" spans="2:14" ht="18.75">
      <c r="B42" s="9" t="s">
        <v>57</v>
      </c>
      <c r="C42" s="10">
        <v>100</v>
      </c>
      <c r="D42" s="9" t="s">
        <v>42</v>
      </c>
      <c r="E42" s="71">
        <f>IF(C42=50,"",IF(C42=67,"",IF(C42=100,"","---&gt; This switching frequency is not supported by FSL1x6xRN")))</f>
      </c>
      <c r="G42" s="9"/>
      <c r="N42" s="51"/>
    </row>
    <row r="43" spans="2:14" ht="18.75">
      <c r="B43" s="9" t="s">
        <v>58</v>
      </c>
      <c r="C43" s="10">
        <v>0.385</v>
      </c>
      <c r="D43" s="9"/>
      <c r="E43" s="71" t="str">
        <f>IF(KRF&gt;1,"---&gt;KRF can not be higher than 1",IF(Dmax=C37,IF(KRF&lt;1,"---&gt;ok","---&gt;KRF should be under 1"),IF(KRF&lt;1,"---&gt;KRF should be 1","---&gt;ok")))</f>
        <v>---&gt;ok</v>
      </c>
      <c r="N43" s="51"/>
    </row>
    <row r="44" spans="2:14" ht="18.75">
      <c r="B44" s="14" t="s">
        <v>59</v>
      </c>
      <c r="C44" s="13">
        <f>(Vdc_min*Dmax)^2/(2*Pin*fs*KRF)*1000000</f>
        <v>1701.0641457124434</v>
      </c>
      <c r="D44" s="14" t="s">
        <v>5</v>
      </c>
      <c r="N44" s="51"/>
    </row>
    <row r="45" spans="2:14" ht="18.75">
      <c r="B45" s="9" t="s">
        <v>137</v>
      </c>
      <c r="C45" s="10">
        <v>5</v>
      </c>
      <c r="D45" s="14" t="s">
        <v>127</v>
      </c>
      <c r="N45" s="51"/>
    </row>
    <row r="46" spans="2:14" ht="18.75">
      <c r="B46" s="14" t="s">
        <v>60</v>
      </c>
      <c r="C46" s="19">
        <f>Pin/(Vdc_min*Dmax)+Vdc_min*Dmax/(2*Lm*(1-Lm_D/100)*fs*0.9)</f>
        <v>0.49078975896899235</v>
      </c>
      <c r="D46" s="14" t="s">
        <v>7</v>
      </c>
      <c r="N46" s="51"/>
    </row>
    <row r="47" spans="2:14" ht="18.75">
      <c r="B47" s="14" t="s">
        <v>61</v>
      </c>
      <c r="C47" s="19">
        <f>SQRT((3*(Pin/Vdc_min/Dmax)^2+(Vdc_min*Dmax/Lm/fs/2)^2)*Dmax/3)</f>
        <v>0.22969124192514084</v>
      </c>
      <c r="D47" s="14" t="s">
        <v>7</v>
      </c>
      <c r="E47" s="20"/>
      <c r="F47" s="79">
        <f>SQRT(Pin/VRO^2*Lm*fs)*VRO/(1-SQRT(Pin/VRO^2*Lm*fs))</f>
        <v>140.08490437872038</v>
      </c>
      <c r="N47" s="51"/>
    </row>
    <row r="48" spans="2:14" ht="18.75">
      <c r="B48" s="14" t="s">
        <v>129</v>
      </c>
      <c r="C48" s="13">
        <f>IF(1/(1/SQRT(2*Lm*fs*Pin)-1/VRO)&gt;0,IF(1/(1/SQRT(2*Lm*fs*Pin)-1/VRO)&gt;Vdc_max,Vdc_max,1/(1/SQRT(2*Lm*fs*Pin)-1/VRO)),Vdc_max)</f>
        <v>373.3523804664971</v>
      </c>
      <c r="D48" s="14" t="s">
        <v>1</v>
      </c>
      <c r="N48" s="51"/>
    </row>
    <row r="49" spans="2:14" ht="15">
      <c r="B49" s="14"/>
      <c r="C49" s="15"/>
      <c r="D49" s="14"/>
      <c r="N49" s="51"/>
    </row>
    <row r="50" spans="2:14" ht="15">
      <c r="B50" s="14" t="s">
        <v>128</v>
      </c>
      <c r="C50" s="13">
        <f>IF(1/(1/SQRT(2*Lm*fs*Pin.peak)-1/VRO)&gt;0,IF(1/(1/SQRT(2*Lm*fs*Pin.peak)-1/VRO)&gt;Vdc_max,Vdc_max,1/(1/SQRT(2*Lm*fs*Pin.peak)-1/VRO)),Vdc_max)</f>
        <v>373.3523804664971</v>
      </c>
      <c r="D50" s="14" t="s">
        <v>1</v>
      </c>
      <c r="N50" s="51"/>
    </row>
    <row r="51" spans="2:14" ht="18.75">
      <c r="B51" s="14" t="s">
        <v>115</v>
      </c>
      <c r="C51" s="50">
        <f>IF(C50&gt;Vdc_min_peak,VRO/(VRO+Vdc_min_peak),SQRT(2*Lm*fs*Pin.peak)/Vdc_min_peak)</f>
        <v>0.43896519021255004</v>
      </c>
      <c r="D51" s="14"/>
      <c r="E51" s="71" t="str">
        <f>IF(Dmax.peak&gt;0.71,"Need to reduce Dmax.peak",IF(C50&gt;Vdc_min_peak,"---&gt; CCM","---&gt; DCM"))</f>
        <v>---&gt; CCM</v>
      </c>
      <c r="N51" s="51"/>
    </row>
    <row r="52" spans="2:14" ht="18.75">
      <c r="B52" s="14" t="s">
        <v>116</v>
      </c>
      <c r="C52" s="19">
        <f>Pin.peak/(Vdc_min_peak*Dmax.peak)+Vdc_min_peak*Dmax.peak/(2*Lm*(1-Lm_D/100)*fs*0.9)</f>
        <v>0.4908045116571319</v>
      </c>
      <c r="D52" s="14" t="s">
        <v>117</v>
      </c>
      <c r="N52" s="51"/>
    </row>
    <row r="53" ht="14.25">
      <c r="N53" s="51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1"/>
    </row>
    <row r="55" spans="2:14" ht="18.75">
      <c r="B55" s="9" t="s">
        <v>62</v>
      </c>
      <c r="C55" s="12">
        <v>0.7</v>
      </c>
      <c r="D55" s="9" t="s">
        <v>37</v>
      </c>
      <c r="E55" s="71">
        <f>IF(C55=2.15,"",IF(C55=1.5,"",IF(C55=1.2,"",IF(C55=1.1,"",IF(C55=0.7,"",IF(C55=0.55,"","---&gt; This switching frequency is not supported by FSL1x6xRN"))))))</f>
      </c>
      <c r="N55" s="51"/>
    </row>
    <row r="56" spans="2:14" ht="18.75">
      <c r="B56" s="9" t="s">
        <v>118</v>
      </c>
      <c r="C56" s="69">
        <v>24</v>
      </c>
      <c r="D56" s="9" t="s">
        <v>119</v>
      </c>
      <c r="N56" s="51"/>
    </row>
    <row r="57" spans="2:14" ht="18.75">
      <c r="B57" s="14" t="s">
        <v>130</v>
      </c>
      <c r="C57" s="21">
        <f>_xlfn.IFERROR(Ilim*Rpeak/(6+Rpeak),Ilim)</f>
        <v>0.5599999999999999</v>
      </c>
      <c r="D57" s="14" t="s">
        <v>7</v>
      </c>
      <c r="N57" s="51"/>
    </row>
    <row r="58" spans="2:14" ht="18.75">
      <c r="B58" s="80" t="s">
        <v>138</v>
      </c>
      <c r="C58" s="19">
        <f>Ilim.adj*0.88</f>
        <v>0.49279999999999996</v>
      </c>
      <c r="D58" s="14" t="s">
        <v>7</v>
      </c>
      <c r="E58" s="23" t="s">
        <v>43</v>
      </c>
      <c r="F58" s="91">
        <f>Ipk.peak</f>
        <v>0.4908045116571319</v>
      </c>
      <c r="G58" s="93"/>
      <c r="H58" s="24" t="s">
        <v>7</v>
      </c>
      <c r="N58" s="51"/>
    </row>
    <row r="59" spans="3:14" ht="15">
      <c r="C59" s="70" t="str">
        <f>IF(C58&lt;F58,"-&gt;Higher current limit is required !!!","-&gt;O.K.")</f>
        <v>-&gt;O.K.</v>
      </c>
      <c r="N59" s="51"/>
    </row>
    <row r="60" ht="14.25">
      <c r="N60" s="51"/>
    </row>
    <row r="61" spans="1:14" ht="15">
      <c r="A61" s="7" t="s">
        <v>29</v>
      </c>
      <c r="B61" s="7"/>
      <c r="C61" s="7"/>
      <c r="D61" s="7"/>
      <c r="E61" s="7"/>
      <c r="F61" s="7"/>
      <c r="G61" s="7"/>
      <c r="H61" s="7"/>
      <c r="I61" s="7"/>
      <c r="N61" s="51"/>
    </row>
    <row r="62" spans="2:14" ht="18.75">
      <c r="B62" s="9" t="s">
        <v>63</v>
      </c>
      <c r="C62" s="12">
        <v>0.32</v>
      </c>
      <c r="D62" s="9" t="s">
        <v>9</v>
      </c>
      <c r="E62" s="20"/>
      <c r="N62" s="51"/>
    </row>
    <row r="63" spans="2:14" ht="18.75">
      <c r="B63" s="9" t="s">
        <v>64</v>
      </c>
      <c r="C63" s="10">
        <v>31</v>
      </c>
      <c r="D63" s="9" t="s">
        <v>65</v>
      </c>
      <c r="E63" s="20"/>
      <c r="N63" s="51"/>
    </row>
    <row r="64" spans="2:14" ht="17.25">
      <c r="B64" s="80" t="s">
        <v>139</v>
      </c>
      <c r="C64" s="16">
        <f>Lm*(1+Lm_D/100)*Ilim.adj*1.12/Bsat/Ae*1000000</f>
        <v>112.92871006052287</v>
      </c>
      <c r="D64" s="14" t="s">
        <v>9</v>
      </c>
      <c r="E64" s="20"/>
      <c r="N64" s="51"/>
    </row>
    <row r="65" spans="6:14" ht="15">
      <c r="F65" s="24"/>
      <c r="G65" s="24"/>
      <c r="H65" s="24"/>
      <c r="I65" s="24"/>
      <c r="K65" s="9"/>
      <c r="N65" s="51"/>
    </row>
    <row r="66" spans="1:14" ht="15">
      <c r="A66" s="7" t="s">
        <v>36</v>
      </c>
      <c r="B66" s="7"/>
      <c r="C66" s="7"/>
      <c r="D66" s="7"/>
      <c r="E66" s="7"/>
      <c r="F66" s="7"/>
      <c r="G66" s="7"/>
      <c r="H66" s="7"/>
      <c r="I66" s="7"/>
      <c r="N66" s="51"/>
    </row>
    <row r="67" spans="12:14" ht="14.25">
      <c r="L67" s="51"/>
      <c r="N67" s="51"/>
    </row>
    <row r="68" spans="2:14" ht="16.5">
      <c r="B68" s="11"/>
      <c r="C68" s="1" t="s">
        <v>49</v>
      </c>
      <c r="D68" s="66"/>
      <c r="E68" s="1" t="s">
        <v>66</v>
      </c>
      <c r="F68" s="11"/>
      <c r="G68" s="11"/>
      <c r="H68" s="68"/>
      <c r="I68" s="87" t="s">
        <v>123</v>
      </c>
      <c r="J68" s="87"/>
      <c r="L68" s="51"/>
      <c r="N68" s="51"/>
    </row>
    <row r="69" spans="2:14" ht="15">
      <c r="B69" s="80" t="s">
        <v>140</v>
      </c>
      <c r="C69" s="10">
        <v>12</v>
      </c>
      <c r="D69" s="9" t="s">
        <v>1</v>
      </c>
      <c r="E69" s="10">
        <v>1</v>
      </c>
      <c r="F69" s="9" t="s">
        <v>1</v>
      </c>
      <c r="G69" s="26">
        <f>Ns1*(Vcc+VFC)/(Vo1+VF1)</f>
        <v>18.72</v>
      </c>
      <c r="H69" s="27" t="s">
        <v>10</v>
      </c>
      <c r="I69" s="28">
        <f>ROUND(G69,0)</f>
        <v>19</v>
      </c>
      <c r="J69" s="14" t="s">
        <v>9</v>
      </c>
      <c r="L69" s="51"/>
      <c r="N69" s="51"/>
    </row>
    <row r="70" spans="2:14" ht="15">
      <c r="B70" s="80" t="s">
        <v>141</v>
      </c>
      <c r="C70" s="29">
        <f>Vo1</f>
        <v>12</v>
      </c>
      <c r="D70" s="22" t="s">
        <v>1</v>
      </c>
      <c r="E70" s="10">
        <v>0.5</v>
      </c>
      <c r="F70" s="9" t="s">
        <v>1</v>
      </c>
      <c r="G70" s="30">
        <v>18</v>
      </c>
      <c r="H70" s="27" t="s">
        <v>10</v>
      </c>
      <c r="I70" s="28">
        <f aca="true" t="shared" si="1" ref="I70:I75">ROUND(G70,0)</f>
        <v>18</v>
      </c>
      <c r="J70" s="14" t="s">
        <v>9</v>
      </c>
      <c r="L70" s="51"/>
      <c r="N70" s="51"/>
    </row>
    <row r="71" spans="2:14" ht="15">
      <c r="B71" s="80" t="s">
        <v>142</v>
      </c>
      <c r="C71" s="29">
        <f>'FSL series design guideline'!Vo2</f>
        <v>0</v>
      </c>
      <c r="D71" s="22" t="s">
        <v>1</v>
      </c>
      <c r="E71" s="10">
        <v>1</v>
      </c>
      <c r="F71" s="9" t="s">
        <v>1</v>
      </c>
      <c r="G71" s="26">
        <f>Ns1*(Vo2.real+VF2)/(Vo1+VF1)</f>
        <v>1.44</v>
      </c>
      <c r="H71" s="27" t="s">
        <v>10</v>
      </c>
      <c r="I71" s="28">
        <f t="shared" si="1"/>
        <v>1</v>
      </c>
      <c r="J71" s="14" t="s">
        <v>9</v>
      </c>
      <c r="L71" s="51"/>
      <c r="N71" s="51"/>
    </row>
    <row r="72" spans="2:14" ht="15">
      <c r="B72" s="80" t="s">
        <v>143</v>
      </c>
      <c r="C72" s="29">
        <f>Vo3</f>
        <v>0</v>
      </c>
      <c r="D72" s="22" t="s">
        <v>1</v>
      </c>
      <c r="E72" s="10">
        <v>1</v>
      </c>
      <c r="F72" s="9" t="s">
        <v>1</v>
      </c>
      <c r="G72" s="26">
        <f>Ns1*(Vo3+VF3)/(Vo1+VF1)</f>
        <v>1.44</v>
      </c>
      <c r="H72" s="27" t="s">
        <v>10</v>
      </c>
      <c r="I72" s="28">
        <f t="shared" si="1"/>
        <v>1</v>
      </c>
      <c r="J72" s="14" t="s">
        <v>9</v>
      </c>
      <c r="L72" s="51"/>
      <c r="N72" s="51"/>
    </row>
    <row r="73" spans="2:14" ht="15">
      <c r="B73" s="80" t="s">
        <v>144</v>
      </c>
      <c r="C73" s="29">
        <f>Vo4</f>
        <v>0</v>
      </c>
      <c r="D73" s="22" t="s">
        <v>1</v>
      </c>
      <c r="E73" s="10">
        <v>0</v>
      </c>
      <c r="F73" s="9" t="s">
        <v>1</v>
      </c>
      <c r="G73" s="26">
        <f>Ns1*(Vo4+VF4)/(Vo1+VF1)</f>
        <v>0</v>
      </c>
      <c r="H73" s="27" t="s">
        <v>10</v>
      </c>
      <c r="I73" s="28">
        <f t="shared" si="1"/>
        <v>0</v>
      </c>
      <c r="J73" s="14" t="s">
        <v>9</v>
      </c>
      <c r="L73" s="51"/>
      <c r="N73" s="51"/>
    </row>
    <row r="74" spans="2:14" ht="15">
      <c r="B74" s="80" t="s">
        <v>145</v>
      </c>
      <c r="C74" s="29">
        <f>Vo5</f>
        <v>0</v>
      </c>
      <c r="D74" s="22" t="s">
        <v>1</v>
      </c>
      <c r="E74" s="10">
        <v>0</v>
      </c>
      <c r="F74" s="9" t="s">
        <v>1</v>
      </c>
      <c r="G74" s="26">
        <f>Ns1*(Vo5+VF5)/(Vo1+VF1)</f>
        <v>0</v>
      </c>
      <c r="H74" s="27" t="s">
        <v>10</v>
      </c>
      <c r="I74" s="28">
        <f t="shared" si="1"/>
        <v>0</v>
      </c>
      <c r="J74" s="14" t="s">
        <v>9</v>
      </c>
      <c r="L74" s="51"/>
      <c r="N74" s="51"/>
    </row>
    <row r="75" spans="2:14" ht="15">
      <c r="B75" s="80" t="s">
        <v>146</v>
      </c>
      <c r="C75" s="31">
        <f>Vo6</f>
        <v>0</v>
      </c>
      <c r="D75" s="22" t="s">
        <v>1</v>
      </c>
      <c r="E75" s="10">
        <v>0</v>
      </c>
      <c r="F75" s="9" t="s">
        <v>1</v>
      </c>
      <c r="G75" s="26">
        <f>Ns1*(Vo6+VF6)/(Vo1+VF1)</f>
        <v>0</v>
      </c>
      <c r="H75" s="27" t="s">
        <v>10</v>
      </c>
      <c r="I75" s="28">
        <f t="shared" si="1"/>
        <v>0</v>
      </c>
      <c r="J75" s="14" t="s">
        <v>9</v>
      </c>
      <c r="L75" s="51"/>
      <c r="N75" s="51"/>
    </row>
    <row r="76" spans="2:14" ht="16.5">
      <c r="B76" s="32" t="s">
        <v>44</v>
      </c>
      <c r="E76" s="33" t="s">
        <v>67</v>
      </c>
      <c r="F76" s="33"/>
      <c r="G76" s="33"/>
      <c r="H76" s="33"/>
      <c r="I76" s="13">
        <f>VRO/(C70+E70)*Ns1</f>
        <v>113.76</v>
      </c>
      <c r="J76" s="14" t="s">
        <v>9</v>
      </c>
      <c r="L76" s="51"/>
      <c r="N76" s="51"/>
    </row>
    <row r="77" spans="4:14" ht="15">
      <c r="D77" s="33"/>
      <c r="E77" s="25" t="str">
        <f>IF(I76&lt;C64,"---&gt;More turns required !!!","---&gt;enough turns")</f>
        <v>---&gt;enough turns</v>
      </c>
      <c r="F77" s="25"/>
      <c r="G77" s="25"/>
      <c r="H77" s="25"/>
      <c r="I77" s="25"/>
      <c r="L77" s="51"/>
      <c r="N77" s="51"/>
    </row>
    <row r="78" spans="2:14" ht="16.5">
      <c r="B78" s="9" t="s">
        <v>38</v>
      </c>
      <c r="C78" s="10">
        <v>2000</v>
      </c>
      <c r="D78" s="3" t="s">
        <v>68</v>
      </c>
      <c r="J78" s="25"/>
      <c r="N78" s="51"/>
    </row>
    <row r="79" spans="2:14" ht="15">
      <c r="B79" s="14" t="s">
        <v>45</v>
      </c>
      <c r="C79" s="28">
        <f>0.4*3.14*Ae*(Np^2/10^9/Lm-1/AL)</f>
        <v>0.27674888403911563</v>
      </c>
      <c r="D79" s="14" t="s">
        <v>11</v>
      </c>
      <c r="N79" s="51"/>
    </row>
    <row r="81" spans="1:9" ht="15">
      <c r="A81" s="7" t="s">
        <v>30</v>
      </c>
      <c r="B81" s="7"/>
      <c r="C81" s="7"/>
      <c r="D81" s="7"/>
      <c r="E81" s="7"/>
      <c r="F81" s="7"/>
      <c r="G81" s="7"/>
      <c r="H81" s="7"/>
      <c r="I81" s="7"/>
    </row>
    <row r="82" spans="2:5" ht="14.25">
      <c r="B82" s="34"/>
      <c r="C82" s="35"/>
      <c r="D82" s="9"/>
      <c r="E82" s="9"/>
    </row>
    <row r="83" spans="2:10" ht="17.25">
      <c r="B83" s="11"/>
      <c r="C83" s="2" t="s">
        <v>12</v>
      </c>
      <c r="D83" s="2"/>
      <c r="E83" s="36" t="s">
        <v>13</v>
      </c>
      <c r="F83" s="36"/>
      <c r="G83" s="2" t="s">
        <v>69</v>
      </c>
      <c r="H83" s="2"/>
      <c r="I83" s="37" t="s">
        <v>70</v>
      </c>
      <c r="J83" s="38"/>
    </row>
    <row r="84" spans="2:9" ht="15">
      <c r="B84" s="80" t="s">
        <v>147</v>
      </c>
      <c r="C84" s="10">
        <v>0.18</v>
      </c>
      <c r="D84" s="9" t="s">
        <v>11</v>
      </c>
      <c r="E84" s="10">
        <v>1</v>
      </c>
      <c r="F84" s="3" t="s">
        <v>9</v>
      </c>
      <c r="G84" s="50">
        <f>Irms</f>
        <v>0.22969124192514084</v>
      </c>
      <c r="H84" s="14" t="s">
        <v>7</v>
      </c>
      <c r="I84" s="19">
        <f>G84/E84/(3.14/4*C84^2)</f>
        <v>9.030873709410272</v>
      </c>
    </row>
    <row r="85" spans="2:9" ht="15">
      <c r="B85" s="80" t="s">
        <v>148</v>
      </c>
      <c r="C85" s="10">
        <v>0.2</v>
      </c>
      <c r="D85" s="9" t="s">
        <v>11</v>
      </c>
      <c r="E85" s="10">
        <v>1</v>
      </c>
      <c r="F85" s="3" t="s">
        <v>9</v>
      </c>
      <c r="G85" s="50">
        <f>Irms*SQRT((1-Dmax)/Dmax)*VRO*0.03/Po/(Vo1+VF1)</f>
        <v>0.004102519872318762</v>
      </c>
      <c r="H85" s="14" t="s">
        <v>7</v>
      </c>
      <c r="I85" s="19">
        <f aca="true" t="shared" si="2" ref="I85:I90">G85/E85/(3.14/4*C85^2)</f>
        <v>0.1306534991184319</v>
      </c>
    </row>
    <row r="86" spans="2:9" ht="15">
      <c r="B86" s="80" t="s">
        <v>149</v>
      </c>
      <c r="C86" s="10">
        <v>0.42</v>
      </c>
      <c r="D86" s="9" t="s">
        <v>11</v>
      </c>
      <c r="E86" s="10">
        <v>1</v>
      </c>
      <c r="F86" s="3" t="s">
        <v>9</v>
      </c>
      <c r="G86" s="50">
        <f>Irms*SQRT((1-Dmax)/Dmax)*VRO*KL1/(Vo1+VF1)</f>
        <v>1.6410079489275051</v>
      </c>
      <c r="H86" s="14" t="s">
        <v>7</v>
      </c>
      <c r="I86" s="16">
        <f t="shared" si="2"/>
        <v>11.850657516411061</v>
      </c>
    </row>
    <row r="87" spans="2:9" ht="15">
      <c r="B87" s="80" t="s">
        <v>150</v>
      </c>
      <c r="C87" s="10">
        <v>0</v>
      </c>
      <c r="D87" s="9" t="s">
        <v>11</v>
      </c>
      <c r="E87" s="10">
        <v>0</v>
      </c>
      <c r="F87" s="3" t="s">
        <v>9</v>
      </c>
      <c r="G87" s="16">
        <f>Irms*SQRT((1-Dmax)/Dmax)*VRO*KL2/(Vo2.real+VF2)</f>
        <v>0</v>
      </c>
      <c r="H87" s="14" t="s">
        <v>7</v>
      </c>
      <c r="I87" s="16" t="e">
        <f t="shared" si="2"/>
        <v>#DIV/0!</v>
      </c>
    </row>
    <row r="88" spans="2:10" ht="15">
      <c r="B88" s="80" t="s">
        <v>151</v>
      </c>
      <c r="C88" s="10">
        <v>0</v>
      </c>
      <c r="D88" s="9" t="s">
        <v>11</v>
      </c>
      <c r="E88" s="10">
        <v>0</v>
      </c>
      <c r="F88" s="3" t="s">
        <v>9</v>
      </c>
      <c r="G88" s="16">
        <f>Irms*SQRT((1-Dmax)/Dmax)*VRO*KL3/(Vo3+VF3)</f>
        <v>0</v>
      </c>
      <c r="H88" s="14" t="s">
        <v>7</v>
      </c>
      <c r="I88" s="39" t="e">
        <f t="shared" si="2"/>
        <v>#DIV/0!</v>
      </c>
      <c r="J88" s="38"/>
    </row>
    <row r="89" spans="2:13" ht="15">
      <c r="B89" s="80" t="s">
        <v>152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Irms*SQRT((1-Dmax)/Dmax)*VRO*KL4/(Vo4+VF4)</f>
        <v>#DIV/0!</v>
      </c>
      <c r="H89" s="14" t="s">
        <v>7</v>
      </c>
      <c r="I89" s="39" t="e">
        <f t="shared" si="2"/>
        <v>#DIV/0!</v>
      </c>
      <c r="J89" s="38"/>
      <c r="M89" s="51"/>
    </row>
    <row r="90" spans="2:13" ht="15">
      <c r="B90" s="80" t="s">
        <v>153</v>
      </c>
      <c r="C90" s="10">
        <v>0</v>
      </c>
      <c r="D90" s="9" t="s">
        <v>11</v>
      </c>
      <c r="E90" s="10">
        <v>0</v>
      </c>
      <c r="F90" s="3" t="s">
        <v>9</v>
      </c>
      <c r="G90" s="16" t="e">
        <f>Irms*SQRT((1-Dmax)/Dmax)*VRO*KL5/(Vo5+VF5)</f>
        <v>#DIV/0!</v>
      </c>
      <c r="H90" s="14" t="s">
        <v>7</v>
      </c>
      <c r="I90" s="39" t="e">
        <f t="shared" si="2"/>
        <v>#DIV/0!</v>
      </c>
      <c r="J90" s="38"/>
      <c r="M90" s="51"/>
    </row>
    <row r="91" spans="2:13" ht="15">
      <c r="B91" s="80" t="s">
        <v>154</v>
      </c>
      <c r="C91" s="10">
        <v>0</v>
      </c>
      <c r="D91" s="9" t="s">
        <v>11</v>
      </c>
      <c r="E91" s="10">
        <v>0</v>
      </c>
      <c r="F91" s="3" t="s">
        <v>9</v>
      </c>
      <c r="G91" s="16" t="e">
        <f>Irms*SQRT((1-Dmax)/Dmax)*VRO*KL6/(Vo6+VF6)</f>
        <v>#DIV/0!</v>
      </c>
      <c r="H91" s="14" t="s">
        <v>7</v>
      </c>
      <c r="I91" s="39" t="e">
        <f>G91/E91/(3.14/4*C91^2)</f>
        <v>#DIV/0!</v>
      </c>
      <c r="J91" s="38"/>
      <c r="M91" s="51"/>
    </row>
    <row r="92" spans="1:13" ht="17.25">
      <c r="A92" s="20"/>
      <c r="B92" s="81" t="s">
        <v>155</v>
      </c>
      <c r="C92" s="19">
        <f>C84^2/4*3.14*E84*Np+C85^2/4*3.14*E85*Nc+C86^2/4*3.14*E86*Ns1+C87^2/4*3.14*E87*Ns2+C88^2/4*3.14*E88*Ns3+C89^2/4*3.14*E89*Ns4+C90^2/4*3.14*E90*Ns5+C91^2/4*3.14*E91*Ns6</f>
        <v>5.98250384</v>
      </c>
      <c r="D92" s="14" t="s">
        <v>71</v>
      </c>
      <c r="E92" s="35"/>
      <c r="F92" s="20"/>
      <c r="G92" s="41"/>
      <c r="H92" s="40"/>
      <c r="I92" s="20"/>
      <c r="J92" s="40"/>
      <c r="M92" s="51"/>
    </row>
    <row r="93" spans="1:13" ht="18.75">
      <c r="A93" s="20"/>
      <c r="B93" s="9" t="s">
        <v>72</v>
      </c>
      <c r="C93" s="10">
        <v>0.2</v>
      </c>
      <c r="D93" s="9"/>
      <c r="E93" s="42"/>
      <c r="F93" s="43"/>
      <c r="G93" s="43"/>
      <c r="H93" s="43"/>
      <c r="I93" s="43"/>
      <c r="J93" s="20"/>
      <c r="M93" s="51"/>
    </row>
    <row r="94" spans="1:13" ht="17.25">
      <c r="A94" s="44"/>
      <c r="B94" s="45" t="s">
        <v>73</v>
      </c>
      <c r="C94" s="19">
        <f>C92/C93</f>
        <v>29.9125192</v>
      </c>
      <c r="D94" s="14" t="s">
        <v>71</v>
      </c>
      <c r="E94" s="44"/>
      <c r="F94" s="44"/>
      <c r="G94" s="44"/>
      <c r="H94" s="44"/>
      <c r="I94" s="44"/>
      <c r="J94" s="20"/>
      <c r="M94" s="51"/>
    </row>
    <row r="96" spans="1:9" ht="15">
      <c r="A96" s="7" t="s">
        <v>31</v>
      </c>
      <c r="B96" s="7"/>
      <c r="C96" s="7"/>
      <c r="D96" s="7"/>
      <c r="E96" s="7"/>
      <c r="F96" s="7"/>
      <c r="G96" s="7"/>
      <c r="H96" s="7"/>
      <c r="I96" s="7"/>
    </row>
    <row r="97" spans="2:12" ht="15">
      <c r="B97" s="34"/>
      <c r="C97" s="35"/>
      <c r="D97" s="9"/>
      <c r="E97" s="9"/>
      <c r="L97" s="24"/>
    </row>
    <row r="98" spans="2:13" ht="17.25">
      <c r="B98" s="11"/>
      <c r="C98" s="2" t="s">
        <v>74</v>
      </c>
      <c r="D98" s="2"/>
      <c r="E98" s="2"/>
      <c r="F98" s="46"/>
      <c r="G98" s="47" t="s">
        <v>75</v>
      </c>
      <c r="H98" s="48"/>
      <c r="I98" s="48"/>
      <c r="L98" s="24"/>
      <c r="M98" s="51"/>
    </row>
    <row r="99" spans="2:12" ht="15">
      <c r="B99" s="80" t="s">
        <v>156</v>
      </c>
      <c r="C99" s="13">
        <f>Vcc+SQRT(2)*V_line_max*(Vcc+VFC)/VRO</f>
        <v>73.43773349448686</v>
      </c>
      <c r="D99" s="13"/>
      <c r="E99" s="14" t="s">
        <v>1</v>
      </c>
      <c r="G99" s="50">
        <f>G85</f>
        <v>0.004102519872318762</v>
      </c>
      <c r="H99" s="14" t="s">
        <v>7</v>
      </c>
      <c r="I99" s="49"/>
      <c r="J99" s="24"/>
      <c r="K99" s="24"/>
      <c r="L99" s="24"/>
    </row>
    <row r="100" spans="2:11" ht="15">
      <c r="B100" s="80" t="s">
        <v>157</v>
      </c>
      <c r="C100" s="13">
        <f>Vo1+SQRT(2)*V_line_max*(Vo1+VF1)/VRO</f>
        <v>71.0747437446989</v>
      </c>
      <c r="D100" s="13"/>
      <c r="E100" s="14" t="s">
        <v>1</v>
      </c>
      <c r="G100" s="19">
        <f>Io1rms</f>
        <v>1.6410079489275051</v>
      </c>
      <c r="H100" s="14" t="s">
        <v>7</v>
      </c>
      <c r="I100" s="49"/>
      <c r="J100" s="24"/>
      <c r="K100" s="24"/>
    </row>
    <row r="101" spans="2:11" ht="15">
      <c r="B101" s="80" t="s">
        <v>158</v>
      </c>
      <c r="C101" s="13">
        <f>Vo2.real+SQRT(2)*V_line_max*(Vo2.real+VF2)/VRO</f>
        <v>4.725979499575913</v>
      </c>
      <c r="D101" s="13"/>
      <c r="E101" s="14" t="s">
        <v>1</v>
      </c>
      <c r="G101" s="19">
        <f>Io2rms</f>
        <v>0</v>
      </c>
      <c r="H101" s="14" t="s">
        <v>7</v>
      </c>
      <c r="I101" s="49"/>
      <c r="J101" s="24"/>
      <c r="K101" s="24"/>
    </row>
    <row r="102" spans="2:8" ht="15">
      <c r="B102" s="80" t="s">
        <v>159</v>
      </c>
      <c r="C102" s="13">
        <f>Vo3+SQRT(2)*V_line_max*(Vo3+VF3)/VRO</f>
        <v>4.725979499575913</v>
      </c>
      <c r="D102" s="13"/>
      <c r="E102" s="14" t="s">
        <v>1</v>
      </c>
      <c r="G102" s="19">
        <f>Io3rms</f>
        <v>0</v>
      </c>
      <c r="H102" s="14" t="s">
        <v>7</v>
      </c>
    </row>
    <row r="103" spans="2:8" ht="15">
      <c r="B103" s="80" t="s">
        <v>160</v>
      </c>
      <c r="C103" s="13">
        <f>Vo4+SQRT(2)*V_line_max*(Vo4+VF4)/VRO</f>
        <v>0</v>
      </c>
      <c r="D103" s="13"/>
      <c r="E103" s="14" t="s">
        <v>1</v>
      </c>
      <c r="G103" s="19" t="e">
        <f>Io4rms</f>
        <v>#DIV/0!</v>
      </c>
      <c r="H103" s="14" t="s">
        <v>7</v>
      </c>
    </row>
    <row r="104" spans="2:8" ht="15">
      <c r="B104" s="80" t="s">
        <v>161</v>
      </c>
      <c r="C104" s="13">
        <f>Vo5+SQRT(2)*V_line_max*(Vo5+VF5)/VRO</f>
        <v>0</v>
      </c>
      <c r="D104" s="13"/>
      <c r="E104" s="14" t="s">
        <v>1</v>
      </c>
      <c r="G104" s="19" t="e">
        <f>Io5rms</f>
        <v>#DIV/0!</v>
      </c>
      <c r="H104" s="14" t="s">
        <v>7</v>
      </c>
    </row>
    <row r="105" spans="2:8" ht="15">
      <c r="B105" s="80" t="s">
        <v>162</v>
      </c>
      <c r="C105" s="13">
        <f>Vo6+SQRT(2)*V_line_max*(Vo6+VF6)/VRO</f>
        <v>0</v>
      </c>
      <c r="D105" s="13"/>
      <c r="E105" s="14" t="s">
        <v>1</v>
      </c>
      <c r="G105" s="19" t="e">
        <f>Io6rms</f>
        <v>#DIV/0!</v>
      </c>
      <c r="H105" s="14" t="s">
        <v>7</v>
      </c>
    </row>
    <row r="107" spans="1:13" ht="15">
      <c r="A107" s="7" t="s">
        <v>20</v>
      </c>
      <c r="B107" s="7"/>
      <c r="C107" s="7"/>
      <c r="D107" s="7"/>
      <c r="E107" s="7"/>
      <c r="F107" s="7"/>
      <c r="G107" s="7"/>
      <c r="H107" s="7"/>
      <c r="I107" s="7"/>
      <c r="M107" s="51"/>
    </row>
    <row r="108" spans="2:13" ht="14.25">
      <c r="B108" s="34"/>
      <c r="C108" s="35"/>
      <c r="D108" s="9"/>
      <c r="E108" s="9"/>
      <c r="M108" s="51"/>
    </row>
    <row r="109" spans="2:13" ht="13.5" customHeight="1">
      <c r="B109" s="11"/>
      <c r="C109" s="87" t="s">
        <v>76</v>
      </c>
      <c r="D109" s="87"/>
      <c r="E109" s="92" t="s">
        <v>77</v>
      </c>
      <c r="F109" s="92"/>
      <c r="G109" s="85" t="s">
        <v>78</v>
      </c>
      <c r="H109" s="85"/>
      <c r="I109" s="86" t="s">
        <v>79</v>
      </c>
      <c r="J109" s="86"/>
      <c r="M109" s="51"/>
    </row>
    <row r="110" spans="2:13" ht="14.25">
      <c r="B110" s="11"/>
      <c r="C110" s="87"/>
      <c r="D110" s="87"/>
      <c r="E110" s="92"/>
      <c r="F110" s="92"/>
      <c r="G110" s="85"/>
      <c r="H110" s="85"/>
      <c r="I110" s="86"/>
      <c r="J110" s="86"/>
      <c r="M110" s="51"/>
    </row>
    <row r="111" spans="2:13" ht="15">
      <c r="B111" s="14" t="s">
        <v>80</v>
      </c>
      <c r="C111" s="10">
        <v>2000</v>
      </c>
      <c r="D111" s="9" t="s">
        <v>14</v>
      </c>
      <c r="E111" s="10">
        <v>50</v>
      </c>
      <c r="F111" s="9" t="s">
        <v>107</v>
      </c>
      <c r="G111" s="50">
        <f>SQRT(Io1rms^2-Io_1^2)</f>
        <v>1.3011176305174168</v>
      </c>
      <c r="H111" s="14" t="s">
        <v>7</v>
      </c>
      <c r="I111" s="50">
        <f>1000000*Io_1*Dmax/Co_1/fs+Ipk*VRO*Rc_1/1000/(Vo1+VF1)*KL1</f>
        <v>0.15728456383420159</v>
      </c>
      <c r="J111" s="14" t="s">
        <v>1</v>
      </c>
      <c r="M111" s="51"/>
    </row>
    <row r="112" spans="2:13" ht="15">
      <c r="B112" s="14" t="s">
        <v>81</v>
      </c>
      <c r="C112" s="10">
        <v>0</v>
      </c>
      <c r="D112" s="9" t="s">
        <v>14</v>
      </c>
      <c r="E112" s="10">
        <v>0</v>
      </c>
      <c r="F112" s="9" t="s">
        <v>107</v>
      </c>
      <c r="G112" s="50">
        <f>SQRT(Io2rms^2-Io_2^2)</f>
        <v>0</v>
      </c>
      <c r="H112" s="14" t="s">
        <v>7</v>
      </c>
      <c r="I112" s="50" t="e">
        <f>1000000*Io_2*Dmax/Co_2/fs+Ipk*VRO*Rc_2/1000/(Vo2+VF2)*KL2</f>
        <v>#DIV/0!</v>
      </c>
      <c r="J112" s="14" t="s">
        <v>1</v>
      </c>
      <c r="M112" s="51"/>
    </row>
    <row r="113" spans="2:13" ht="15">
      <c r="B113" s="14" t="s">
        <v>82</v>
      </c>
      <c r="C113" s="10">
        <v>0</v>
      </c>
      <c r="D113" s="9" t="s">
        <v>14</v>
      </c>
      <c r="E113" s="10">
        <v>0</v>
      </c>
      <c r="F113" s="9" t="s">
        <v>107</v>
      </c>
      <c r="G113" s="50">
        <f>SQRT(Io3rms^2-Io_3^2)</f>
        <v>0</v>
      </c>
      <c r="H113" s="14" t="s">
        <v>7</v>
      </c>
      <c r="I113" s="50" t="e">
        <f>1000000*Io_3*Dmax/Co_3/fs+Ipk*VRO*Rc_3/1000/(Vo3+VF3)*KL3</f>
        <v>#DIV/0!</v>
      </c>
      <c r="J113" s="14" t="s">
        <v>1</v>
      </c>
      <c r="M113" s="51"/>
    </row>
    <row r="114" spans="2:13" ht="15">
      <c r="B114" s="14" t="s">
        <v>83</v>
      </c>
      <c r="C114" s="10"/>
      <c r="D114" s="9" t="s">
        <v>14</v>
      </c>
      <c r="E114" s="10"/>
      <c r="F114" s="9" t="s">
        <v>107</v>
      </c>
      <c r="G114" s="16" t="e">
        <f>SQRT(Io4rms^2-Io_4^2)</f>
        <v>#DIV/0!</v>
      </c>
      <c r="H114" s="14" t="s">
        <v>7</v>
      </c>
      <c r="I114" s="19" t="e">
        <f>1000000*Io_4*Dmax/Co_4/fs+Ipk*VRO*Rc_4/1000/(Vo4+VF4)*KL4</f>
        <v>#DIV/0!</v>
      </c>
      <c r="J114" s="14" t="s">
        <v>1</v>
      </c>
      <c r="M114" s="51"/>
    </row>
    <row r="115" spans="2:13" ht="15">
      <c r="B115" s="14" t="s">
        <v>84</v>
      </c>
      <c r="C115" s="10"/>
      <c r="D115" s="9" t="s">
        <v>14</v>
      </c>
      <c r="E115" s="10"/>
      <c r="F115" s="9" t="s">
        <v>107</v>
      </c>
      <c r="G115" s="16" t="e">
        <f>SQRT(Io5rms^2-Io_5^2)</f>
        <v>#DIV/0!</v>
      </c>
      <c r="H115" s="14" t="s">
        <v>7</v>
      </c>
      <c r="I115" s="19" t="e">
        <f>1000000*Io_5*Dmax/Co_5/fs+Ipk*VRO*Rc_5/1000/(Vo5+VF5)*KL5</f>
        <v>#DIV/0!</v>
      </c>
      <c r="J115" s="14" t="s">
        <v>1</v>
      </c>
      <c r="L115" s="51"/>
      <c r="M115" s="51"/>
    </row>
    <row r="116" spans="2:13" ht="15">
      <c r="B116" s="14" t="s">
        <v>15</v>
      </c>
      <c r="C116" s="10"/>
      <c r="D116" s="9" t="s">
        <v>14</v>
      </c>
      <c r="E116" s="10"/>
      <c r="F116" s="9" t="s">
        <v>107</v>
      </c>
      <c r="G116" s="16" t="e">
        <f>SQRT(Io6rms^2-Io_6^2)</f>
        <v>#DIV/0!</v>
      </c>
      <c r="H116" s="14" t="s">
        <v>7</v>
      </c>
      <c r="I116" s="19" t="e">
        <f>1000000*Io_6*Dmax/Co_6/fs+Ipk*VRO*Rc_6/1000/(Vo6+VF6)*KL6</f>
        <v>#DIV/0!</v>
      </c>
      <c r="J116" s="14" t="s">
        <v>1</v>
      </c>
      <c r="L116" s="51"/>
      <c r="M116" s="51"/>
    </row>
    <row r="117" spans="12:13" ht="14.25">
      <c r="L117" s="51"/>
      <c r="M117" s="51"/>
    </row>
    <row r="118" spans="1:13" ht="15">
      <c r="A118" s="7" t="s">
        <v>134</v>
      </c>
      <c r="B118" s="7"/>
      <c r="C118" s="7"/>
      <c r="D118" s="7"/>
      <c r="E118" s="7"/>
      <c r="F118" s="7"/>
      <c r="G118" s="7"/>
      <c r="H118" s="7"/>
      <c r="I118" s="7"/>
      <c r="L118" s="51"/>
      <c r="M118" s="51"/>
    </row>
    <row r="119" spans="2:13" ht="18.75">
      <c r="B119" s="9" t="s">
        <v>85</v>
      </c>
      <c r="C119" s="10">
        <v>30</v>
      </c>
      <c r="D119" s="9" t="s">
        <v>5</v>
      </c>
      <c r="L119" s="51"/>
      <c r="M119" s="51"/>
    </row>
    <row r="120" spans="2:13" ht="18.75">
      <c r="B120" s="9" t="s">
        <v>86</v>
      </c>
      <c r="C120" s="10">
        <v>180</v>
      </c>
      <c r="D120" s="9" t="s">
        <v>1</v>
      </c>
      <c r="E120" s="25">
        <f>IF(VRO&gt;Vsn,"---&gt;Vsn should be larger than Vro !!!","")</f>
      </c>
      <c r="F120" s="52"/>
      <c r="L120" s="51"/>
      <c r="M120" s="51"/>
    </row>
    <row r="121" spans="2:13" ht="14.25">
      <c r="B121" s="9" t="s">
        <v>33</v>
      </c>
      <c r="C121" s="10">
        <v>10</v>
      </c>
      <c r="D121" s="9" t="s">
        <v>4</v>
      </c>
      <c r="L121" s="51"/>
      <c r="M121" s="51"/>
    </row>
    <row r="122" spans="2:13" ht="16.5">
      <c r="B122" s="80" t="s">
        <v>163</v>
      </c>
      <c r="C122" s="16">
        <f>Vsn^2/C124/1000</f>
        <v>50.31361558774552</v>
      </c>
      <c r="D122" s="14" t="s">
        <v>40</v>
      </c>
      <c r="L122" s="51"/>
      <c r="M122" s="51"/>
    </row>
    <row r="123" spans="2:13" ht="16.5">
      <c r="B123" s="80" t="s">
        <v>164</v>
      </c>
      <c r="C123" s="16">
        <f>100/C121/C122/1000/fs*10^9</f>
        <v>1.987533569826697</v>
      </c>
      <c r="D123" s="14" t="s">
        <v>17</v>
      </c>
      <c r="G123" s="53"/>
      <c r="L123" s="51"/>
      <c r="M123" s="51"/>
    </row>
    <row r="124" spans="2:13" ht="16.5">
      <c r="B124" s="80" t="s">
        <v>165</v>
      </c>
      <c r="C124" s="16">
        <f>0.5*Ipk.peak^2*Llk/1000000*fs*Vsn/(Vsn-VRO)</f>
        <v>0.6439608766238498</v>
      </c>
      <c r="D124" s="14" t="s">
        <v>3</v>
      </c>
      <c r="E124" s="24"/>
      <c r="F124" s="24"/>
      <c r="G124" s="24"/>
      <c r="H124" s="24"/>
      <c r="I124" s="24"/>
      <c r="L124" s="51"/>
      <c r="M124" s="51"/>
    </row>
    <row r="125" spans="2:13" ht="17.25">
      <c r="B125" s="80" t="s">
        <v>166</v>
      </c>
      <c r="C125" s="19">
        <f>IF(Vdc_max&lt;C50,Pin/(Vdc_max*VRO/(Vdc_max+VRO))+Vdc_max*VRO/(Vdc_max+VRO)/Lm/fs/2,SQRT(2*Pin/fs/Lm))</f>
        <v>0.41995260731030254</v>
      </c>
      <c r="D125" s="14" t="s">
        <v>7</v>
      </c>
      <c r="E125" s="24" t="str">
        <f>IF(Vdc_max&lt;C48,"(CCM)","(DCM)")</f>
        <v>(DCM)</v>
      </c>
      <c r="M125" s="54"/>
    </row>
    <row r="126" spans="2:13" ht="17.25">
      <c r="B126" s="80" t="s">
        <v>167</v>
      </c>
      <c r="C126" s="13">
        <f>(VRO+SQRT(VRO^2+2*C122*Llk*C125^2*fs/1000))/2</f>
        <v>161.4435459017389</v>
      </c>
      <c r="D126" s="14" t="s">
        <v>1</v>
      </c>
      <c r="M126" s="54"/>
    </row>
    <row r="127" spans="2:13" ht="17.25">
      <c r="B127" s="80" t="s">
        <v>168</v>
      </c>
      <c r="C127" s="13">
        <f>Vdc_max+C126</f>
        <v>534.795926368236</v>
      </c>
      <c r="D127" s="14" t="s">
        <v>1</v>
      </c>
      <c r="E127" s="25">
        <f>IF(C127&gt;650,"---&gt;Need to decrease Rsn !!!","")</f>
      </c>
      <c r="L127" s="54"/>
      <c r="M127" s="54"/>
    </row>
    <row r="128" spans="4:13" ht="15">
      <c r="D128" s="14"/>
      <c r="M128" s="94"/>
    </row>
    <row r="129" spans="1:13" ht="15">
      <c r="A129" s="7" t="s">
        <v>21</v>
      </c>
      <c r="B129" s="7"/>
      <c r="C129" s="7"/>
      <c r="D129" s="7"/>
      <c r="E129" s="7"/>
      <c r="F129" s="7"/>
      <c r="G129" s="7"/>
      <c r="H129" s="7"/>
      <c r="I129" s="7"/>
      <c r="L129" s="54"/>
      <c r="M129" s="54"/>
    </row>
    <row r="130" spans="11:13" ht="14.25">
      <c r="K130" s="55"/>
      <c r="M130" s="54"/>
    </row>
    <row r="131" spans="2:13" ht="15">
      <c r="B131" s="82" t="s">
        <v>135</v>
      </c>
      <c r="C131" s="77" t="str">
        <f>IF(Vdc_min&lt;C47,"CCM","DCM")</f>
        <v>DCM</v>
      </c>
      <c r="K131" s="55"/>
      <c r="M131" s="54"/>
    </row>
    <row r="132" spans="2:13" ht="15">
      <c r="B132" s="56" t="s">
        <v>87</v>
      </c>
      <c r="C132" s="13">
        <f>IF(Vdc_min&lt;C48,Ilim/2.4*(Vo1^2/Po)/3*VRO/(Vo1+VF1)*Vdc_min/(Vdc_min+2*VRO),Vo1/(SQRT(2*Pin/fs/Lm)/Ilim*2.4))</f>
        <v>2.8747718793358006</v>
      </c>
      <c r="D132" s="52"/>
      <c r="G132" s="53"/>
      <c r="H132" s="53"/>
      <c r="I132" s="53"/>
      <c r="J132" s="53"/>
      <c r="K132" s="32"/>
      <c r="L132" s="57"/>
      <c r="M132" s="54"/>
    </row>
    <row r="133" spans="2:13" ht="18.75">
      <c r="B133" s="56" t="s">
        <v>88</v>
      </c>
      <c r="C133" s="13">
        <f>1/(Rc_1*Co_1)*10^9</f>
        <v>10000</v>
      </c>
      <c r="D133" s="14" t="s">
        <v>34</v>
      </c>
      <c r="E133" s="14"/>
      <c r="F133" s="58" t="s">
        <v>89</v>
      </c>
      <c r="G133" s="90">
        <f>C133/2/3.14</f>
        <v>1592.3566878980891</v>
      </c>
      <c r="H133" s="90"/>
      <c r="I133" s="14" t="s">
        <v>2</v>
      </c>
      <c r="K133" s="32"/>
      <c r="L133" s="59"/>
      <c r="M133" s="94"/>
    </row>
    <row r="134" spans="2:13" ht="18.75">
      <c r="B134" s="56" t="s">
        <v>90</v>
      </c>
      <c r="C134" s="13">
        <f>IF(Vdc_min&lt;C48,Vo1^2/Po/Lm/Dmax*(1-Dmax)^2*(VRO/(Vo1+VF1))^2,10^100)</f>
        <v>202002.11381993815</v>
      </c>
      <c r="D134" s="14" t="s">
        <v>34</v>
      </c>
      <c r="F134" s="58" t="s">
        <v>91</v>
      </c>
      <c r="G134" s="90">
        <f>C134/2/3.14</f>
        <v>32165.941691072952</v>
      </c>
      <c r="H134" s="90"/>
      <c r="I134" s="14" t="s">
        <v>2</v>
      </c>
      <c r="K134" s="32"/>
      <c r="L134" s="57"/>
      <c r="M134" s="54"/>
    </row>
    <row r="135" spans="2:13" ht="18.75">
      <c r="B135" s="56" t="s">
        <v>92</v>
      </c>
      <c r="C135" s="13">
        <f>IF(Vdc_min&lt;C48,(1+Dmax)/(Vo1^2/Po*Co_1)*10^6,2/(Vo1^2/Po*Co_1)*10^6)</f>
        <v>59.958333333333336</v>
      </c>
      <c r="D135" s="14" t="s">
        <v>34</v>
      </c>
      <c r="F135" s="58" t="s">
        <v>93</v>
      </c>
      <c r="G135" s="90">
        <f>C135/2/3.14</f>
        <v>9.547505307855626</v>
      </c>
      <c r="H135" s="90"/>
      <c r="I135" s="14" t="s">
        <v>2</v>
      </c>
      <c r="K135" s="32"/>
      <c r="L135" s="57"/>
      <c r="M135" s="51"/>
    </row>
    <row r="136" spans="11:13" ht="14.25">
      <c r="K136" s="32"/>
      <c r="L136" s="57"/>
      <c r="M136" s="51"/>
    </row>
    <row r="137" spans="2:13" ht="18.75">
      <c r="B137" s="9" t="s">
        <v>94</v>
      </c>
      <c r="C137" s="74">
        <v>10</v>
      </c>
      <c r="D137" s="41" t="s">
        <v>39</v>
      </c>
      <c r="K137" s="32"/>
      <c r="L137" s="59"/>
      <c r="M137" s="51"/>
    </row>
    <row r="138" spans="2:13" ht="18.75">
      <c r="B138" s="56" t="s">
        <v>95</v>
      </c>
      <c r="C138" s="16">
        <f>2.5*R_1/(Vo1-2.5)</f>
        <v>2.6315789473684212</v>
      </c>
      <c r="D138" s="14" t="s">
        <v>40</v>
      </c>
      <c r="K138" s="32"/>
      <c r="L138" s="57"/>
      <c r="M138" s="51"/>
    </row>
    <row r="139" spans="2:13" ht="18.75">
      <c r="B139" s="9" t="s">
        <v>96</v>
      </c>
      <c r="C139" s="10">
        <v>0.51</v>
      </c>
      <c r="D139" s="41" t="s">
        <v>39</v>
      </c>
      <c r="E139" s="60"/>
      <c r="K139" s="32"/>
      <c r="L139" s="61"/>
      <c r="M139" s="51"/>
    </row>
    <row r="140" spans="2:13" ht="18.75">
      <c r="B140" s="9" t="s">
        <v>97</v>
      </c>
      <c r="C140" s="10">
        <v>2.7</v>
      </c>
      <c r="D140" s="41" t="s">
        <v>39</v>
      </c>
      <c r="E140" s="60"/>
      <c r="K140" s="32"/>
      <c r="L140" s="62"/>
      <c r="M140" s="51"/>
    </row>
    <row r="141" spans="2:13" ht="18.75">
      <c r="B141" s="41" t="s">
        <v>98</v>
      </c>
      <c r="C141" s="10">
        <v>10</v>
      </c>
      <c r="D141" s="41" t="s">
        <v>17</v>
      </c>
      <c r="K141" s="32"/>
      <c r="L141" s="62"/>
      <c r="M141" s="51"/>
    </row>
    <row r="142" spans="2:13" ht="20.25" customHeight="1">
      <c r="B142" s="41" t="s">
        <v>99</v>
      </c>
      <c r="C142" s="10">
        <v>100</v>
      </c>
      <c r="D142" s="41" t="s">
        <v>17</v>
      </c>
      <c r="K142" s="32"/>
      <c r="L142" s="62"/>
      <c r="M142" s="51"/>
    </row>
    <row r="143" spans="2:13" ht="18.75">
      <c r="B143" s="41" t="s">
        <v>100</v>
      </c>
      <c r="C143" s="10">
        <v>30</v>
      </c>
      <c r="D143" s="41" t="s">
        <v>39</v>
      </c>
      <c r="K143" s="32"/>
      <c r="L143" s="62"/>
      <c r="M143" s="51"/>
    </row>
    <row r="144" spans="12:13" ht="14.25">
      <c r="L144" s="62"/>
      <c r="M144" s="51"/>
    </row>
    <row r="145" spans="2:13" ht="18.75">
      <c r="B145" s="14" t="s">
        <v>101</v>
      </c>
      <c r="C145" s="63">
        <f>_xlfn.IFERROR(6*Rpeak/(6+Rpeak)/(C137*C139*C142)*10^6,6/(C137*C139*C142)*10^6)</f>
        <v>9411.764705882353</v>
      </c>
      <c r="D145" s="14" t="s">
        <v>34</v>
      </c>
      <c r="F145" s="58" t="s">
        <v>102</v>
      </c>
      <c r="G145" s="88">
        <f>C145/(2*3.14)</f>
        <v>1498.6886474334956</v>
      </c>
      <c r="H145" s="88"/>
      <c r="I145" s="14" t="s">
        <v>2</v>
      </c>
      <c r="K145" s="32"/>
      <c r="L145" s="62"/>
      <c r="M145" s="51"/>
    </row>
    <row r="146" spans="2:13" ht="18.75">
      <c r="B146" s="56" t="s">
        <v>103</v>
      </c>
      <c r="C146" s="64">
        <f>1/(C142*(C143+C137))*10^6</f>
        <v>250</v>
      </c>
      <c r="D146" s="14" t="s">
        <v>34</v>
      </c>
      <c r="F146" s="58" t="s">
        <v>104</v>
      </c>
      <c r="G146" s="88">
        <f>C146/(2*3.14)</f>
        <v>39.808917197452224</v>
      </c>
      <c r="H146" s="88"/>
      <c r="I146" s="14" t="s">
        <v>2</v>
      </c>
      <c r="K146" s="32"/>
      <c r="L146" s="62"/>
      <c r="M146" s="51"/>
    </row>
    <row r="147" spans="2:13" ht="16.5">
      <c r="B147" s="56" t="s">
        <v>105</v>
      </c>
      <c r="C147" s="64">
        <f>_xlfn.IFERROR(1/(6*Rpeak/(6+Rpeak)*C141)*1000000,1/(6*C141)*1000000)</f>
        <v>20833.333333333332</v>
      </c>
      <c r="D147" s="14" t="s">
        <v>34</v>
      </c>
      <c r="F147" s="58" t="s">
        <v>106</v>
      </c>
      <c r="G147" s="88">
        <f>C147/(2*3.14)</f>
        <v>3317.409766454352</v>
      </c>
      <c r="H147" s="88"/>
      <c r="I147" s="14" t="s">
        <v>2</v>
      </c>
      <c r="K147" s="32"/>
      <c r="L147" s="62"/>
      <c r="M147" s="51"/>
    </row>
    <row r="148" spans="2:13" ht="14.25">
      <c r="B148" s="32"/>
      <c r="C148" s="32"/>
      <c r="D148" s="32"/>
      <c r="E148" s="65"/>
      <c r="F148" s="32"/>
      <c r="G148" s="32"/>
      <c r="H148" s="32"/>
      <c r="I148" s="32"/>
      <c r="J148" s="32"/>
      <c r="K148" s="32"/>
      <c r="L148" s="62"/>
      <c r="M148" s="51"/>
    </row>
    <row r="149" spans="2:13" ht="14.25">
      <c r="B149" s="55"/>
      <c r="C149" s="55"/>
      <c r="D149" s="55"/>
      <c r="E149" s="55"/>
      <c r="F149" s="55"/>
      <c r="G149" s="55"/>
      <c r="H149" s="55"/>
      <c r="I149" s="55"/>
      <c r="J149" s="55"/>
      <c r="K149" s="65"/>
      <c r="L149" s="62"/>
      <c r="M149" s="51"/>
    </row>
    <row r="150" spans="2:13" ht="14.25">
      <c r="B150" s="55">
        <v>16</v>
      </c>
      <c r="C150" s="55">
        <f aca="true" t="shared" si="3" ref="C150:C169">20*LOG(k_1*SQRT(1+B150^2/fz_1^2)*SQRT(1+B150^2/fzr^2)/SQRT(1+B150^2/fp_1^2))</f>
        <v>3.3650729902118615</v>
      </c>
      <c r="D150" s="55">
        <f aca="true" t="shared" si="4" ref="D150:D169">20*LOG(fi/B150*SQRT(1+B150^2/fz^2)/SQRT(1+B150^2/fp^2))</f>
        <v>40.08206820408975</v>
      </c>
      <c r="E150" s="55">
        <f aca="true" t="shared" si="5" ref="E150:E169">SUM(C150:D150)</f>
        <v>43.447141194301615</v>
      </c>
      <c r="F150" s="55"/>
      <c r="G150" s="55">
        <v>16</v>
      </c>
      <c r="H150" s="55">
        <f aca="true" t="shared" si="6" ref="H150:H169">180/3.14*(ATAN(G150/fz_1)-ATAN(G150/fzr)-ATAN(G150/fp_1))</f>
        <v>-58.65721436946556</v>
      </c>
      <c r="I150" s="55">
        <f aca="true" t="shared" si="7" ref="I150:I169">180/3.14*(ATAN(G150/fz)-ATAN(G150/fp))-90</f>
        <v>-68.36919074706026</v>
      </c>
      <c r="J150" s="55">
        <f aca="true" t="shared" si="8" ref="J150:J169">SUM(H150:I150)</f>
        <v>-127.02640511652581</v>
      </c>
      <c r="K150" s="65"/>
      <c r="L150" s="62"/>
      <c r="M150" s="51"/>
    </row>
    <row r="151" spans="2:13" ht="14.25">
      <c r="B151" s="55">
        <v>25</v>
      </c>
      <c r="C151" s="55">
        <f t="shared" si="3"/>
        <v>0.22086949312737242</v>
      </c>
      <c r="D151" s="55">
        <f t="shared" si="4"/>
        <v>36.999005450653335</v>
      </c>
      <c r="E151" s="55">
        <f t="shared" si="5"/>
        <v>37.21987494378071</v>
      </c>
      <c r="F151" s="55"/>
      <c r="G151" s="55">
        <v>25</v>
      </c>
      <c r="H151" s="55">
        <f t="shared" si="6"/>
        <v>-68.277808113879</v>
      </c>
      <c r="I151" s="55">
        <f t="shared" si="7"/>
        <v>-58.28687465566155</v>
      </c>
      <c r="J151" s="55">
        <f t="shared" si="8"/>
        <v>-126.56468276954055</v>
      </c>
      <c r="K151" s="65"/>
      <c r="L151" s="62"/>
      <c r="M151" s="51"/>
    </row>
    <row r="152" spans="2:13" ht="14.25">
      <c r="B152" s="55">
        <v>40</v>
      </c>
      <c r="C152" s="55">
        <f t="shared" si="3"/>
        <v>-3.509221531904908</v>
      </c>
      <c r="D152" s="55">
        <f t="shared" si="4"/>
        <v>34.50354318000375</v>
      </c>
      <c r="E152" s="55">
        <f t="shared" si="5"/>
        <v>30.994321648098847</v>
      </c>
      <c r="F152" s="55"/>
      <c r="G152" s="55">
        <v>40</v>
      </c>
      <c r="H152" s="55">
        <f t="shared" si="6"/>
        <v>-75.2458149989957</v>
      </c>
      <c r="I152" s="55">
        <f t="shared" si="7"/>
        <v>-45.5310918976417</v>
      </c>
      <c r="J152" s="55">
        <f t="shared" si="8"/>
        <v>-120.7769068966374</v>
      </c>
      <c r="K152" s="65"/>
      <c r="L152" s="62"/>
      <c r="M152" s="51"/>
    </row>
    <row r="153" spans="2:13" ht="14.25">
      <c r="B153" s="55">
        <v>63</v>
      </c>
      <c r="C153" s="55">
        <f t="shared" si="3"/>
        <v>-7.308750652537926</v>
      </c>
      <c r="D153" s="55">
        <f t="shared" si="4"/>
        <v>32.97210724869723</v>
      </c>
      <c r="E153" s="55">
        <f t="shared" si="5"/>
        <v>25.663356596159304</v>
      </c>
      <c r="F153" s="55"/>
      <c r="G153" s="55">
        <v>63</v>
      </c>
      <c r="H153" s="55">
        <f t="shared" si="6"/>
        <v>-79.26926517386802</v>
      </c>
      <c r="I153" s="55">
        <f t="shared" si="7"/>
        <v>-33.34752023350114</v>
      </c>
      <c r="J153" s="55">
        <f t="shared" si="8"/>
        <v>-112.61678540736916</v>
      </c>
      <c r="K153" s="65"/>
      <c r="L153" s="62"/>
      <c r="M153" s="51"/>
    </row>
    <row r="154" spans="2:13" ht="14.25">
      <c r="B154" s="55">
        <v>100</v>
      </c>
      <c r="C154" s="55">
        <f t="shared" si="3"/>
        <v>-11.252406610847</v>
      </c>
      <c r="D154" s="55">
        <f t="shared" si="4"/>
        <v>32.14954319978552</v>
      </c>
      <c r="E154" s="55">
        <f t="shared" si="5"/>
        <v>20.89713658893852</v>
      </c>
      <c r="F154" s="55"/>
      <c r="G154" s="55">
        <v>100</v>
      </c>
      <c r="H154" s="55">
        <f t="shared" si="6"/>
        <v>-81.17203351400634</v>
      </c>
      <c r="I154" s="55">
        <f t="shared" si="7"/>
        <v>-23.399803657459927</v>
      </c>
      <c r="J154" s="55">
        <f t="shared" si="8"/>
        <v>-104.57183717146627</v>
      </c>
      <c r="K154" s="65"/>
      <c r="L154" s="62"/>
      <c r="M154" s="51"/>
    </row>
    <row r="155" spans="2:13" ht="14.25">
      <c r="B155" s="55">
        <v>160</v>
      </c>
      <c r="C155" s="55">
        <f t="shared" si="3"/>
        <v>-15.284235381139116</v>
      </c>
      <c r="D155" s="55">
        <f t="shared" si="4"/>
        <v>31.765384112978786</v>
      </c>
      <c r="E155" s="55">
        <f t="shared" si="5"/>
        <v>16.48114873183967</v>
      </c>
      <c r="F155" s="55"/>
      <c r="G155" s="55">
        <v>160</v>
      </c>
      <c r="H155" s="55">
        <f t="shared" si="6"/>
        <v>-81.17342942448181</v>
      </c>
      <c r="I155" s="55">
        <f t="shared" si="7"/>
        <v>-16.69592058497632</v>
      </c>
      <c r="J155" s="55">
        <f t="shared" si="8"/>
        <v>-97.86935000945813</v>
      </c>
      <c r="K155" s="65"/>
      <c r="L155" s="62"/>
      <c r="M155" s="51"/>
    </row>
    <row r="156" spans="2:13" ht="14.25">
      <c r="B156" s="55">
        <v>250</v>
      </c>
      <c r="C156" s="55">
        <f t="shared" si="3"/>
        <v>-19.08925017565814</v>
      </c>
      <c r="D156" s="55">
        <f t="shared" si="4"/>
        <v>31.598773440403814</v>
      </c>
      <c r="E156" s="55">
        <f t="shared" si="5"/>
        <v>12.509523264745674</v>
      </c>
      <c r="F156" s="55"/>
      <c r="G156" s="55">
        <v>250</v>
      </c>
      <c r="H156" s="55">
        <f t="shared" si="6"/>
        <v>-79.37587899071333</v>
      </c>
      <c r="I156" s="55">
        <f t="shared" si="7"/>
        <v>-13.318361560071864</v>
      </c>
      <c r="J156" s="55">
        <f t="shared" si="8"/>
        <v>-92.6942405507852</v>
      </c>
      <c r="K156" s="65"/>
      <c r="L156" s="62"/>
      <c r="M156" s="51"/>
    </row>
    <row r="157" spans="2:12" ht="14.25">
      <c r="B157" s="55">
        <v>400</v>
      </c>
      <c r="C157" s="55">
        <f t="shared" si="3"/>
        <v>-23.00738883180866</v>
      </c>
      <c r="D157" s="55">
        <f t="shared" si="4"/>
        <v>31.494739297660992</v>
      </c>
      <c r="E157" s="55">
        <f t="shared" si="5"/>
        <v>8.48735046585233</v>
      </c>
      <c r="F157" s="55"/>
      <c r="G157" s="55">
        <v>400</v>
      </c>
      <c r="H157" s="55">
        <f t="shared" si="6"/>
        <v>-75.28237519087564</v>
      </c>
      <c r="I157" s="55">
        <f t="shared" si="7"/>
        <v>-12.519518029607795</v>
      </c>
      <c r="J157" s="55">
        <f t="shared" si="8"/>
        <v>-87.80189322048344</v>
      </c>
      <c r="K157" s="65"/>
      <c r="L157" s="62"/>
    </row>
    <row r="158" spans="2:12" ht="14.25">
      <c r="B158" s="55">
        <v>630</v>
      </c>
      <c r="C158" s="55">
        <f t="shared" si="3"/>
        <v>-26.584703885738424</v>
      </c>
      <c r="D158" s="55">
        <f t="shared" si="4"/>
        <v>31.378058160876638</v>
      </c>
      <c r="E158" s="55">
        <f t="shared" si="5"/>
        <v>4.793354275138213</v>
      </c>
      <c r="F158" s="55"/>
      <c r="G158" s="55">
        <v>630</v>
      </c>
      <c r="H158" s="55">
        <f t="shared" si="6"/>
        <v>-68.70290626293632</v>
      </c>
      <c r="I158" s="55">
        <f t="shared" si="7"/>
        <v>-14.33011583048868</v>
      </c>
      <c r="J158" s="55">
        <f t="shared" si="8"/>
        <v>-83.033022093425</v>
      </c>
      <c r="K158" s="65"/>
      <c r="L158" s="62"/>
    </row>
    <row r="159" spans="2:12" ht="14.25">
      <c r="B159" s="55">
        <v>1000</v>
      </c>
      <c r="C159" s="55">
        <f t="shared" si="3"/>
        <v>-29.782510542029826</v>
      </c>
      <c r="D159" s="55">
        <f t="shared" si="4"/>
        <v>31.143783733477648</v>
      </c>
      <c r="E159" s="55">
        <f t="shared" si="5"/>
        <v>1.3612731914478218</v>
      </c>
      <c r="F159" s="55"/>
      <c r="G159" s="55">
        <v>1000</v>
      </c>
      <c r="H159" s="55">
        <f t="shared" si="6"/>
        <v>-59.134825289039604</v>
      </c>
      <c r="I159" s="55">
        <f t="shared" si="7"/>
        <v>-19.018602376003898</v>
      </c>
      <c r="J159" s="55">
        <f t="shared" si="8"/>
        <v>-78.1534276650435</v>
      </c>
      <c r="K159" s="65"/>
      <c r="L159" s="62"/>
    </row>
    <row r="160" spans="2:12" ht="14.25">
      <c r="B160" s="55">
        <v>1600</v>
      </c>
      <c r="C160" s="55">
        <f t="shared" si="3"/>
        <v>-32.27080999516065</v>
      </c>
      <c r="D160" s="55">
        <f t="shared" si="4"/>
        <v>30.60902663529847</v>
      </c>
      <c r="E160" s="55">
        <f t="shared" si="5"/>
        <v>-1.6617833598621772</v>
      </c>
      <c r="F160" s="55"/>
      <c r="G160" s="55">
        <v>1600</v>
      </c>
      <c r="H160" s="55">
        <f t="shared" si="6"/>
        <v>-47.392617531020974</v>
      </c>
      <c r="I160" s="55">
        <f t="shared" si="7"/>
        <v>-27.141590490896178</v>
      </c>
      <c r="J160" s="55">
        <f t="shared" si="8"/>
        <v>-74.53420802191715</v>
      </c>
      <c r="K160" s="65"/>
      <c r="L160" s="62"/>
    </row>
    <row r="161" spans="2:12" ht="14.25">
      <c r="B161" s="55">
        <v>2500</v>
      </c>
      <c r="C161" s="55">
        <f t="shared" si="3"/>
        <v>-33.765935014325294</v>
      </c>
      <c r="D161" s="55">
        <f t="shared" si="4"/>
        <v>29.56250261049731</v>
      </c>
      <c r="E161" s="55">
        <f t="shared" si="5"/>
        <v>-4.203432403827982</v>
      </c>
      <c r="F161" s="55"/>
      <c r="G161" s="55">
        <v>2500</v>
      </c>
      <c r="H161" s="55">
        <f t="shared" si="6"/>
        <v>-36.73881920500511</v>
      </c>
      <c r="I161" s="55">
        <f t="shared" si="7"/>
        <v>-37.88753644905238</v>
      </c>
      <c r="J161" s="55">
        <f t="shared" si="8"/>
        <v>-74.62635565405748</v>
      </c>
      <c r="K161" s="65"/>
      <c r="L161" s="32"/>
    </row>
    <row r="162" spans="2:12" ht="14.25">
      <c r="B162" s="55">
        <v>4000</v>
      </c>
      <c r="C162" s="55">
        <f t="shared" si="3"/>
        <v>-34.565453150879804</v>
      </c>
      <c r="D162" s="55">
        <f t="shared" si="4"/>
        <v>27.61655836801951</v>
      </c>
      <c r="E162" s="55">
        <f t="shared" si="5"/>
        <v>-6.948894782860293</v>
      </c>
      <c r="F162" s="55"/>
      <c r="G162" s="55">
        <v>4000</v>
      </c>
      <c r="H162" s="55">
        <f t="shared" si="6"/>
        <v>-28.67337829728836</v>
      </c>
      <c r="I162" s="55">
        <f t="shared" si="7"/>
        <v>-50.87967177257348</v>
      </c>
      <c r="J162" s="55">
        <f t="shared" si="8"/>
        <v>-79.55305006986184</v>
      </c>
      <c r="K162" s="65"/>
      <c r="L162" s="32"/>
    </row>
    <row r="163" spans="2:12" ht="14.25">
      <c r="B163" s="55">
        <v>6300</v>
      </c>
      <c r="C163" s="55">
        <f t="shared" si="3"/>
        <v>-34.83852070688567</v>
      </c>
      <c r="D163" s="55">
        <f t="shared" si="4"/>
        <v>24.88110777730293</v>
      </c>
      <c r="E163" s="55">
        <f t="shared" si="5"/>
        <v>-9.957412929582738</v>
      </c>
      <c r="F163" s="55"/>
      <c r="G163" s="55">
        <v>6300</v>
      </c>
      <c r="H163" s="55">
        <f t="shared" si="6"/>
        <v>-25.192288196417255</v>
      </c>
      <c r="I163" s="55">
        <f t="shared" si="7"/>
        <v>-62.57805959652113</v>
      </c>
      <c r="J163" s="55">
        <f t="shared" si="8"/>
        <v>-87.77034779293838</v>
      </c>
      <c r="K163" s="65"/>
      <c r="L163" s="32"/>
    </row>
    <row r="164" spans="2:12" ht="14.25">
      <c r="B164" s="55">
        <v>10000</v>
      </c>
      <c r="C164" s="55">
        <f t="shared" si="3"/>
        <v>-34.76151302527269</v>
      </c>
      <c r="D164" s="55">
        <f t="shared" si="4"/>
        <v>21.47723872203266</v>
      </c>
      <c r="E164" s="55">
        <f t="shared" si="5"/>
        <v>-13.284274303240032</v>
      </c>
      <c r="F164" s="55"/>
      <c r="G164" s="55">
        <v>10000</v>
      </c>
      <c r="H164" s="55">
        <f t="shared" si="6"/>
        <v>-26.27602350686325</v>
      </c>
      <c r="I164" s="55">
        <f t="shared" si="7"/>
        <v>-71.86609612375604</v>
      </c>
      <c r="J164" s="55">
        <f t="shared" si="8"/>
        <v>-98.14211963061929</v>
      </c>
      <c r="K164" s="65"/>
      <c r="L164" s="32"/>
    </row>
    <row r="165" spans="2:12" ht="14.25">
      <c r="B165" s="55">
        <v>16000</v>
      </c>
      <c r="C165" s="55">
        <f t="shared" si="3"/>
        <v>-34.26798680103001</v>
      </c>
      <c r="D165" s="55">
        <f t="shared" si="4"/>
        <v>17.665432997003993</v>
      </c>
      <c r="E165" s="55">
        <f t="shared" si="5"/>
        <v>-16.60255380402602</v>
      </c>
      <c r="F165" s="55"/>
      <c r="G165" s="55">
        <v>16000</v>
      </c>
      <c r="H165" s="55">
        <f t="shared" si="6"/>
        <v>-32.11227770217883</v>
      </c>
      <c r="I165" s="55">
        <f t="shared" si="7"/>
        <v>-78.42305789383857</v>
      </c>
      <c r="J165" s="55">
        <f t="shared" si="8"/>
        <v>-110.5353355960174</v>
      </c>
      <c r="K165" s="65"/>
      <c r="L165" s="32"/>
    </row>
    <row r="166" spans="2:12" ht="14.25">
      <c r="B166" s="55">
        <v>25000</v>
      </c>
      <c r="C166" s="55">
        <f t="shared" si="3"/>
        <v>-33.201124368925015</v>
      </c>
      <c r="D166" s="55">
        <f t="shared" si="4"/>
        <v>13.896007725506426</v>
      </c>
      <c r="E166" s="55">
        <f t="shared" si="5"/>
        <v>-19.30511664341859</v>
      </c>
      <c r="F166" s="55"/>
      <c r="G166" s="55">
        <v>25000</v>
      </c>
      <c r="H166" s="55">
        <f t="shared" si="6"/>
        <v>-41.49869743607072</v>
      </c>
      <c r="I166" s="55">
        <f t="shared" si="7"/>
        <v>-82.52866388559619</v>
      </c>
      <c r="J166" s="55">
        <f t="shared" si="8"/>
        <v>-124.02736132166692</v>
      </c>
      <c r="K166" s="65"/>
      <c r="L166" s="32"/>
    </row>
    <row r="167" spans="2:12" ht="14.25">
      <c r="B167" s="55">
        <v>40000</v>
      </c>
      <c r="C167" s="55">
        <f t="shared" si="3"/>
        <v>-31.204764139374156</v>
      </c>
      <c r="D167" s="55">
        <f t="shared" si="4"/>
        <v>9.859638288663797</v>
      </c>
      <c r="E167" s="55">
        <f t="shared" si="5"/>
        <v>-21.34512585071036</v>
      </c>
      <c r="F167" s="55"/>
      <c r="G167" s="55">
        <v>40000</v>
      </c>
      <c r="H167" s="55">
        <f t="shared" si="6"/>
        <v>-53.48866931233351</v>
      </c>
      <c r="I167" s="55">
        <f t="shared" si="7"/>
        <v>-85.31365686001209</v>
      </c>
      <c r="J167" s="55">
        <f t="shared" si="8"/>
        <v>-138.8023261723456</v>
      </c>
      <c r="K167" s="65"/>
      <c r="L167" s="32"/>
    </row>
    <row r="168" spans="2:12" ht="14.25">
      <c r="B168" s="55">
        <v>63000</v>
      </c>
      <c r="C168" s="55">
        <f t="shared" si="3"/>
        <v>-28.423225762064703</v>
      </c>
      <c r="D168" s="55">
        <f t="shared" si="4"/>
        <v>5.931768760735268</v>
      </c>
      <c r="E168" s="55">
        <f t="shared" si="5"/>
        <v>-22.491457001329437</v>
      </c>
      <c r="F168" s="55"/>
      <c r="G168" s="55">
        <v>63000</v>
      </c>
      <c r="H168" s="55">
        <f t="shared" si="6"/>
        <v>-64.42433278511828</v>
      </c>
      <c r="I168" s="55">
        <f t="shared" si="7"/>
        <v>-87.0204369570228</v>
      </c>
      <c r="J168" s="55">
        <f t="shared" si="8"/>
        <v>-151.4447697421411</v>
      </c>
      <c r="K168" s="65"/>
      <c r="L168" s="32"/>
    </row>
    <row r="169" spans="2:12" ht="14.25">
      <c r="B169" s="55">
        <v>100000</v>
      </c>
      <c r="C169" s="55">
        <f t="shared" si="3"/>
        <v>-24.990180822146396</v>
      </c>
      <c r="D169" s="55">
        <f t="shared" si="4"/>
        <v>1.9258272452318026</v>
      </c>
      <c r="E169" s="55">
        <f t="shared" si="5"/>
        <v>-23.064353576914595</v>
      </c>
      <c r="F169" s="55"/>
      <c r="G169" s="55">
        <v>100000</v>
      </c>
      <c r="H169" s="55">
        <f t="shared" si="6"/>
        <v>-73.11299489977516</v>
      </c>
      <c r="I169" s="55">
        <f t="shared" si="7"/>
        <v>-88.12181769084025</v>
      </c>
      <c r="J169" s="55">
        <f t="shared" si="8"/>
        <v>-161.2348125906154</v>
      </c>
      <c r="K169" s="65"/>
      <c r="L169" s="32"/>
    </row>
    <row r="170" spans="2:12" ht="14.25">
      <c r="B170" s="55"/>
      <c r="C170" s="55"/>
      <c r="D170" s="55"/>
      <c r="E170" s="55"/>
      <c r="F170" s="55"/>
      <c r="G170" s="55"/>
      <c r="H170" s="55"/>
      <c r="I170" s="55"/>
      <c r="J170" s="55"/>
      <c r="K170" s="65"/>
      <c r="L170" s="32"/>
    </row>
    <row r="171" spans="2:12" ht="14.2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11:12" ht="14.25">
      <c r="K172" s="32"/>
      <c r="L172" s="32"/>
    </row>
    <row r="173" spans="11:12" ht="14.25">
      <c r="K173" s="32"/>
      <c r="L173" s="32"/>
    </row>
    <row r="174" spans="7:11" ht="14.25">
      <c r="G174" s="32"/>
      <c r="H174" s="32"/>
      <c r="I174" s="32"/>
      <c r="J174" s="32"/>
      <c r="K174" s="32"/>
    </row>
    <row r="175" spans="1:10" ht="14.25">
      <c r="A175" s="20"/>
      <c r="F175" s="20"/>
      <c r="G175" s="20"/>
      <c r="H175" s="20"/>
      <c r="I175" s="20"/>
      <c r="J175" s="20"/>
    </row>
    <row r="176" spans="1:10" ht="15">
      <c r="A176" s="44"/>
      <c r="F176" s="44"/>
      <c r="G176" s="44"/>
      <c r="H176" s="44"/>
      <c r="I176" s="44"/>
      <c r="J176" s="55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4.2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4.2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44"/>
      <c r="B203" s="44"/>
      <c r="C203" s="44"/>
      <c r="D203" s="44"/>
      <c r="E203" s="44"/>
      <c r="F203" s="44"/>
      <c r="G203" s="44"/>
      <c r="H203" s="44"/>
      <c r="I203" s="44"/>
    </row>
    <row r="204" spans="1:9" ht="14.25">
      <c r="A204" s="20"/>
      <c r="B204" s="35"/>
      <c r="C204" s="35"/>
      <c r="D204" s="41"/>
      <c r="E204" s="20"/>
      <c r="F204" s="20"/>
      <c r="G204" s="20"/>
      <c r="H204" s="20"/>
      <c r="I204" s="20"/>
    </row>
    <row r="205" spans="1:9" ht="14.25">
      <c r="A205" s="20"/>
      <c r="B205" s="35"/>
      <c r="C205" s="35"/>
      <c r="D205" s="41"/>
      <c r="E205" s="20"/>
      <c r="F205" s="20"/>
      <c r="G205" s="20"/>
      <c r="H205" s="20"/>
      <c r="I205" s="20"/>
    </row>
    <row r="206" spans="1:9" ht="14.25">
      <c r="A206" s="20"/>
      <c r="B206" s="35"/>
      <c r="C206" s="35"/>
      <c r="D206" s="41"/>
      <c r="E206" s="20"/>
      <c r="F206" s="20"/>
      <c r="G206" s="20"/>
      <c r="H206" s="20"/>
      <c r="I206" s="20"/>
    </row>
    <row r="207" spans="1:9" ht="14.25">
      <c r="A207" s="20"/>
      <c r="B207" s="35"/>
      <c r="C207" s="35"/>
      <c r="D207" s="41"/>
      <c r="E207" s="20"/>
      <c r="F207" s="20"/>
      <c r="G207" s="20"/>
      <c r="H207" s="20"/>
      <c r="I207" s="20"/>
    </row>
    <row r="208" spans="1:9" ht="14.25">
      <c r="A208" s="20"/>
      <c r="B208" s="35"/>
      <c r="C208" s="35"/>
      <c r="D208" s="41"/>
      <c r="E208" s="20"/>
      <c r="F208" s="20"/>
      <c r="G208" s="20"/>
      <c r="H208" s="20"/>
      <c r="I208" s="20"/>
    </row>
    <row r="209" spans="1:9" ht="14.25">
      <c r="A209" s="20"/>
      <c r="B209" s="35"/>
      <c r="C209" s="35"/>
      <c r="D209" s="41"/>
      <c r="E209" s="20"/>
      <c r="F209" s="20"/>
      <c r="G209" s="20"/>
      <c r="H209" s="20"/>
      <c r="I209" s="20"/>
    </row>
    <row r="210" spans="1:9" ht="14.25">
      <c r="A210" s="20"/>
      <c r="B210" s="35"/>
      <c r="C210" s="35"/>
      <c r="D210" s="41"/>
      <c r="E210" s="20"/>
      <c r="F210" s="20"/>
      <c r="G210" s="20"/>
      <c r="H210" s="20"/>
      <c r="I210" s="20"/>
    </row>
    <row r="211" spans="1:9" ht="14.2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45"/>
      <c r="C212" s="95"/>
      <c r="D212" s="40"/>
      <c r="E212" s="20"/>
      <c r="F212" s="20"/>
      <c r="G212" s="20"/>
      <c r="H212" s="20"/>
      <c r="I212" s="20"/>
    </row>
    <row r="213" spans="1:9" ht="15">
      <c r="A213" s="20"/>
      <c r="B213" s="45"/>
      <c r="C213" s="45"/>
      <c r="D213" s="40"/>
      <c r="E213" s="20"/>
      <c r="F213" s="20"/>
      <c r="G213" s="20"/>
      <c r="H213" s="20"/>
      <c r="I213" s="20"/>
    </row>
    <row r="214" spans="1:9" ht="15">
      <c r="A214" s="20"/>
      <c r="B214" s="45"/>
      <c r="C214" s="45"/>
      <c r="D214" s="40"/>
      <c r="E214" s="20"/>
      <c r="F214" s="20"/>
      <c r="G214" s="20"/>
      <c r="H214" s="20"/>
      <c r="I214" s="20"/>
    </row>
    <row r="215" spans="1:9" ht="14.2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10" ht="14.25">
      <c r="A216" s="20"/>
      <c r="B216" s="41"/>
      <c r="C216" s="41"/>
      <c r="D216" s="41"/>
      <c r="E216" s="41"/>
      <c r="F216" s="41"/>
      <c r="G216" s="41"/>
      <c r="H216" s="41"/>
      <c r="I216" s="41"/>
      <c r="J216" s="9"/>
    </row>
    <row r="217" spans="1:10" ht="14.25">
      <c r="A217" s="55"/>
      <c r="B217" s="55"/>
      <c r="C217" s="55"/>
      <c r="D217" s="55"/>
      <c r="E217" s="55"/>
      <c r="F217" s="55"/>
      <c r="G217" s="55"/>
      <c r="H217" s="55"/>
      <c r="I217" s="55"/>
      <c r="J217" s="9"/>
    </row>
    <row r="218" spans="1:10" ht="14.25">
      <c r="A218" s="55"/>
      <c r="B218" s="55"/>
      <c r="C218" s="55"/>
      <c r="D218" s="55"/>
      <c r="E218" s="55"/>
      <c r="F218" s="55"/>
      <c r="G218" s="55"/>
      <c r="H218" s="55"/>
      <c r="I218" s="55"/>
      <c r="J218" s="9"/>
    </row>
    <row r="219" spans="1:10" ht="14.25">
      <c r="A219" s="53"/>
      <c r="B219" s="53"/>
      <c r="C219" s="53"/>
      <c r="D219" s="55"/>
      <c r="E219" s="53"/>
      <c r="F219" s="53"/>
      <c r="G219" s="53"/>
      <c r="H219" s="53"/>
      <c r="I219" s="55"/>
      <c r="J219" s="9"/>
    </row>
    <row r="220" spans="1:10" ht="14.25">
      <c r="A220" s="53"/>
      <c r="B220" s="53"/>
      <c r="C220" s="53"/>
      <c r="D220" s="55"/>
      <c r="E220" s="53"/>
      <c r="F220" s="53"/>
      <c r="G220" s="53"/>
      <c r="H220" s="53"/>
      <c r="I220" s="55"/>
      <c r="J220" s="9"/>
    </row>
    <row r="221" spans="1:10" ht="14.25">
      <c r="A221" s="53"/>
      <c r="B221" s="53"/>
      <c r="C221" s="53"/>
      <c r="D221" s="55"/>
      <c r="E221" s="53"/>
      <c r="F221" s="53"/>
      <c r="G221" s="53"/>
      <c r="H221" s="53"/>
      <c r="I221" s="55"/>
      <c r="J221" s="9"/>
    </row>
    <row r="222" spans="1:10" ht="14.25">
      <c r="A222" s="53"/>
      <c r="B222" s="53"/>
      <c r="C222" s="53"/>
      <c r="D222" s="55"/>
      <c r="E222" s="53"/>
      <c r="F222" s="53"/>
      <c r="G222" s="53"/>
      <c r="H222" s="53"/>
      <c r="I222" s="55"/>
      <c r="J222" s="9"/>
    </row>
    <row r="223" spans="1:10" ht="14.25">
      <c r="A223" s="53"/>
      <c r="B223" s="53"/>
      <c r="C223" s="53"/>
      <c r="D223" s="55"/>
      <c r="E223" s="53"/>
      <c r="F223" s="53"/>
      <c r="G223" s="53"/>
      <c r="H223" s="53"/>
      <c r="I223" s="55"/>
      <c r="J223" s="9"/>
    </row>
    <row r="224" spans="1:10" ht="14.25">
      <c r="A224" s="53"/>
      <c r="B224" s="53"/>
      <c r="C224" s="53"/>
      <c r="D224" s="55"/>
      <c r="E224" s="53"/>
      <c r="F224" s="53"/>
      <c r="G224" s="53"/>
      <c r="H224" s="53"/>
      <c r="I224" s="55"/>
      <c r="J224" s="9"/>
    </row>
    <row r="225" spans="1:10" ht="14.25">
      <c r="A225" s="53"/>
      <c r="B225" s="53"/>
      <c r="C225" s="53"/>
      <c r="D225" s="55"/>
      <c r="E225" s="53"/>
      <c r="F225" s="53"/>
      <c r="G225" s="53"/>
      <c r="H225" s="53"/>
      <c r="I225" s="55"/>
      <c r="J225" s="9"/>
    </row>
    <row r="226" spans="1:10" ht="14.25">
      <c r="A226" s="53"/>
      <c r="B226" s="53"/>
      <c r="C226" s="53"/>
      <c r="D226" s="55"/>
      <c r="E226" s="53"/>
      <c r="F226" s="53"/>
      <c r="G226" s="53"/>
      <c r="H226" s="53"/>
      <c r="I226" s="55"/>
      <c r="J226" s="9"/>
    </row>
    <row r="227" spans="1:10" ht="14.25">
      <c r="A227" s="53"/>
      <c r="B227" s="53"/>
      <c r="C227" s="53"/>
      <c r="D227" s="55"/>
      <c r="E227" s="53"/>
      <c r="F227" s="53"/>
      <c r="G227" s="53"/>
      <c r="H227" s="53"/>
      <c r="I227" s="55"/>
      <c r="J227" s="9"/>
    </row>
    <row r="228" spans="1:10" ht="14.25">
      <c r="A228" s="53"/>
      <c r="B228" s="53"/>
      <c r="C228" s="53"/>
      <c r="D228" s="55"/>
      <c r="E228" s="53"/>
      <c r="F228" s="53"/>
      <c r="G228" s="53"/>
      <c r="H228" s="53"/>
      <c r="I228" s="55"/>
      <c r="J228" s="9"/>
    </row>
    <row r="229" spans="1:10" ht="14.25">
      <c r="A229" s="53"/>
      <c r="B229" s="53"/>
      <c r="C229" s="53"/>
      <c r="D229" s="55"/>
      <c r="E229" s="53"/>
      <c r="F229" s="53"/>
      <c r="G229" s="53"/>
      <c r="H229" s="53"/>
      <c r="I229" s="55"/>
      <c r="J229" s="9"/>
    </row>
    <row r="230" spans="1:10" ht="14.25">
      <c r="A230" s="53"/>
      <c r="B230" s="53"/>
      <c r="C230" s="53"/>
      <c r="D230" s="55"/>
      <c r="E230" s="53"/>
      <c r="F230" s="53"/>
      <c r="G230" s="53"/>
      <c r="H230" s="53"/>
      <c r="I230" s="55"/>
      <c r="J230" s="9"/>
    </row>
    <row r="231" spans="1:10" ht="14.25">
      <c r="A231" s="53"/>
      <c r="B231" s="53"/>
      <c r="C231" s="53"/>
      <c r="D231" s="55"/>
      <c r="E231" s="53"/>
      <c r="F231" s="53"/>
      <c r="G231" s="53"/>
      <c r="H231" s="53"/>
      <c r="I231" s="55"/>
      <c r="J231" s="9"/>
    </row>
    <row r="232" spans="1:10" ht="14.25">
      <c r="A232" s="53"/>
      <c r="B232" s="53"/>
      <c r="C232" s="53"/>
      <c r="D232" s="55"/>
      <c r="E232" s="53"/>
      <c r="F232" s="53"/>
      <c r="G232" s="53"/>
      <c r="H232" s="53"/>
      <c r="I232" s="55"/>
      <c r="J232" s="9"/>
    </row>
    <row r="233" spans="1:10" ht="14.25">
      <c r="A233" s="53"/>
      <c r="B233" s="53"/>
      <c r="C233" s="53"/>
      <c r="D233" s="55"/>
      <c r="E233" s="53"/>
      <c r="F233" s="53"/>
      <c r="G233" s="53"/>
      <c r="H233" s="53"/>
      <c r="I233" s="55"/>
      <c r="J233" s="9"/>
    </row>
    <row r="234" spans="1:10" ht="14.25">
      <c r="A234" s="53"/>
      <c r="B234" s="53"/>
      <c r="C234" s="53"/>
      <c r="D234" s="55"/>
      <c r="E234" s="53"/>
      <c r="F234" s="53"/>
      <c r="G234" s="53"/>
      <c r="H234" s="53"/>
      <c r="I234" s="55"/>
      <c r="J234" s="9"/>
    </row>
    <row r="235" spans="1:10" ht="14.25">
      <c r="A235" s="53"/>
      <c r="B235" s="53"/>
      <c r="C235" s="53"/>
      <c r="D235" s="55"/>
      <c r="E235" s="53"/>
      <c r="F235" s="53"/>
      <c r="G235" s="53"/>
      <c r="H235" s="53"/>
      <c r="I235" s="55"/>
      <c r="J235" s="9"/>
    </row>
    <row r="236" spans="1:10" ht="14.25">
      <c r="A236" s="53"/>
      <c r="B236" s="53"/>
      <c r="C236" s="53"/>
      <c r="D236" s="55"/>
      <c r="E236" s="53"/>
      <c r="F236" s="53"/>
      <c r="G236" s="53"/>
      <c r="H236" s="53"/>
      <c r="I236" s="55"/>
      <c r="J236" s="9"/>
    </row>
    <row r="237" spans="1:10" ht="14.25">
      <c r="A237" s="53"/>
      <c r="B237" s="53"/>
      <c r="C237" s="53"/>
      <c r="D237" s="55"/>
      <c r="E237" s="53"/>
      <c r="F237" s="53"/>
      <c r="G237" s="53"/>
      <c r="H237" s="53"/>
      <c r="I237" s="55"/>
      <c r="J237" s="9"/>
    </row>
    <row r="238" spans="1:10" ht="14.25">
      <c r="A238" s="53"/>
      <c r="B238" s="53"/>
      <c r="C238" s="53"/>
      <c r="D238" s="55"/>
      <c r="E238" s="53"/>
      <c r="F238" s="53"/>
      <c r="G238" s="53"/>
      <c r="H238" s="53"/>
      <c r="I238" s="55"/>
      <c r="J238" s="9"/>
    </row>
    <row r="239" spans="1:10" ht="14.2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2:10" ht="14.25">
      <c r="B240" s="9"/>
      <c r="C240" s="9"/>
      <c r="D240" s="9"/>
      <c r="E240" s="9"/>
      <c r="F240" s="9"/>
      <c r="G240" s="9"/>
      <c r="H240" s="9"/>
      <c r="I240" s="9"/>
      <c r="J240" s="9"/>
    </row>
    <row r="241" spans="3:9" ht="14.25">
      <c r="C241" s="9"/>
      <c r="D241" s="9"/>
      <c r="E241" s="9"/>
      <c r="F241" s="9"/>
      <c r="G241" s="9"/>
      <c r="H241" s="9"/>
      <c r="I241" s="9"/>
    </row>
    <row r="242" spans="3:9" ht="14.25">
      <c r="C242" s="9"/>
      <c r="D242" s="9"/>
      <c r="E242" s="9"/>
      <c r="F242" s="9"/>
      <c r="G242" s="9"/>
      <c r="H242" s="9"/>
      <c r="I242" s="9"/>
    </row>
    <row r="243" spans="3:9" ht="14.25">
      <c r="C243" s="9"/>
      <c r="D243" s="9"/>
      <c r="E243" s="9"/>
      <c r="F243" s="9"/>
      <c r="G243" s="9"/>
      <c r="H243" s="41"/>
      <c r="I243" s="9"/>
    </row>
    <row r="244" spans="3:9" ht="15">
      <c r="C244" s="9"/>
      <c r="D244" s="96"/>
      <c r="E244" s="96"/>
      <c r="F244" s="96"/>
      <c r="G244" s="96"/>
      <c r="H244" s="41"/>
      <c r="I244" s="9"/>
    </row>
    <row r="245" spans="3:9" ht="14.25">
      <c r="C245" s="9"/>
      <c r="D245" s="9"/>
      <c r="E245" s="9"/>
      <c r="F245" s="9"/>
      <c r="G245" s="9"/>
      <c r="H245" s="9"/>
      <c r="I245" s="9"/>
    </row>
    <row r="246" spans="3:9" ht="14.25">
      <c r="C246" s="9"/>
      <c r="D246" s="9"/>
      <c r="E246" s="9"/>
      <c r="F246" s="9"/>
      <c r="G246" s="9"/>
      <c r="H246" s="9"/>
      <c r="I246" s="9"/>
    </row>
    <row r="247" spans="3:9" ht="14.25">
      <c r="C247" s="9"/>
      <c r="D247" s="9"/>
      <c r="E247" s="9"/>
      <c r="F247" s="9"/>
      <c r="G247" s="9"/>
      <c r="H247" s="9"/>
      <c r="I247" s="9"/>
    </row>
  </sheetData>
  <sheetProtection password="C10A" sheet="1" selectLockedCells="1"/>
  <mergeCells count="14">
    <mergeCell ref="G146:H146"/>
    <mergeCell ref="F58:G58"/>
    <mergeCell ref="C109:D110"/>
    <mergeCell ref="E109:F110"/>
    <mergeCell ref="F21:M21"/>
    <mergeCell ref="G109:H110"/>
    <mergeCell ref="I109:J110"/>
    <mergeCell ref="I68:J68"/>
    <mergeCell ref="G147:H147"/>
    <mergeCell ref="C1:K2"/>
    <mergeCell ref="G133:H133"/>
    <mergeCell ref="G134:H134"/>
    <mergeCell ref="G135:H135"/>
    <mergeCell ref="G145:H145"/>
  </mergeCells>
  <conditionalFormatting sqref="A134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60" max="9" man="1"/>
    <brk id="106" max="255" man="1"/>
    <brk id="147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2013-12-16T05:41:13Z</dcterms:modified>
  <cp:category/>
  <cp:version/>
  <cp:contentType/>
  <cp:contentStatus/>
</cp:coreProperties>
</file>