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265" activeTab="0"/>
  </bookViews>
  <sheets>
    <sheet name="FSL series design guideline" sheetId="1" r:id="rId1"/>
  </sheets>
  <definedNames>
    <definedName name="_xlfn.IFERROR" hidden="1">#NAME?</definedName>
    <definedName name="Ae" localSheetId="0">'FSL series design guideline'!$C$61</definedName>
    <definedName name="Ae">#REF!</definedName>
    <definedName name="AL" localSheetId="0">'FSL series design guideline'!$C$76</definedName>
    <definedName name="AL">#REF!</definedName>
    <definedName name="Bmax" localSheetId="0">'FSL series design guideline'!#REF!</definedName>
    <definedName name="Bmax">#REF!</definedName>
    <definedName name="Bsat" localSheetId="0">'FSL series design guideline'!$C$60</definedName>
    <definedName name="Bsat">#REF!</definedName>
    <definedName name="CB" localSheetId="0">'FSL series design guideline'!#REF!*10^-9</definedName>
    <definedName name="CB">#REF!*10^-9</definedName>
    <definedName name="Cdc" localSheetId="0">'FSL series design guideline'!$C$27/1000000</definedName>
    <definedName name="Cdc">#REF!/1000000</definedName>
    <definedName name="CF" localSheetId="0">'FSL series design guideline'!#REF!*10^-9</definedName>
    <definedName name="CF">#REF!*10^-9</definedName>
    <definedName name="Co_1" localSheetId="0">'FSL series design guideline'!$C$109</definedName>
    <definedName name="Co_1">#REF!</definedName>
    <definedName name="Co_2" localSheetId="0">'FSL series design guideline'!$C$110</definedName>
    <definedName name="Co_2">#REF!</definedName>
    <definedName name="Co_3" localSheetId="0">'FSL series design guideline'!$C$111</definedName>
    <definedName name="Co_3">#REF!</definedName>
    <definedName name="Co_4" localSheetId="0">'FSL series design guideline'!$C$112</definedName>
    <definedName name="Co_4">#REF!</definedName>
    <definedName name="Co_5" localSheetId="0">'FSL series design guideline'!$C$113</definedName>
    <definedName name="Co_5">#REF!</definedName>
    <definedName name="Co_6" localSheetId="0">'FSL series design guideline'!$C$114</definedName>
    <definedName name="Co_6">#REF!</definedName>
    <definedName name="Dch">'FSL series design guideline'!$C$28</definedName>
    <definedName name="Dmax" localSheetId="0">'FSL series design guideline'!$C$38</definedName>
    <definedName name="Dmax">#REF!</definedName>
    <definedName name="Dmax.peak">'FSL series design guideline'!$C$51</definedName>
    <definedName name="Eff" localSheetId="0">'FSL series design guideline'!$C$19/100</definedName>
    <definedName name="Eff">#REF!/100</definedName>
    <definedName name="ffi" localSheetId="0">'FSL series design guideline'!$C$210</definedName>
    <definedName name="ffi">#REF!</definedName>
    <definedName name="ffp" localSheetId="0">'FSL series design guideline'!$C$212</definedName>
    <definedName name="ffp">#REF!</definedName>
    <definedName name="ffz" localSheetId="0">'FSL series design guideline'!$C$211</definedName>
    <definedName name="ffz">#REF!</definedName>
    <definedName name="fi" localSheetId="0">'FSL series design guideline'!$G$143</definedName>
    <definedName name="fi">#REF!</definedName>
    <definedName name="fL" localSheetId="0">'FSL series design guideline'!$C$9</definedName>
    <definedName name="fL">#REF!</definedName>
    <definedName name="fp" localSheetId="0">'FSL series design guideline'!$G$145</definedName>
    <definedName name="fp">#REF!</definedName>
    <definedName name="fp_1" localSheetId="0">'FSL series design guideline'!$G$133</definedName>
    <definedName name="fp_1">#REF!</definedName>
    <definedName name="fs" localSheetId="0">'FSL series design guideline'!$C$42*1000</definedName>
    <definedName name="fs">#REF!*1000</definedName>
    <definedName name="fz" localSheetId="0">'FSL series design guideline'!$G$144</definedName>
    <definedName name="fz">#REF!</definedName>
    <definedName name="fz_1" localSheetId="0">'FSL series design guideline'!$G$131</definedName>
    <definedName name="fz_1">#REF!</definedName>
    <definedName name="fzr" localSheetId="0">'FSL series design guideline'!$G$132</definedName>
    <definedName name="fzr">#REF!</definedName>
    <definedName name="Ilim" localSheetId="0">'FSL series design guideline'!$C$55</definedName>
    <definedName name="Ilim">#REF!</definedName>
    <definedName name="Ilim.adj">'FSL series design guideline'!#REF!</definedName>
    <definedName name="Io.peak_1">'FSL series design guideline'!$G$12</definedName>
    <definedName name="Io.peak_2">'FSL series design guideline'!$G$13</definedName>
    <definedName name="Io.peak_3">'FSL series design guideline'!$G$14</definedName>
    <definedName name="Io.peak_4">'FSL series design guideline'!$G$15</definedName>
    <definedName name="Io.peak_5">'FSL series design guideline'!$G$16</definedName>
    <definedName name="Io.peak_6">'FSL series design guideline'!$G$17</definedName>
    <definedName name="Io_1" localSheetId="0">'FSL series design guideline'!$E$12</definedName>
    <definedName name="Io_1">#REF!</definedName>
    <definedName name="Io_2" localSheetId="0">'FSL series design guideline'!$E$13</definedName>
    <definedName name="Io_2">#REF!</definedName>
    <definedName name="Io_3" localSheetId="0">'FSL series design guideline'!$E$14</definedName>
    <definedName name="Io_3">#REF!</definedName>
    <definedName name="Io_4" localSheetId="0">'FSL series design guideline'!$E$15</definedName>
    <definedName name="Io_4">#REF!</definedName>
    <definedName name="Io_5" localSheetId="0">'FSL series design guideline'!$E$16</definedName>
    <definedName name="Io_5">#REF!</definedName>
    <definedName name="Io_6" localSheetId="0">'FSL series design guideline'!$E$17</definedName>
    <definedName name="Io_6">#REF!</definedName>
    <definedName name="Io1rms" localSheetId="0">'FSL series design guideline'!$G$84</definedName>
    <definedName name="Io1rms">#REF!</definedName>
    <definedName name="Io2rms" localSheetId="0">'FSL series design guideline'!$G$85</definedName>
    <definedName name="Io2rms">#REF!</definedName>
    <definedName name="Io3rms" localSheetId="0">'FSL series design guideline'!$G$86</definedName>
    <definedName name="Io3rms">#REF!</definedName>
    <definedName name="Io4rms" localSheetId="0">'FSL series design guideline'!$G$87</definedName>
    <definedName name="Io4rms">#REF!</definedName>
    <definedName name="Io5rms" localSheetId="0">'FSL series design guideline'!$G$88</definedName>
    <definedName name="Io5rms">#REF!</definedName>
    <definedName name="Io6rms" localSheetId="0">'FSL series design guideline'!$G$89</definedName>
    <definedName name="Io6rms">#REF!</definedName>
    <definedName name="Ipk" localSheetId="0">'FSL series design guideline'!$C$46</definedName>
    <definedName name="Ipk">#REF!</definedName>
    <definedName name="Ipk.peak">'FSL series design guideline'!$C$52</definedName>
    <definedName name="Irms" localSheetId="0">'FSL series design guideline'!$C$47</definedName>
    <definedName name="Irms">#REF!</definedName>
    <definedName name="k_1" localSheetId="0">'FSL series design guideline'!$C$130</definedName>
    <definedName name="k_1">#REF!</definedName>
    <definedName name="KL1" localSheetId="0">'FSL series design guideline'!$M$12/100</definedName>
    <definedName name="KL1">#REF!/100</definedName>
    <definedName name="KL2" localSheetId="0">'FSL series design guideline'!$M$13/100</definedName>
    <definedName name="KL2">#REF!/100</definedName>
    <definedName name="KL3" localSheetId="0">'FSL series design guideline'!$M$14/100</definedName>
    <definedName name="KL3">#REF!/100</definedName>
    <definedName name="KL4" localSheetId="0">'FSL series design guideline'!$M$15/100</definedName>
    <definedName name="KL4">#REF!/100</definedName>
    <definedName name="KL5" localSheetId="0">'FSL series design guideline'!$M$16/100</definedName>
    <definedName name="KL5">#REF!/100</definedName>
    <definedName name="KL6" localSheetId="0">'FSL series design guideline'!$M$17/100</definedName>
    <definedName name="KL6">#REF!/100</definedName>
    <definedName name="KRF" localSheetId="0">'FSL series design guideline'!$C$43</definedName>
    <definedName name="KRF">#REF!</definedName>
    <definedName name="Llk" localSheetId="0">'FSL series design guideline'!$C$117</definedName>
    <definedName name="Llk">#REF!</definedName>
    <definedName name="Lm" localSheetId="0">'FSL series design guideline'!$C$44/1000000</definedName>
    <definedName name="Lm">#REF!/1000000</definedName>
    <definedName name="Lm_D">'FSL series design guideline'!$C$45</definedName>
    <definedName name="Nc" localSheetId="0">'FSL series design guideline'!$I$67</definedName>
    <definedName name="Nc">#REF!</definedName>
    <definedName name="Np" localSheetId="0">'FSL series design guideline'!$I$74</definedName>
    <definedName name="Np">#REF!</definedName>
    <definedName name="Ns1" localSheetId="0">'FSL series design guideline'!$I$68</definedName>
    <definedName name="Ns1">#REF!</definedName>
    <definedName name="Ns2" localSheetId="0">'FSL series design guideline'!$I$69</definedName>
    <definedName name="Ns2">#REF!</definedName>
    <definedName name="Ns3" localSheetId="0">'FSL series design guideline'!$I$70</definedName>
    <definedName name="Ns3">#REF!</definedName>
    <definedName name="Ns4" localSheetId="0">'FSL series design guideline'!$I$71</definedName>
    <definedName name="Ns4">#REF!</definedName>
    <definedName name="Ns5" localSheetId="0">'FSL series design guideline'!$I$72</definedName>
    <definedName name="Ns5">#REF!</definedName>
    <definedName name="Ns6" localSheetId="0">'FSL series design guideline'!$I$73</definedName>
    <definedName name="Ns6">#REF!</definedName>
    <definedName name="Pin" localSheetId="0">'FSL series design guideline'!$C$20</definedName>
    <definedName name="Pin">#REF!</definedName>
    <definedName name="Pin.peak">'FSL series design guideline'!$C$24</definedName>
    <definedName name="Po" localSheetId="0">'FSL series design guideline'!$C$18</definedName>
    <definedName name="Po">#REF!</definedName>
    <definedName name="Po.peak">'FSL series design guideline'!$C$22</definedName>
    <definedName name="_xlnm.Print_Area" localSheetId="0">'FSL series design guideline'!$A$1:$J$176</definedName>
    <definedName name="R_1" localSheetId="0">'FSL series design guideline'!$C$135</definedName>
    <definedName name="R_1">#REF!</definedName>
    <definedName name="Rc_1" localSheetId="0">'FSL series design guideline'!$E$109</definedName>
    <definedName name="Rc_1">#REF!</definedName>
    <definedName name="Rc_2" localSheetId="0">'FSL series design guideline'!$E$110</definedName>
    <definedName name="Rc_2">#REF!</definedName>
    <definedName name="Rc_3" localSheetId="0">'FSL series design guideline'!$E$111</definedName>
    <definedName name="Rc_3">#REF!</definedName>
    <definedName name="Rc_4" localSheetId="0">'FSL series design guideline'!$E$112</definedName>
    <definedName name="Rc_4">#REF!</definedName>
    <definedName name="Rc_5" localSheetId="0">'FSL series design guideline'!$E$113</definedName>
    <definedName name="Rc_5">#REF!</definedName>
    <definedName name="Rc_6" localSheetId="0">'FSL series design guideline'!$E$114</definedName>
    <definedName name="Rc_6">#REF!</definedName>
    <definedName name="RD" localSheetId="0">'FSL series design guideline'!#REF!*1000</definedName>
    <definedName name="RD">#REF!*1000</definedName>
    <definedName name="Rpeak">'FSL series design guideline'!#REF!</definedName>
    <definedName name="Rsn" localSheetId="0">'FSL series design guideline'!$C$120*1000</definedName>
    <definedName name="Rsn">#REF!*1000</definedName>
    <definedName name="V_line_max" localSheetId="0">'FSL series design guideline'!$C$8</definedName>
    <definedName name="V_line_max">#REF!</definedName>
    <definedName name="V_line_min" localSheetId="0">'FSL series design guideline'!$C$7</definedName>
    <definedName name="V_line_min">#REF!</definedName>
    <definedName name="Vcc" localSheetId="0">'FSL series design guideline'!$C$67</definedName>
    <definedName name="Vcc">#REF!</definedName>
    <definedName name="Vdc_ccm" localSheetId="0">'FSL series design guideline'!#REF!</definedName>
    <definedName name="Vdc_ccm">#REF!</definedName>
    <definedName name="Vdc_max" localSheetId="0">'FSL series design guideline'!$C$30</definedName>
    <definedName name="Vdc_max">#REF!</definedName>
    <definedName name="Vdc_max_peak">'FSL series design guideline'!$C$33</definedName>
    <definedName name="Vdc_min" localSheetId="0">'FSL series design guideline'!$C$29</definedName>
    <definedName name="Vdc_min">#REF!</definedName>
    <definedName name="Vdc_min_peak">'FSL series design guideline'!$C$32</definedName>
    <definedName name="VF1" localSheetId="0">'FSL series design guideline'!$E$68</definedName>
    <definedName name="VF1">#REF!</definedName>
    <definedName name="VF2" localSheetId="0">'FSL series design guideline'!$E$69</definedName>
    <definedName name="VF2">#REF!</definedName>
    <definedName name="VF3" localSheetId="0">'FSL series design guideline'!$E$70</definedName>
    <definedName name="VF3">#REF!</definedName>
    <definedName name="VF4" localSheetId="0">'FSL series design guideline'!$E$71</definedName>
    <definedName name="VF4">#REF!</definedName>
    <definedName name="VF5" localSheetId="0">'FSL series design guideline'!$E$72</definedName>
    <definedName name="VF5">#REF!</definedName>
    <definedName name="VF6" localSheetId="0">'FSL series design guideline'!$E$73</definedName>
    <definedName name="VF6">#REF!</definedName>
    <definedName name="VFC" localSheetId="0">'FSL series design guideline'!$E$67</definedName>
    <definedName name="VFC">#REF!</definedName>
    <definedName name="Vo1" localSheetId="0">'FSL series design guideline'!$C$12</definedName>
    <definedName name="Vo1">#REF!</definedName>
    <definedName name="Vo2" localSheetId="0">'FSL series design guideline'!$C$13</definedName>
    <definedName name="Vo2">#REF!</definedName>
    <definedName name="Vo2.LDO">'FSL series design guideline'!#REF!</definedName>
    <definedName name="Vo2.real">'FSL series design guideline'!$C$69</definedName>
    <definedName name="Vo3" localSheetId="0">'FSL series design guideline'!$C$14</definedName>
    <definedName name="Vo3">#REF!</definedName>
    <definedName name="Vo4" localSheetId="0">'FSL series design guideline'!$C$15</definedName>
    <definedName name="Vo4">#REF!</definedName>
    <definedName name="Vo5" localSheetId="0">'FSL series design guideline'!$C$16</definedName>
    <definedName name="Vo5">#REF!</definedName>
    <definedName name="Vo6" localSheetId="0">'FSL series design guideline'!$C$17</definedName>
    <definedName name="Vo6">#REF!</definedName>
    <definedName name="VRO" localSheetId="0">'FSL series design guideline'!$C$36</definedName>
    <definedName name="VRO">#REF!</definedName>
    <definedName name="Vsn" localSheetId="0">'FSL series design guideline'!$C$118</definedName>
    <definedName name="Vsn">#REF!</definedName>
  </definedNames>
  <calcPr fullCalcOnLoad="1"/>
</workbook>
</file>

<file path=xl/comments1.xml><?xml version="1.0" encoding="utf-8"?>
<comments xmlns="http://schemas.openxmlformats.org/spreadsheetml/2006/main">
  <authors>
    <author>hangseok</author>
    <author>EuisooKim</author>
  </authors>
  <commentList>
    <comment ref="C27" authorId="0">
      <text>
        <r>
          <rPr>
            <b/>
            <sz val="9"/>
            <rFont val="굴림"/>
            <family val="3"/>
          </rPr>
          <t xml:space="preserve">2-3uF per 1 watt </t>
        </r>
      </text>
    </comment>
    <comment ref="C38" authorId="0">
      <text>
        <r>
          <rPr>
            <b/>
            <sz val="9"/>
            <rFont val="굴림"/>
            <family val="3"/>
          </rPr>
          <t>For CCM operation, it is recommended to set Dmax &lt; 0.5 to avoid subharmonic oscillation</t>
        </r>
      </text>
    </comment>
    <comment ref="C39" authorId="0">
      <text>
        <r>
          <rPr>
            <b/>
            <sz val="9"/>
            <rFont val="굴림"/>
            <family val="3"/>
          </rPr>
          <t>When ignoring voltage spike</t>
        </r>
      </text>
    </comment>
    <comment ref="C55" authorId="1">
      <text>
        <r>
          <rPr>
            <b/>
            <sz val="8"/>
            <rFont val="Tahoma"/>
            <family val="2"/>
          </rPr>
          <t>FSL176MRT: 3.5A
FSL136MRT: 2.15A
FSL138MRT: 2.15A
FSL126MRT: 1.2A
FSL128MRT: 1.2A</t>
        </r>
      </text>
    </comment>
    <comment ref="C28" authorId="1">
      <text>
        <r>
          <rPr>
            <b/>
            <sz val="8"/>
            <rFont val="Tahoma"/>
            <family val="2"/>
          </rPr>
          <t>Normally 0.2 is recommended.</t>
        </r>
      </text>
    </comment>
    <comment ref="C43" authorId="1">
      <text>
        <r>
          <rPr>
            <b/>
            <sz val="8"/>
            <rFont val="Tahoma"/>
            <family val="2"/>
          </rPr>
          <t>For CCM, KRF &lt; 1
For DCM, KRF = 1</t>
        </r>
      </text>
    </comment>
    <comment ref="C60" authorId="1">
      <text>
        <r>
          <rPr>
            <b/>
            <sz val="8"/>
            <rFont val="Tahoma"/>
            <family val="2"/>
          </rPr>
          <t>It depends on core material, but strongly recommended not to be changed. (Bsat ≤ 0.32)</t>
        </r>
      </text>
    </comment>
  </commentList>
</comments>
</file>

<file path=xl/sharedStrings.xml><?xml version="1.0" encoding="utf-8"?>
<sst xmlns="http://schemas.openxmlformats.org/spreadsheetml/2006/main" count="333" uniqueCount="166">
  <si>
    <t>is the input parameters</t>
  </si>
  <si>
    <t>V</t>
  </si>
  <si>
    <t>Hz</t>
  </si>
  <si>
    <t>W</t>
  </si>
  <si>
    <t>%</t>
  </si>
  <si>
    <t>uH</t>
  </si>
  <si>
    <t>is the output parameters</t>
  </si>
  <si>
    <t>A</t>
  </si>
  <si>
    <t xml:space="preserve">3. Determine Maximum duty ratio (Dmax) </t>
  </si>
  <si>
    <t>T</t>
  </si>
  <si>
    <t>=&gt;</t>
  </si>
  <si>
    <t>mm</t>
  </si>
  <si>
    <t>Diameter</t>
  </si>
  <si>
    <t>Parallel</t>
  </si>
  <si>
    <t>uF</t>
  </si>
  <si>
    <t>6th output capacitor</t>
  </si>
  <si>
    <t>V.rms</t>
  </si>
  <si>
    <t>nF</t>
  </si>
  <si>
    <t>4. Determine transformer primary inductance (Lm)</t>
  </si>
  <si>
    <t>5. Choose the proper FPS considering the input power and current limit</t>
  </si>
  <si>
    <t xml:space="preserve">10. Determine the output capacitor </t>
  </si>
  <si>
    <t>12. Design Feedback control loop</t>
  </si>
  <si>
    <t>3rd output</t>
  </si>
  <si>
    <t>4th output</t>
  </si>
  <si>
    <t>5th output</t>
  </si>
  <si>
    <t>6th output</t>
  </si>
  <si>
    <t>Red cell</t>
  </si>
  <si>
    <t>1. Define the system specifications</t>
  </si>
  <si>
    <t>2. Determine DC link capacitor and DC link voltage range</t>
  </si>
  <si>
    <t>6. Determine the proper core and the minimum primary turns</t>
  </si>
  <si>
    <t xml:space="preserve">8. Determine the wire diameter for each winding </t>
  </si>
  <si>
    <t>9. Choose the rectifier diode in the secondary side</t>
  </si>
  <si>
    <t>1st output for feedback</t>
  </si>
  <si>
    <t>Maximum snubber capacitor voltage ripple</t>
  </si>
  <si>
    <t>rad/s =&gt;</t>
  </si>
  <si>
    <t>2nd output</t>
  </si>
  <si>
    <t>7. Determine the number of turns for each output</t>
  </si>
  <si>
    <t xml:space="preserve">A </t>
  </si>
  <si>
    <t>Ungapped AL value (AL)</t>
  </si>
  <si>
    <r>
      <t>K</t>
    </r>
    <r>
      <rPr>
        <sz val="11"/>
        <color indexed="12"/>
        <rFont val="Symbol"/>
        <family val="1"/>
      </rPr>
      <t>W</t>
    </r>
  </si>
  <si>
    <r>
      <t>K</t>
    </r>
    <r>
      <rPr>
        <b/>
        <sz val="11"/>
        <color indexed="60"/>
        <rFont val="Symbol"/>
        <family val="1"/>
      </rPr>
      <t>W</t>
    </r>
  </si>
  <si>
    <t>Blue cell</t>
  </si>
  <si>
    <t>kHz</t>
  </si>
  <si>
    <t>&gt;</t>
  </si>
  <si>
    <t>VF : Forward voltage drop of rectifier diode</t>
  </si>
  <si>
    <t>Gap length (G) ; center pole gap =</t>
  </si>
  <si>
    <r>
      <t>Minimum Line voltage (V</t>
    </r>
    <r>
      <rPr>
        <vertAlign val="subscript"/>
        <sz val="11"/>
        <color indexed="12"/>
        <rFont val="Arial"/>
        <family val="2"/>
      </rPr>
      <t>line</t>
    </r>
    <r>
      <rPr>
        <vertAlign val="superscript"/>
        <sz val="11"/>
        <color indexed="12"/>
        <rFont val="Arial"/>
        <family val="2"/>
      </rPr>
      <t>min</t>
    </r>
    <r>
      <rPr>
        <sz val="11"/>
        <color indexed="12"/>
        <rFont val="Arial"/>
        <family val="2"/>
      </rPr>
      <t>)</t>
    </r>
  </si>
  <si>
    <r>
      <t>Maximum Line voltage (V</t>
    </r>
    <r>
      <rPr>
        <vertAlign val="subscript"/>
        <sz val="11"/>
        <color indexed="12"/>
        <rFont val="Arial"/>
        <family val="2"/>
      </rPr>
      <t>line</t>
    </r>
    <r>
      <rPr>
        <vertAlign val="superscript"/>
        <sz val="11"/>
        <color indexed="12"/>
        <rFont val="Arial"/>
        <family val="2"/>
      </rPr>
      <t>max</t>
    </r>
    <r>
      <rPr>
        <sz val="11"/>
        <color indexed="12"/>
        <rFont val="Arial"/>
        <family val="2"/>
      </rPr>
      <t>)</t>
    </r>
  </si>
  <si>
    <r>
      <t>Line frequency (f</t>
    </r>
    <r>
      <rPr>
        <vertAlign val="subscript"/>
        <sz val="11"/>
        <color indexed="12"/>
        <rFont val="Arial"/>
        <family val="2"/>
      </rPr>
      <t>L</t>
    </r>
    <r>
      <rPr>
        <sz val="11"/>
        <color indexed="12"/>
        <rFont val="Arial"/>
        <family val="2"/>
      </rPr>
      <t>)</t>
    </r>
  </si>
  <si>
    <r>
      <t>V</t>
    </r>
    <r>
      <rPr>
        <b/>
        <vertAlign val="subscript"/>
        <sz val="11"/>
        <color indexed="9"/>
        <rFont val="Arial"/>
        <family val="2"/>
      </rPr>
      <t>o(n)</t>
    </r>
  </si>
  <si>
    <r>
      <t>I</t>
    </r>
    <r>
      <rPr>
        <b/>
        <vertAlign val="subscript"/>
        <sz val="11"/>
        <color indexed="9"/>
        <rFont val="Arial"/>
        <family val="2"/>
      </rPr>
      <t>o(n)</t>
    </r>
  </si>
  <si>
    <r>
      <t>P</t>
    </r>
    <r>
      <rPr>
        <b/>
        <vertAlign val="subscript"/>
        <sz val="11"/>
        <color indexed="9"/>
        <rFont val="Arial"/>
        <family val="2"/>
      </rPr>
      <t>o(n)</t>
    </r>
  </si>
  <si>
    <r>
      <t>Estimated efficiency (E</t>
    </r>
    <r>
      <rPr>
        <vertAlign val="subscript"/>
        <sz val="11"/>
        <color indexed="12"/>
        <rFont val="Arial"/>
        <family val="2"/>
      </rPr>
      <t>ff</t>
    </r>
    <r>
      <rPr>
        <sz val="11"/>
        <color indexed="12"/>
        <rFont val="Arial"/>
        <family val="2"/>
      </rPr>
      <t>)</t>
    </r>
  </si>
  <si>
    <r>
      <t>DC link capacitor (C</t>
    </r>
    <r>
      <rPr>
        <vertAlign val="subscript"/>
        <sz val="11"/>
        <color indexed="12"/>
        <rFont val="Arial"/>
        <family val="2"/>
      </rPr>
      <t>DC</t>
    </r>
    <r>
      <rPr>
        <sz val="11"/>
        <color indexed="12"/>
        <rFont val="Arial"/>
        <family val="2"/>
      </rPr>
      <t>)</t>
    </r>
  </si>
  <si>
    <r>
      <t>Minimum DC link voltage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min</t>
    </r>
    <r>
      <rPr>
        <b/>
        <sz val="11"/>
        <color indexed="60"/>
        <rFont val="Arial"/>
        <family val="2"/>
      </rPr>
      <t>) =</t>
    </r>
  </si>
  <si>
    <r>
      <t>Maximum DC link voltage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max</t>
    </r>
    <r>
      <rPr>
        <b/>
        <sz val="11"/>
        <color indexed="60"/>
        <rFont val="Arial"/>
        <family val="2"/>
      </rPr>
      <t>)=</t>
    </r>
  </si>
  <si>
    <r>
      <t>Max nominal MOSFET voltage (V</t>
    </r>
    <r>
      <rPr>
        <b/>
        <vertAlign val="subscript"/>
        <sz val="11"/>
        <color indexed="60"/>
        <rFont val="Arial"/>
        <family val="2"/>
      </rPr>
      <t>ds</t>
    </r>
    <r>
      <rPr>
        <b/>
        <vertAlign val="superscript"/>
        <sz val="11"/>
        <color indexed="60"/>
        <rFont val="Arial"/>
        <family val="2"/>
      </rPr>
      <t>nom</t>
    </r>
    <r>
      <rPr>
        <b/>
        <sz val="11"/>
        <color indexed="60"/>
        <rFont val="Arial"/>
        <family val="2"/>
      </rPr>
      <t>) =</t>
    </r>
  </si>
  <si>
    <r>
      <t>Ripple factor (K</t>
    </r>
    <r>
      <rPr>
        <vertAlign val="subscript"/>
        <sz val="11"/>
        <color indexed="12"/>
        <rFont val="Arial"/>
        <family val="2"/>
      </rPr>
      <t>RF</t>
    </r>
    <r>
      <rPr>
        <sz val="11"/>
        <color indexed="12"/>
        <rFont val="Arial"/>
        <family val="2"/>
      </rPr>
      <t>)</t>
    </r>
  </si>
  <si>
    <r>
      <t>Primary side inductance (L</t>
    </r>
    <r>
      <rPr>
        <b/>
        <vertAlign val="subscript"/>
        <sz val="11"/>
        <color indexed="60"/>
        <rFont val="Arial"/>
        <family val="2"/>
      </rPr>
      <t>m</t>
    </r>
    <r>
      <rPr>
        <b/>
        <sz val="11"/>
        <color indexed="60"/>
        <rFont val="Arial"/>
        <family val="2"/>
      </rPr>
      <t>) =</t>
    </r>
  </si>
  <si>
    <r>
      <t>Maximum peak drain current (I</t>
    </r>
    <r>
      <rPr>
        <b/>
        <vertAlign val="subscript"/>
        <sz val="11"/>
        <color indexed="60"/>
        <rFont val="Arial"/>
        <family val="2"/>
      </rPr>
      <t>ds</t>
    </r>
    <r>
      <rPr>
        <b/>
        <vertAlign val="superscript"/>
        <sz val="11"/>
        <color indexed="60"/>
        <rFont val="Arial"/>
        <family val="2"/>
      </rPr>
      <t>peak</t>
    </r>
    <r>
      <rPr>
        <b/>
        <sz val="11"/>
        <color indexed="60"/>
        <rFont val="Arial"/>
        <family val="2"/>
      </rPr>
      <t>) =</t>
    </r>
  </si>
  <si>
    <r>
      <t>RMS drain current (I</t>
    </r>
    <r>
      <rPr>
        <b/>
        <vertAlign val="subscript"/>
        <sz val="11"/>
        <color indexed="60"/>
        <rFont val="Arial"/>
        <family val="2"/>
      </rPr>
      <t>ds</t>
    </r>
    <r>
      <rPr>
        <b/>
        <vertAlign val="superscript"/>
        <sz val="11"/>
        <color indexed="60"/>
        <rFont val="Arial"/>
        <family val="2"/>
      </rPr>
      <t>rms</t>
    </r>
    <r>
      <rPr>
        <b/>
        <sz val="11"/>
        <color indexed="60"/>
        <rFont val="Arial"/>
        <family val="2"/>
      </rPr>
      <t>) =</t>
    </r>
  </si>
  <si>
    <r>
      <t>Typical current limit of FPS (I</t>
    </r>
    <r>
      <rPr>
        <vertAlign val="subscript"/>
        <sz val="11"/>
        <color indexed="12"/>
        <rFont val="Arial"/>
        <family val="2"/>
      </rPr>
      <t>over</t>
    </r>
    <r>
      <rPr>
        <sz val="11"/>
        <color indexed="12"/>
        <rFont val="Arial"/>
        <family val="2"/>
      </rPr>
      <t>)</t>
    </r>
  </si>
  <si>
    <r>
      <t>Saturation flux density (B</t>
    </r>
    <r>
      <rPr>
        <vertAlign val="subscript"/>
        <sz val="11"/>
        <color indexed="12"/>
        <rFont val="Arial"/>
        <family val="2"/>
      </rPr>
      <t>sat</t>
    </r>
    <r>
      <rPr>
        <sz val="11"/>
        <color indexed="12"/>
        <rFont val="Arial"/>
        <family val="2"/>
      </rPr>
      <t>)</t>
    </r>
  </si>
  <si>
    <r>
      <t>Cross sectional area of core (A</t>
    </r>
    <r>
      <rPr>
        <vertAlign val="subscript"/>
        <sz val="11"/>
        <color indexed="12"/>
        <rFont val="Arial"/>
        <family val="2"/>
      </rPr>
      <t>e</t>
    </r>
    <r>
      <rPr>
        <sz val="11"/>
        <color indexed="12"/>
        <rFont val="Arial"/>
        <family val="2"/>
      </rPr>
      <t>)</t>
    </r>
  </si>
  <si>
    <r>
      <t>mm</t>
    </r>
    <r>
      <rPr>
        <vertAlign val="superscript"/>
        <sz val="11"/>
        <color indexed="12"/>
        <rFont val="Arial"/>
        <family val="2"/>
      </rPr>
      <t>2</t>
    </r>
  </si>
  <si>
    <r>
      <t>V</t>
    </r>
    <r>
      <rPr>
        <b/>
        <vertAlign val="subscript"/>
        <sz val="11"/>
        <color indexed="9"/>
        <rFont val="Arial"/>
        <family val="2"/>
      </rPr>
      <t>F(n)</t>
    </r>
  </si>
  <si>
    <r>
      <t>Primary turns (N</t>
    </r>
    <r>
      <rPr>
        <b/>
        <u val="single"/>
        <vertAlign val="subscript"/>
        <sz val="11"/>
        <color indexed="60"/>
        <rFont val="Arial"/>
        <family val="2"/>
      </rPr>
      <t>p</t>
    </r>
    <r>
      <rPr>
        <b/>
        <u val="single"/>
        <sz val="11"/>
        <color indexed="60"/>
        <rFont val="Arial"/>
        <family val="2"/>
      </rPr>
      <t>)=</t>
    </r>
  </si>
  <si>
    <r>
      <t>nH/T</t>
    </r>
    <r>
      <rPr>
        <vertAlign val="superscript"/>
        <sz val="11"/>
        <rFont val="Arial"/>
        <family val="2"/>
      </rPr>
      <t>2</t>
    </r>
  </si>
  <si>
    <r>
      <t>I</t>
    </r>
    <r>
      <rPr>
        <b/>
        <vertAlign val="subscript"/>
        <sz val="11"/>
        <color indexed="9"/>
        <rFont val="Arial"/>
        <family val="2"/>
      </rPr>
      <t>D(n)</t>
    </r>
    <r>
      <rPr>
        <b/>
        <vertAlign val="superscript"/>
        <sz val="11"/>
        <color indexed="9"/>
        <rFont val="Arial"/>
        <family val="2"/>
      </rPr>
      <t>rms</t>
    </r>
    <r>
      <rPr>
        <b/>
        <sz val="11"/>
        <color indexed="9"/>
        <rFont val="Arial"/>
        <family val="2"/>
      </rPr>
      <t xml:space="preserve"> </t>
    </r>
  </si>
  <si>
    <r>
      <t>(A/mm</t>
    </r>
    <r>
      <rPr>
        <b/>
        <vertAlign val="superscript"/>
        <sz val="11"/>
        <color indexed="12"/>
        <rFont val="Arial"/>
        <family val="2"/>
      </rPr>
      <t>2</t>
    </r>
    <r>
      <rPr>
        <b/>
        <sz val="11"/>
        <color indexed="12"/>
        <rFont val="Arial"/>
        <family val="2"/>
      </rPr>
      <t>)</t>
    </r>
  </si>
  <si>
    <r>
      <t>mm</t>
    </r>
    <r>
      <rPr>
        <b/>
        <vertAlign val="superscript"/>
        <sz val="11"/>
        <color indexed="60"/>
        <rFont val="Arial"/>
        <family val="2"/>
      </rPr>
      <t>2</t>
    </r>
  </si>
  <si>
    <r>
      <t>Fill factor (K</t>
    </r>
    <r>
      <rPr>
        <vertAlign val="subscript"/>
        <sz val="11"/>
        <color indexed="12"/>
        <rFont val="Arial"/>
        <family val="2"/>
      </rPr>
      <t>F</t>
    </r>
    <r>
      <rPr>
        <sz val="11"/>
        <color indexed="12"/>
        <rFont val="Arial"/>
        <family val="2"/>
      </rPr>
      <t>)</t>
    </r>
  </si>
  <si>
    <r>
      <t>Required window area (A</t>
    </r>
    <r>
      <rPr>
        <b/>
        <u val="single"/>
        <vertAlign val="subscript"/>
        <sz val="11"/>
        <color indexed="60"/>
        <rFont val="Arial"/>
        <family val="2"/>
      </rPr>
      <t>wr</t>
    </r>
    <r>
      <rPr>
        <b/>
        <u val="single"/>
        <sz val="11"/>
        <color indexed="60"/>
        <rFont val="Arial"/>
        <family val="2"/>
      </rPr>
      <t>)</t>
    </r>
  </si>
  <si>
    <r>
      <t>V</t>
    </r>
    <r>
      <rPr>
        <b/>
        <vertAlign val="subscript"/>
        <sz val="11"/>
        <color indexed="9"/>
        <rFont val="Arial"/>
        <family val="2"/>
      </rPr>
      <t>D(n)</t>
    </r>
  </si>
  <si>
    <r>
      <t>I</t>
    </r>
    <r>
      <rPr>
        <b/>
        <vertAlign val="subscript"/>
        <sz val="11"/>
        <color indexed="8"/>
        <rFont val="Arial"/>
        <family val="2"/>
      </rPr>
      <t>D(n)</t>
    </r>
    <r>
      <rPr>
        <b/>
        <vertAlign val="superscript"/>
        <sz val="11"/>
        <color indexed="8"/>
        <rFont val="Arial"/>
        <family val="2"/>
      </rPr>
      <t>rms</t>
    </r>
  </si>
  <si>
    <r>
      <t>C</t>
    </r>
    <r>
      <rPr>
        <b/>
        <vertAlign val="subscript"/>
        <sz val="11"/>
        <color indexed="9"/>
        <rFont val="Arial"/>
        <family val="2"/>
      </rPr>
      <t>o(n)</t>
    </r>
  </si>
  <si>
    <r>
      <t>R</t>
    </r>
    <r>
      <rPr>
        <b/>
        <vertAlign val="subscript"/>
        <sz val="11"/>
        <color indexed="8"/>
        <rFont val="Arial"/>
        <family val="2"/>
      </rPr>
      <t>C(n)</t>
    </r>
  </si>
  <si>
    <r>
      <t>I</t>
    </r>
    <r>
      <rPr>
        <b/>
        <vertAlign val="subscript"/>
        <sz val="11"/>
        <color indexed="9"/>
        <rFont val="Arial"/>
        <family val="2"/>
      </rPr>
      <t>cap(n)</t>
    </r>
  </si>
  <si>
    <r>
      <t>ΔV</t>
    </r>
    <r>
      <rPr>
        <b/>
        <vertAlign val="subscript"/>
        <sz val="11"/>
        <color indexed="8"/>
        <rFont val="Arial"/>
        <family val="2"/>
      </rPr>
      <t>o(n)</t>
    </r>
  </si>
  <si>
    <t>1st output capacitor</t>
  </si>
  <si>
    <t>2nd output capacitor</t>
  </si>
  <si>
    <t>3rd output capacitor</t>
  </si>
  <si>
    <t>4th output capacitor</t>
  </si>
  <si>
    <t>5th output capacitor</t>
  </si>
  <si>
    <r>
      <t>Primary side leakage inductance (L</t>
    </r>
    <r>
      <rPr>
        <vertAlign val="subscript"/>
        <sz val="11"/>
        <color indexed="12"/>
        <rFont val="Arial"/>
        <family val="2"/>
      </rPr>
      <t>lk</t>
    </r>
    <r>
      <rPr>
        <sz val="11"/>
        <color indexed="12"/>
        <rFont val="Arial"/>
        <family val="2"/>
      </rPr>
      <t>)</t>
    </r>
  </si>
  <si>
    <r>
      <t>Maximum Voltage of snubber capacitor (V</t>
    </r>
    <r>
      <rPr>
        <vertAlign val="subscript"/>
        <sz val="11"/>
        <color indexed="12"/>
        <rFont val="Arial"/>
        <family val="2"/>
      </rPr>
      <t>sn</t>
    </r>
    <r>
      <rPr>
        <sz val="11"/>
        <color indexed="12"/>
        <rFont val="Arial"/>
        <family val="2"/>
      </rPr>
      <t>)</t>
    </r>
  </si>
  <si>
    <t>Control-to-output DC gain =</t>
  </si>
  <si>
    <r>
      <t>Control-to-output zero (w</t>
    </r>
    <r>
      <rPr>
        <b/>
        <vertAlign val="subscript"/>
        <sz val="11"/>
        <color indexed="60"/>
        <rFont val="Arial"/>
        <family val="2"/>
      </rPr>
      <t>z</t>
    </r>
    <r>
      <rPr>
        <b/>
        <sz val="11"/>
        <color indexed="60"/>
        <rFont val="Arial"/>
        <family val="2"/>
      </rPr>
      <t>) =</t>
    </r>
  </si>
  <si>
    <r>
      <t>f</t>
    </r>
    <r>
      <rPr>
        <b/>
        <vertAlign val="subscript"/>
        <sz val="11"/>
        <color indexed="60"/>
        <rFont val="Arial"/>
        <family val="2"/>
      </rPr>
      <t>z</t>
    </r>
    <r>
      <rPr>
        <b/>
        <sz val="11"/>
        <color indexed="60"/>
        <rFont val="Arial"/>
        <family val="2"/>
      </rPr>
      <t>=</t>
    </r>
  </si>
  <si>
    <r>
      <t>Control-to-output RHP zero (w</t>
    </r>
    <r>
      <rPr>
        <b/>
        <vertAlign val="subscript"/>
        <sz val="11"/>
        <color indexed="60"/>
        <rFont val="Arial"/>
        <family val="2"/>
      </rPr>
      <t>rz</t>
    </r>
    <r>
      <rPr>
        <b/>
        <sz val="11"/>
        <color indexed="60"/>
        <rFont val="Arial"/>
        <family val="2"/>
      </rPr>
      <t>)=</t>
    </r>
  </si>
  <si>
    <r>
      <t>f</t>
    </r>
    <r>
      <rPr>
        <b/>
        <vertAlign val="subscript"/>
        <sz val="11"/>
        <color indexed="60"/>
        <rFont val="Arial"/>
        <family val="2"/>
      </rPr>
      <t>rz</t>
    </r>
    <r>
      <rPr>
        <b/>
        <sz val="11"/>
        <color indexed="60"/>
        <rFont val="Arial"/>
        <family val="2"/>
      </rPr>
      <t>=</t>
    </r>
  </si>
  <si>
    <r>
      <t>Control-to-output pole (w</t>
    </r>
    <r>
      <rPr>
        <b/>
        <vertAlign val="subscript"/>
        <sz val="11"/>
        <color indexed="60"/>
        <rFont val="Arial"/>
        <family val="2"/>
      </rPr>
      <t>p</t>
    </r>
    <r>
      <rPr>
        <b/>
        <sz val="11"/>
        <color indexed="60"/>
        <rFont val="Arial"/>
        <family val="2"/>
      </rPr>
      <t>)=</t>
    </r>
  </si>
  <si>
    <r>
      <t>f</t>
    </r>
    <r>
      <rPr>
        <b/>
        <vertAlign val="subscript"/>
        <sz val="11"/>
        <color indexed="60"/>
        <rFont val="Arial"/>
        <family val="2"/>
      </rPr>
      <t>p</t>
    </r>
    <r>
      <rPr>
        <b/>
        <sz val="11"/>
        <color indexed="60"/>
        <rFont val="Arial"/>
        <family val="2"/>
      </rPr>
      <t>=</t>
    </r>
  </si>
  <si>
    <r>
      <t>Voltage divider resistor (R</t>
    </r>
    <r>
      <rPr>
        <vertAlign val="subscript"/>
        <sz val="11"/>
        <color indexed="12"/>
        <rFont val="Arial"/>
        <family val="2"/>
      </rPr>
      <t>1</t>
    </r>
    <r>
      <rPr>
        <sz val="11"/>
        <color indexed="12"/>
        <rFont val="Arial"/>
        <family val="2"/>
      </rPr>
      <t>)</t>
    </r>
  </si>
  <si>
    <r>
      <t>Voltage divider resistor (R</t>
    </r>
    <r>
      <rPr>
        <b/>
        <vertAlign val="subscript"/>
        <sz val="11"/>
        <color indexed="60"/>
        <rFont val="Arial"/>
        <family val="2"/>
      </rPr>
      <t>2</t>
    </r>
    <r>
      <rPr>
        <b/>
        <sz val="11"/>
        <color indexed="60"/>
        <rFont val="Arial"/>
        <family val="2"/>
      </rPr>
      <t>)=</t>
    </r>
  </si>
  <si>
    <r>
      <t>Opto coupler diode resistor (R</t>
    </r>
    <r>
      <rPr>
        <vertAlign val="subscript"/>
        <sz val="11"/>
        <color indexed="12"/>
        <rFont val="Arial"/>
        <family val="2"/>
      </rPr>
      <t>D</t>
    </r>
    <r>
      <rPr>
        <sz val="11"/>
        <color indexed="12"/>
        <rFont val="Arial"/>
        <family val="2"/>
      </rPr>
      <t>)</t>
    </r>
  </si>
  <si>
    <r>
      <t>KA431 Bias resistor (R</t>
    </r>
    <r>
      <rPr>
        <vertAlign val="subscript"/>
        <sz val="11"/>
        <color indexed="12"/>
        <rFont val="Arial"/>
        <family val="2"/>
      </rPr>
      <t>bias</t>
    </r>
    <r>
      <rPr>
        <sz val="11"/>
        <color indexed="12"/>
        <rFont val="Arial"/>
        <family val="2"/>
      </rPr>
      <t>)</t>
    </r>
  </si>
  <si>
    <r>
      <t>Feeback pin capacitor (C</t>
    </r>
    <r>
      <rPr>
        <vertAlign val="subscript"/>
        <sz val="11"/>
        <color indexed="12"/>
        <rFont val="Arial"/>
        <family val="2"/>
      </rPr>
      <t>B</t>
    </r>
    <r>
      <rPr>
        <sz val="11"/>
        <color indexed="12"/>
        <rFont val="Arial"/>
        <family val="2"/>
      </rPr>
      <t>) =</t>
    </r>
  </si>
  <si>
    <r>
      <t>Feedback Capacitor (C</t>
    </r>
    <r>
      <rPr>
        <vertAlign val="subscript"/>
        <sz val="11"/>
        <color indexed="12"/>
        <rFont val="Arial"/>
        <family val="2"/>
      </rPr>
      <t>F</t>
    </r>
    <r>
      <rPr>
        <sz val="11"/>
        <color indexed="12"/>
        <rFont val="Arial"/>
        <family val="2"/>
      </rPr>
      <t>) =</t>
    </r>
  </si>
  <si>
    <r>
      <t>Feedback resistor (R</t>
    </r>
    <r>
      <rPr>
        <vertAlign val="subscript"/>
        <sz val="11"/>
        <color indexed="12"/>
        <rFont val="Arial"/>
        <family val="2"/>
      </rPr>
      <t>F</t>
    </r>
    <r>
      <rPr>
        <sz val="11"/>
        <color indexed="12"/>
        <rFont val="Arial"/>
        <family val="2"/>
      </rPr>
      <t>) =</t>
    </r>
  </si>
  <si>
    <r>
      <t>Feedback integrator gain (w</t>
    </r>
    <r>
      <rPr>
        <b/>
        <vertAlign val="subscript"/>
        <sz val="11"/>
        <color indexed="60"/>
        <rFont val="Arial"/>
        <family val="2"/>
      </rPr>
      <t>i</t>
    </r>
    <r>
      <rPr>
        <b/>
        <sz val="11"/>
        <color indexed="60"/>
        <rFont val="Arial"/>
        <family val="2"/>
      </rPr>
      <t>) =</t>
    </r>
  </si>
  <si>
    <r>
      <t>f</t>
    </r>
    <r>
      <rPr>
        <b/>
        <vertAlign val="subscript"/>
        <sz val="11"/>
        <color indexed="60"/>
        <rFont val="Arial"/>
        <family val="2"/>
      </rPr>
      <t>i</t>
    </r>
    <r>
      <rPr>
        <b/>
        <sz val="11"/>
        <color indexed="60"/>
        <rFont val="Arial"/>
        <family val="2"/>
      </rPr>
      <t>=</t>
    </r>
  </si>
  <si>
    <r>
      <t>Compensator zero (w</t>
    </r>
    <r>
      <rPr>
        <b/>
        <vertAlign val="subscript"/>
        <sz val="11"/>
        <color indexed="60"/>
        <rFont val="Arial"/>
        <family val="2"/>
      </rPr>
      <t>zc</t>
    </r>
    <r>
      <rPr>
        <b/>
        <sz val="11"/>
        <color indexed="60"/>
        <rFont val="Arial"/>
        <family val="2"/>
      </rPr>
      <t>)=</t>
    </r>
  </si>
  <si>
    <r>
      <t>f</t>
    </r>
    <r>
      <rPr>
        <b/>
        <vertAlign val="subscript"/>
        <sz val="11"/>
        <color indexed="60"/>
        <rFont val="Arial"/>
        <family val="2"/>
      </rPr>
      <t>zc</t>
    </r>
    <r>
      <rPr>
        <b/>
        <sz val="11"/>
        <color indexed="60"/>
        <rFont val="Arial"/>
        <family val="2"/>
      </rPr>
      <t>=</t>
    </r>
  </si>
  <si>
    <r>
      <t>Compensator pole (w</t>
    </r>
    <r>
      <rPr>
        <b/>
        <vertAlign val="subscript"/>
        <sz val="11"/>
        <color indexed="60"/>
        <rFont val="Arial"/>
        <family val="2"/>
      </rPr>
      <t>pc</t>
    </r>
    <r>
      <rPr>
        <b/>
        <sz val="11"/>
        <color indexed="60"/>
        <rFont val="Arial"/>
        <family val="2"/>
      </rPr>
      <t>)=</t>
    </r>
  </si>
  <si>
    <r>
      <t>f</t>
    </r>
    <r>
      <rPr>
        <b/>
        <vertAlign val="subscript"/>
        <sz val="11"/>
        <color indexed="60"/>
        <rFont val="Arial"/>
        <family val="2"/>
      </rPr>
      <t>pc</t>
    </r>
    <r>
      <rPr>
        <b/>
        <sz val="11"/>
        <color indexed="60"/>
        <rFont val="Arial"/>
        <family val="2"/>
      </rPr>
      <t>=</t>
    </r>
  </si>
  <si>
    <r>
      <t>m</t>
    </r>
    <r>
      <rPr>
        <sz val="11"/>
        <color indexed="12"/>
        <rFont val="Symbol"/>
        <family val="1"/>
      </rPr>
      <t>W</t>
    </r>
  </si>
  <si>
    <r>
      <t>Full load output power (P</t>
    </r>
    <r>
      <rPr>
        <b/>
        <vertAlign val="subscript"/>
        <sz val="11"/>
        <color indexed="60"/>
        <rFont val="Arial"/>
        <family val="2"/>
      </rPr>
      <t>o</t>
    </r>
    <r>
      <rPr>
        <b/>
        <sz val="11"/>
        <color indexed="60"/>
        <rFont val="Arial"/>
        <family val="2"/>
      </rPr>
      <t>) =</t>
    </r>
  </si>
  <si>
    <r>
      <t>Full load input power (P</t>
    </r>
    <r>
      <rPr>
        <b/>
        <vertAlign val="subscript"/>
        <sz val="11"/>
        <color indexed="60"/>
        <rFont val="Arial"/>
        <family val="2"/>
      </rPr>
      <t>in</t>
    </r>
    <r>
      <rPr>
        <b/>
        <sz val="11"/>
        <color indexed="60"/>
        <rFont val="Arial"/>
        <family val="2"/>
      </rPr>
      <t>) =</t>
    </r>
  </si>
  <si>
    <r>
      <t>Peak load output power (P</t>
    </r>
    <r>
      <rPr>
        <b/>
        <vertAlign val="subscript"/>
        <sz val="11"/>
        <color indexed="60"/>
        <rFont val="Arial"/>
        <family val="2"/>
      </rPr>
      <t>o</t>
    </r>
    <r>
      <rPr>
        <b/>
        <sz val="11"/>
        <color indexed="60"/>
        <rFont val="Arial"/>
        <family val="2"/>
      </rPr>
      <t>) =</t>
    </r>
  </si>
  <si>
    <r>
      <t>Peak input power (P</t>
    </r>
    <r>
      <rPr>
        <b/>
        <vertAlign val="subscript"/>
        <sz val="11"/>
        <color indexed="60"/>
        <rFont val="Arial"/>
        <family val="2"/>
      </rPr>
      <t>in</t>
    </r>
    <r>
      <rPr>
        <b/>
        <sz val="11"/>
        <color indexed="60"/>
        <rFont val="Arial"/>
        <family val="2"/>
      </rPr>
      <t>) =</t>
    </r>
  </si>
  <si>
    <r>
      <t>Minimum DC link voltage at peak loading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min</t>
    </r>
    <r>
      <rPr>
        <b/>
        <sz val="11"/>
        <color indexed="60"/>
        <rFont val="Arial"/>
        <family val="2"/>
      </rPr>
      <t>) =</t>
    </r>
  </si>
  <si>
    <r>
      <t>Maximum DC link voltage at peak loading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max</t>
    </r>
    <r>
      <rPr>
        <b/>
        <sz val="11"/>
        <color indexed="60"/>
        <rFont val="Arial"/>
        <family val="2"/>
      </rPr>
      <t>)=</t>
    </r>
  </si>
  <si>
    <r>
      <t>Bulk capacitor charging duty ratio (D</t>
    </r>
    <r>
      <rPr>
        <vertAlign val="subscript"/>
        <sz val="11"/>
        <color indexed="12"/>
        <rFont val="Arial"/>
        <family val="2"/>
      </rPr>
      <t>CH</t>
    </r>
    <r>
      <rPr>
        <sz val="11"/>
        <color indexed="12"/>
        <rFont val="Arial"/>
        <family val="2"/>
      </rPr>
      <t>)</t>
    </r>
  </si>
  <si>
    <r>
      <t>Maximum duty ratio at peak loading (D</t>
    </r>
    <r>
      <rPr>
        <b/>
        <vertAlign val="subscript"/>
        <sz val="11"/>
        <color indexed="60"/>
        <rFont val="Arial"/>
        <family val="2"/>
      </rPr>
      <t>max.peak</t>
    </r>
    <r>
      <rPr>
        <b/>
        <sz val="11"/>
        <color indexed="60"/>
        <rFont val="Arial"/>
        <family val="2"/>
      </rPr>
      <t>) =</t>
    </r>
  </si>
  <si>
    <r>
      <t>Maximum peak drain current at peak loading (I</t>
    </r>
    <r>
      <rPr>
        <b/>
        <vertAlign val="subscript"/>
        <sz val="11"/>
        <color indexed="60"/>
        <rFont val="Arial"/>
        <family val="2"/>
      </rPr>
      <t>ds.peak</t>
    </r>
    <r>
      <rPr>
        <b/>
        <vertAlign val="superscript"/>
        <sz val="11"/>
        <color indexed="60"/>
        <rFont val="Arial"/>
        <family val="2"/>
      </rPr>
      <t>peak</t>
    </r>
    <r>
      <rPr>
        <b/>
        <sz val="11"/>
        <color indexed="60"/>
        <rFont val="Arial"/>
        <family val="2"/>
      </rPr>
      <t>) =</t>
    </r>
  </si>
  <si>
    <t>A</t>
  </si>
  <si>
    <r>
      <t>I</t>
    </r>
    <r>
      <rPr>
        <b/>
        <vertAlign val="subscript"/>
        <sz val="11"/>
        <color indexed="9"/>
        <rFont val="Arial"/>
        <family val="2"/>
      </rPr>
      <t>o.peak(n)</t>
    </r>
  </si>
  <si>
    <r>
      <t>P</t>
    </r>
    <r>
      <rPr>
        <b/>
        <vertAlign val="subscript"/>
        <sz val="11"/>
        <color indexed="9"/>
        <rFont val="Arial"/>
        <family val="2"/>
      </rPr>
      <t>o.peak(n)</t>
    </r>
  </si>
  <si>
    <r>
      <t>K</t>
    </r>
    <r>
      <rPr>
        <b/>
        <vertAlign val="subscript"/>
        <sz val="11"/>
        <color indexed="9"/>
        <rFont val="Arial"/>
        <family val="2"/>
      </rPr>
      <t>L(n)</t>
    </r>
  </si>
  <si>
    <t># of turns</t>
  </si>
  <si>
    <r>
      <t>Maximum duty ratio at full loading (D</t>
    </r>
    <r>
      <rPr>
        <vertAlign val="subscript"/>
        <sz val="11"/>
        <color indexed="12"/>
        <rFont val="Arial"/>
        <family val="2"/>
      </rPr>
      <t>max</t>
    </r>
    <r>
      <rPr>
        <sz val="11"/>
        <color indexed="12"/>
        <rFont val="Arial"/>
        <family val="2"/>
      </rPr>
      <t>)</t>
    </r>
  </si>
  <si>
    <t>Maximum duty ratio for CCM at full loading =</t>
  </si>
  <si>
    <t>V</t>
  </si>
  <si>
    <t>%</t>
  </si>
  <si>
    <t>Maximum DC link voltage at peak power in CCM =</t>
  </si>
  <si>
    <r>
      <t>Maximum DC link voltage in CCM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CCM</t>
    </r>
    <r>
      <rPr>
        <b/>
        <sz val="11"/>
        <color indexed="60"/>
        <rFont val="Arial"/>
        <family val="2"/>
      </rPr>
      <t>) =</t>
    </r>
  </si>
  <si>
    <t>If there is no peak power condition,</t>
  </si>
  <si>
    <t>these conditions should be same with full load.</t>
  </si>
  <si>
    <t>11. Design RCD snubber (at peak load)</t>
  </si>
  <si>
    <t>Operation mode =</t>
  </si>
  <si>
    <r>
      <t>Output voltage reflected to primary (V</t>
    </r>
    <r>
      <rPr>
        <vertAlign val="subscript"/>
        <sz val="11"/>
        <color indexed="12"/>
        <rFont val="Arial"/>
        <family val="2"/>
      </rPr>
      <t>RO</t>
    </r>
    <r>
      <rPr>
        <sz val="11"/>
        <color indexed="12"/>
        <rFont val="Arial"/>
        <family val="2"/>
      </rPr>
      <t xml:space="preserve">) </t>
    </r>
  </si>
  <si>
    <r>
      <t>Distribution of L</t>
    </r>
    <r>
      <rPr>
        <vertAlign val="subscript"/>
        <sz val="11"/>
        <color indexed="12"/>
        <rFont val="Arial"/>
        <family val="2"/>
      </rPr>
      <t>m</t>
    </r>
    <r>
      <rPr>
        <sz val="11"/>
        <color indexed="12"/>
        <rFont val="Arial"/>
        <family val="2"/>
      </rPr>
      <t xml:space="preserve"> </t>
    </r>
  </si>
  <si>
    <r>
      <t>Minimum I</t>
    </r>
    <r>
      <rPr>
        <b/>
        <vertAlign val="subscript"/>
        <sz val="11"/>
        <color indexed="60"/>
        <rFont val="Arial"/>
        <family val="2"/>
      </rPr>
      <t>over.adj</t>
    </r>
    <r>
      <rPr>
        <b/>
        <sz val="11"/>
        <color indexed="60"/>
        <rFont val="Arial"/>
        <family val="2"/>
      </rPr>
      <t xml:space="preserve"> considering tolerance of 12%</t>
    </r>
  </si>
  <si>
    <r>
      <t>Minimum primary turns (N</t>
    </r>
    <r>
      <rPr>
        <b/>
        <vertAlign val="subscript"/>
        <sz val="11"/>
        <color indexed="60"/>
        <rFont val="Arial"/>
        <family val="2"/>
      </rPr>
      <t>p</t>
    </r>
    <r>
      <rPr>
        <b/>
        <vertAlign val="superscript"/>
        <sz val="11"/>
        <color indexed="60"/>
        <rFont val="Arial"/>
        <family val="2"/>
      </rPr>
      <t>min</t>
    </r>
    <r>
      <rPr>
        <b/>
        <sz val="11"/>
        <color indexed="60"/>
        <rFont val="Arial"/>
        <family val="2"/>
      </rPr>
      <t>)=</t>
    </r>
  </si>
  <si>
    <t>Vcc (Use Vcc start voltage)</t>
  </si>
  <si>
    <t>1st output for feedback</t>
  </si>
  <si>
    <t>2nd output</t>
  </si>
  <si>
    <t>3rd output</t>
  </si>
  <si>
    <t>4th output</t>
  </si>
  <si>
    <t>5th output</t>
  </si>
  <si>
    <t>6th output</t>
  </si>
  <si>
    <t>Primary winding</t>
  </si>
  <si>
    <t>Vcc winding</t>
  </si>
  <si>
    <t>1st output winding</t>
  </si>
  <si>
    <t>2nd output winding</t>
  </si>
  <si>
    <t>3rd output winding</t>
  </si>
  <si>
    <t>4th output winding</t>
  </si>
  <si>
    <t>5th output winding</t>
  </si>
  <si>
    <t>6th output winding</t>
  </si>
  <si>
    <r>
      <t>Copper area (A</t>
    </r>
    <r>
      <rPr>
        <b/>
        <vertAlign val="subscript"/>
        <sz val="11"/>
        <color indexed="60"/>
        <rFont val="Arial"/>
        <family val="2"/>
      </rPr>
      <t>c</t>
    </r>
    <r>
      <rPr>
        <b/>
        <sz val="11"/>
        <color indexed="60"/>
        <rFont val="Arial"/>
        <family val="2"/>
      </rPr>
      <t>) =</t>
    </r>
  </si>
  <si>
    <t>Vcc diode</t>
  </si>
  <si>
    <t>1st output diode</t>
  </si>
  <si>
    <t>2nd output diode</t>
  </si>
  <si>
    <t>3rd output diode</t>
  </si>
  <si>
    <t>4th output diode</t>
  </si>
  <si>
    <t>5th output diode</t>
  </si>
  <si>
    <t>6th output diode</t>
  </si>
  <si>
    <r>
      <t>Snubber resistor (R</t>
    </r>
    <r>
      <rPr>
        <b/>
        <vertAlign val="subscript"/>
        <sz val="11"/>
        <color indexed="60"/>
        <rFont val="Arial"/>
        <family val="2"/>
      </rPr>
      <t>sn</t>
    </r>
    <r>
      <rPr>
        <b/>
        <sz val="11"/>
        <color indexed="60"/>
        <rFont val="Arial"/>
        <family val="2"/>
      </rPr>
      <t>)=</t>
    </r>
  </si>
  <si>
    <r>
      <t>Snubber capacitor (C</t>
    </r>
    <r>
      <rPr>
        <b/>
        <vertAlign val="subscript"/>
        <sz val="11"/>
        <color indexed="60"/>
        <rFont val="Arial"/>
        <family val="2"/>
      </rPr>
      <t>sn</t>
    </r>
    <r>
      <rPr>
        <b/>
        <sz val="11"/>
        <color indexed="60"/>
        <rFont val="Arial"/>
        <family val="2"/>
      </rPr>
      <t>)=</t>
    </r>
  </si>
  <si>
    <r>
      <t>Power loss in snubber resistor (P</t>
    </r>
    <r>
      <rPr>
        <b/>
        <vertAlign val="subscript"/>
        <sz val="11"/>
        <color indexed="60"/>
        <rFont val="Arial"/>
        <family val="2"/>
      </rPr>
      <t>sn</t>
    </r>
    <r>
      <rPr>
        <b/>
        <sz val="11"/>
        <color indexed="60"/>
        <rFont val="Arial"/>
        <family val="2"/>
      </rPr>
      <t>)=</t>
    </r>
  </si>
  <si>
    <r>
      <t>Peak drain current at 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max</t>
    </r>
    <r>
      <rPr>
        <b/>
        <sz val="11"/>
        <color indexed="60"/>
        <rFont val="Arial"/>
        <family val="2"/>
      </rPr>
      <t xml:space="preserve"> (I</t>
    </r>
    <r>
      <rPr>
        <b/>
        <vertAlign val="subscript"/>
        <sz val="11"/>
        <color indexed="60"/>
        <rFont val="Arial"/>
        <family val="2"/>
      </rPr>
      <t>ds2</t>
    </r>
    <r>
      <rPr>
        <b/>
        <sz val="11"/>
        <color indexed="60"/>
        <rFont val="Arial"/>
        <family val="2"/>
      </rPr>
      <t>) =</t>
    </r>
  </si>
  <si>
    <r>
      <t>Max Voltage of Csn at 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 xml:space="preserve">max </t>
    </r>
    <r>
      <rPr>
        <b/>
        <sz val="11"/>
        <color indexed="60"/>
        <rFont val="Arial"/>
        <family val="2"/>
      </rPr>
      <t>(V</t>
    </r>
    <r>
      <rPr>
        <b/>
        <vertAlign val="subscript"/>
        <sz val="11"/>
        <color indexed="60"/>
        <rFont val="Arial"/>
        <family val="2"/>
      </rPr>
      <t>sn2</t>
    </r>
    <r>
      <rPr>
        <b/>
        <sz val="11"/>
        <color indexed="60"/>
        <rFont val="Arial"/>
        <family val="2"/>
      </rPr>
      <t>)=</t>
    </r>
  </si>
  <si>
    <r>
      <t>Max Voltage stress of MOSFET (V</t>
    </r>
    <r>
      <rPr>
        <b/>
        <vertAlign val="subscript"/>
        <sz val="11"/>
        <color indexed="60"/>
        <rFont val="Arial"/>
        <family val="2"/>
      </rPr>
      <t>ds</t>
    </r>
    <r>
      <rPr>
        <b/>
        <vertAlign val="superscript"/>
        <sz val="11"/>
        <color indexed="60"/>
        <rFont val="Arial"/>
        <family val="2"/>
      </rPr>
      <t>max</t>
    </r>
    <r>
      <rPr>
        <b/>
        <sz val="11"/>
        <color indexed="60"/>
        <rFont val="Arial"/>
        <family val="2"/>
      </rPr>
      <t>)=</t>
    </r>
  </si>
  <si>
    <t>FSL1xxMRT series Design Assistant  ver.1.00</t>
  </si>
  <si>
    <r>
      <t>Switching frequency of FPS</t>
    </r>
    <r>
      <rPr>
        <b/>
        <sz val="11"/>
        <color indexed="16"/>
        <rFont val="Arial"/>
        <family val="2"/>
      </rPr>
      <t xml:space="preserve"> (f</t>
    </r>
    <r>
      <rPr>
        <vertAlign val="subscript"/>
        <sz val="11"/>
        <color indexed="16"/>
        <rFont val="Arial"/>
        <family val="2"/>
      </rPr>
      <t>s</t>
    </r>
    <r>
      <rPr>
        <sz val="11"/>
        <color indexed="16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</si>
</sst>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T$&quot;#,##0;\-&quot;NT$&quot;#,##0"/>
    <numFmt numFmtId="165" formatCode="&quot;NT$&quot;#,##0;[Red]\-&quot;NT$&quot;#,##0"/>
    <numFmt numFmtId="166" formatCode="&quot;NT$&quot;#,##0.00;\-&quot;NT$&quot;#,##0.00"/>
    <numFmt numFmtId="167" formatCode="&quot;NT$&quot;#,##0.00;[Red]\-&quot;NT$&quot;#,##0.00"/>
    <numFmt numFmtId="168" formatCode="_-&quot;NT$&quot;* #,##0_-;\-&quot;NT$&quot;* #,##0_-;_-&quot;NT$&quot;* &quot;-&quot;_-;_-@_-"/>
    <numFmt numFmtId="169" formatCode="_-* #,##0_-;\-* #,##0_-;_-* &quot;-&quot;_-;_-@_-"/>
    <numFmt numFmtId="170" formatCode="_-&quot;NT$&quot;* #,##0.00_-;\-&quot;NT$&quot;* #,##0.00_-;_-&quot;NT$&quot;* &quot;-&quot;??_-;_-@_-"/>
    <numFmt numFmtId="171" formatCode="_-* #,##0.00_-;\-* #,##0.00_-;_-* &quot;-&quot;??_-;_-@_-"/>
    <numFmt numFmtId="172" formatCode="&quot;₩&quot;#,##0;\-&quot;₩&quot;#,##0"/>
    <numFmt numFmtId="173" formatCode="&quot;₩&quot;#,##0;[Red]\-&quot;₩&quot;#,##0"/>
    <numFmt numFmtId="174" formatCode="&quot;₩&quot;#,##0.00;\-&quot;₩&quot;#,##0.00"/>
    <numFmt numFmtId="175" formatCode="&quot;₩&quot;#,##0.00;[Red]\-&quot;₩&quot;#,##0.00"/>
    <numFmt numFmtId="176" formatCode="_-&quot;₩&quot;* #,##0_-;\-&quot;₩&quot;* #,##0_-;_-&quot;₩&quot;* &quot;-&quot;_-;_-@_-"/>
    <numFmt numFmtId="177" formatCode="_-&quot;₩&quot;* #,##0.00_-;\-&quot;₩&quot;* #,##0.00_-;_-&quot;₩&quot;* &quot;-&quot;??_-;_-@_-"/>
    <numFmt numFmtId="178" formatCode="&quot;US$&quot;#,##0_);\(&quot;US$&quot;#,##0\)"/>
    <numFmt numFmtId="179" formatCode="&quot;US$&quot;#,##0_);[Red]\(&quot;US$&quot;#,##0\)"/>
    <numFmt numFmtId="180" formatCode="&quot;US$&quot;#,##0.00_);\(&quot;US$&quot;#,##0.00\)"/>
    <numFmt numFmtId="181" formatCode="&quot;US$&quot;#,##0.00_);[Red]\(&quot;US$&quot;#,##0.00\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&quot;\&quot;* #,##0.00_-;\-&quot;\&quot;* #,##0.00_-;_-&quot;\&quot;* &quot;-&quot;??_-;_-@_-"/>
    <numFmt numFmtId="194" formatCode="\$#,##0_);\(\$#,##0\)"/>
    <numFmt numFmtId="195" formatCode="\$#,##0_);[Red]\(\$#,##0\)"/>
    <numFmt numFmtId="196" formatCode="\$#,##0.00_);\(\$#,##0.00\)"/>
    <numFmt numFmtId="197" formatCode="\$#,##0.00_);[Red]\(\$#,##0.00\)"/>
    <numFmt numFmtId="198" formatCode="0.0_ "/>
    <numFmt numFmtId="199" formatCode="0_ "/>
    <numFmt numFmtId="200" formatCode="0.00_ "/>
    <numFmt numFmtId="201" formatCode="#,##0_ "/>
    <numFmt numFmtId="202" formatCode="0.0_);[Red]\(0.0\)"/>
    <numFmt numFmtId="203" formatCode="_ * #,##0_ ;_ * \-#,##0_ ;_ * &quot;-&quot;_ ;_ @_ "/>
    <numFmt numFmtId="204" formatCode="_ * #,##0.00_ ;_ * \-#,##0.00_ ;_ * &quot;-&quot;??_ ;_ @_ "/>
    <numFmt numFmtId="205" formatCode="0.0"/>
    <numFmt numFmtId="206" formatCode="000\-0000"/>
    <numFmt numFmtId="207" formatCode="0_);[Red]\(0\)"/>
    <numFmt numFmtId="208" formatCode="[$-412]AM/PM\ h:mm:ss"/>
    <numFmt numFmtId="209" formatCode="0.000_ "/>
    <numFmt numFmtId="210" formatCode="[$-409]dddd\,\ mmmm\ dd\,\ yyyy"/>
    <numFmt numFmtId="211" formatCode="[$-409]h:mm:ss\ AM/PM"/>
  </numFmts>
  <fonts count="97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9"/>
      <name val="굴림"/>
      <family val="3"/>
    </font>
    <font>
      <sz val="12"/>
      <name val="바탕체"/>
      <family val="1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Helv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MS Sans Serif"/>
      <family val="2"/>
    </font>
    <font>
      <b/>
      <sz val="11"/>
      <color indexed="12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b/>
      <sz val="11"/>
      <color indexed="60"/>
      <name val="Arial"/>
      <family val="2"/>
    </font>
    <font>
      <sz val="11"/>
      <color indexed="12"/>
      <name val="Symbol"/>
      <family val="1"/>
    </font>
    <font>
      <b/>
      <sz val="11"/>
      <color indexed="60"/>
      <name val="Symbol"/>
      <family val="1"/>
    </font>
    <font>
      <sz val="11"/>
      <color indexed="8"/>
      <name val="Arial"/>
      <family val="2"/>
    </font>
    <font>
      <b/>
      <i/>
      <sz val="14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sz val="11"/>
      <color indexed="9"/>
      <name val="Arial"/>
      <family val="2"/>
    </font>
    <font>
      <vertAlign val="subscript"/>
      <sz val="11"/>
      <color indexed="12"/>
      <name val="Arial"/>
      <family val="2"/>
    </font>
    <font>
      <vertAlign val="superscript"/>
      <sz val="11"/>
      <color indexed="12"/>
      <name val="Arial"/>
      <family val="2"/>
    </font>
    <font>
      <b/>
      <vertAlign val="subscript"/>
      <sz val="11"/>
      <color indexed="9"/>
      <name val="Arial"/>
      <family val="2"/>
    </font>
    <font>
      <b/>
      <u val="single"/>
      <sz val="11"/>
      <color indexed="60"/>
      <name val="Arial"/>
      <family val="2"/>
    </font>
    <font>
      <b/>
      <vertAlign val="subscript"/>
      <sz val="11"/>
      <color indexed="60"/>
      <name val="Arial"/>
      <family val="2"/>
    </font>
    <font>
      <b/>
      <vertAlign val="superscript"/>
      <sz val="11"/>
      <color indexed="60"/>
      <name val="Arial"/>
      <family val="2"/>
    </font>
    <font>
      <b/>
      <sz val="11"/>
      <color indexed="16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u val="single"/>
      <sz val="11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u val="single"/>
      <vertAlign val="subscript"/>
      <sz val="11"/>
      <color indexed="60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color indexed="9"/>
      <name val="Arial"/>
      <family val="2"/>
    </font>
    <font>
      <b/>
      <vertAlign val="superscript"/>
      <sz val="11"/>
      <color indexed="12"/>
      <name val="Arial"/>
      <family val="2"/>
    </font>
    <font>
      <b/>
      <sz val="11"/>
      <color indexed="8"/>
      <name val="Arial"/>
      <family val="2"/>
    </font>
    <font>
      <b/>
      <vertAlign val="subscript"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sz val="11"/>
      <color indexed="9"/>
      <name val="Arial"/>
      <family val="2"/>
    </font>
    <font>
      <b/>
      <u val="single"/>
      <sz val="11"/>
      <color indexed="8"/>
      <name val="Arial"/>
      <family val="2"/>
    </font>
    <font>
      <sz val="9"/>
      <name val="MingLiU"/>
      <family val="3"/>
    </font>
    <font>
      <sz val="9.5"/>
      <color indexed="8"/>
      <name val="돋움"/>
      <family val="0"/>
    </font>
    <font>
      <sz val="10.25"/>
      <color indexed="8"/>
      <name val="돋움"/>
      <family val="0"/>
    </font>
    <font>
      <sz val="9.2"/>
      <color indexed="8"/>
      <name val="돋움"/>
      <family val="0"/>
    </font>
    <font>
      <sz val="8.75"/>
      <color indexed="8"/>
      <name val="돋움"/>
      <family val="0"/>
    </font>
    <font>
      <sz val="9.75"/>
      <color indexed="8"/>
      <name val="돋움"/>
      <family val="0"/>
    </font>
    <font>
      <b/>
      <sz val="8"/>
      <name val="Tahoma"/>
      <family val="2"/>
    </font>
    <font>
      <vertAlign val="subscript"/>
      <sz val="11"/>
      <color indexed="16"/>
      <name val="Arial"/>
      <family val="2"/>
    </font>
    <font>
      <sz val="11"/>
      <color indexed="16"/>
      <name val="Arial"/>
      <family val="2"/>
    </font>
    <font>
      <sz val="11"/>
      <color indexed="8"/>
      <name val="Calibri"/>
      <family val="1"/>
    </font>
    <font>
      <sz val="11"/>
      <color indexed="9"/>
      <name val="Calibri"/>
      <family val="1"/>
    </font>
    <font>
      <sz val="11"/>
      <color indexed="20"/>
      <name val="Calibri"/>
      <family val="1"/>
    </font>
    <font>
      <b/>
      <sz val="11"/>
      <color indexed="52"/>
      <name val="Calibri"/>
      <family val="1"/>
    </font>
    <font>
      <b/>
      <sz val="11"/>
      <color indexed="9"/>
      <name val="Calibri"/>
      <family val="1"/>
    </font>
    <font>
      <i/>
      <sz val="11"/>
      <color indexed="23"/>
      <name val="Calibri"/>
      <family val="1"/>
    </font>
    <font>
      <sz val="11"/>
      <color indexed="17"/>
      <name val="Calibri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1"/>
      <color indexed="62"/>
      <name val="Calibri"/>
      <family val="1"/>
    </font>
    <font>
      <sz val="11"/>
      <color indexed="52"/>
      <name val="Calibri"/>
      <family val="1"/>
    </font>
    <font>
      <sz val="11"/>
      <color indexed="60"/>
      <name val="Calibri"/>
      <family val="1"/>
    </font>
    <font>
      <b/>
      <sz val="11"/>
      <color indexed="63"/>
      <name val="Calibri"/>
      <family val="1"/>
    </font>
    <font>
      <b/>
      <sz val="18"/>
      <color indexed="56"/>
      <name val="Cambria"/>
      <family val="1"/>
    </font>
    <font>
      <b/>
      <sz val="11"/>
      <color indexed="8"/>
      <name val="Calibri"/>
      <family val="1"/>
    </font>
    <font>
      <sz val="11"/>
      <color indexed="10"/>
      <name val="Calibri"/>
      <family val="1"/>
    </font>
    <font>
      <b/>
      <sz val="11"/>
      <color indexed="36"/>
      <name val="Arial"/>
      <family val="2"/>
    </font>
    <font>
      <b/>
      <sz val="11"/>
      <color indexed="53"/>
      <name val="Arial"/>
      <family val="2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  <font>
      <b/>
      <sz val="11"/>
      <color rgb="FFFF0000"/>
      <name val="Arial"/>
      <family val="2"/>
    </font>
    <font>
      <b/>
      <sz val="11"/>
      <color rgb="FF7030A0"/>
      <name val="Arial"/>
      <family val="2"/>
    </font>
    <font>
      <sz val="11"/>
      <color rgb="FF0000FF"/>
      <name val="Arial"/>
      <family val="2"/>
    </font>
    <font>
      <sz val="11"/>
      <color theme="0"/>
      <name val="Arial"/>
      <family val="2"/>
    </font>
    <font>
      <b/>
      <sz val="11"/>
      <color rgb="FF993300"/>
      <name val="Arial"/>
      <family val="2"/>
    </font>
    <font>
      <b/>
      <sz val="11"/>
      <color theme="9" tint="-0.24997000396251678"/>
      <name val="Arial"/>
      <family val="2"/>
    </font>
    <font>
      <b/>
      <sz val="8"/>
      <name val="돋움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66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1" applyNumberFormat="0" applyAlignment="0" applyProtection="0"/>
    <xf numFmtId="0" fontId="9" fillId="0" borderId="0">
      <alignment/>
      <protection/>
    </xf>
    <xf numFmtId="0" fontId="7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9" fillId="29" borderId="0" applyNumberFormat="0" applyBorder="0" applyAlignment="0" applyProtection="0"/>
    <xf numFmtId="38" fontId="7" fillId="30" borderId="0" applyNumberFormat="0" applyBorder="0" applyAlignment="0" applyProtection="0"/>
    <xf numFmtId="0" fontId="10" fillId="0" borderId="0">
      <alignment horizontal="left"/>
      <protection/>
    </xf>
    <xf numFmtId="0" fontId="11" fillId="0" borderId="3" applyNumberFormat="0" applyAlignment="0" applyProtection="0"/>
    <xf numFmtId="0" fontId="11" fillId="0" borderId="4">
      <alignment horizontal="left" vertical="center"/>
      <protection/>
    </xf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3" fillId="31" borderId="1" applyNumberFormat="0" applyAlignment="0" applyProtection="0"/>
    <xf numFmtId="10" fontId="7" fillId="30" borderId="8" applyNumberFormat="0" applyBorder="0" applyAlignment="0" applyProtection="0"/>
    <xf numFmtId="0" fontId="84" fillId="0" borderId="9" applyNumberFormat="0" applyFill="0" applyAlignment="0" applyProtection="0"/>
    <xf numFmtId="0" fontId="12" fillId="0" borderId="10">
      <alignment/>
      <protection/>
    </xf>
    <xf numFmtId="0" fontId="85" fillId="32" borderId="0" applyNumberFormat="0" applyBorder="0" applyAlignment="0" applyProtection="0"/>
    <xf numFmtId="206" fontId="0" fillId="0" borderId="0">
      <alignment/>
      <protection/>
    </xf>
    <xf numFmtId="0" fontId="0" fillId="33" borderId="11" applyNumberFormat="0" applyFont="0" applyAlignment="0" applyProtection="0"/>
    <xf numFmtId="0" fontId="86" fillId="27" borderId="12" applyNumberFormat="0" applyAlignment="0" applyProtection="0"/>
    <xf numFmtId="9" fontId="0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34" borderId="0" applyNumberFormat="0" applyFont="0" applyBorder="0" applyAlignment="0" applyProtection="0"/>
    <xf numFmtId="0" fontId="12" fillId="0" borderId="0">
      <alignment/>
      <protection/>
    </xf>
    <xf numFmtId="0" fontId="87" fillId="0" borderId="0" applyNumberFormat="0" applyFill="0" applyBorder="0" applyAlignment="0" applyProtection="0"/>
    <xf numFmtId="0" fontId="88" fillId="0" borderId="13" applyNumberFormat="0" applyFill="0" applyAlignment="0" applyProtection="0"/>
    <xf numFmtId="0" fontId="89" fillId="0" borderId="0" applyNumberFormat="0" applyFill="0" applyBorder="0" applyAlignment="0" applyProtection="0"/>
    <xf numFmtId="203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0" fontId="7" fillId="0" borderId="0">
      <alignment/>
      <protection/>
    </xf>
  </cellStyleXfs>
  <cellXfs count="95">
    <xf numFmtId="0" fontId="0" fillId="0" borderId="0" xfId="0" applyAlignment="1">
      <alignment/>
    </xf>
    <xf numFmtId="0" fontId="24" fillId="35" borderId="0" xfId="0" applyFont="1" applyFill="1" applyAlignment="1" applyProtection="1">
      <alignment horizontal="center" vertical="center"/>
      <protection hidden="1"/>
    </xf>
    <xf numFmtId="0" fontId="24" fillId="35" borderId="0" xfId="0" applyFont="1" applyFill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22" fillId="36" borderId="0" xfId="0" applyFont="1" applyFill="1" applyAlignment="1" applyProtection="1">
      <alignment vertical="center"/>
      <protection hidden="1"/>
    </xf>
    <xf numFmtId="0" fontId="23" fillId="37" borderId="0" xfId="0" applyFont="1" applyFill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4" fillId="38" borderId="0" xfId="0" applyFont="1" applyFill="1" applyAlignment="1" applyProtection="1">
      <alignment vertical="center"/>
      <protection hidden="1"/>
    </xf>
    <xf numFmtId="0" fontId="8" fillId="38" borderId="0" xfId="0" applyFont="1" applyFill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6" fillId="36" borderId="0" xfId="0" applyFont="1" applyFill="1" applyAlignment="1" applyProtection="1">
      <alignment vertical="center"/>
      <protection locked="0"/>
    </xf>
    <xf numFmtId="0" fontId="8" fillId="39" borderId="0" xfId="0" applyFont="1" applyFill="1" applyAlignment="1" applyProtection="1">
      <alignment vertical="center"/>
      <protection hidden="1"/>
    </xf>
    <xf numFmtId="200" fontId="16" fillId="36" borderId="0" xfId="0" applyNumberFormat="1" applyFont="1" applyFill="1" applyAlignment="1" applyProtection="1">
      <alignment vertical="center"/>
      <protection locked="0"/>
    </xf>
    <xf numFmtId="199" fontId="28" fillId="37" borderId="0" xfId="0" applyNumberFormat="1" applyFont="1" applyFill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199" fontId="28" fillId="40" borderId="0" xfId="0" applyNumberFormat="1" applyFont="1" applyFill="1" applyAlignment="1" applyProtection="1">
      <alignment vertical="center"/>
      <protection hidden="1"/>
    </xf>
    <xf numFmtId="198" fontId="28" fillId="37" borderId="0" xfId="0" applyNumberFormat="1" applyFont="1" applyFill="1" applyAlignment="1" applyProtection="1">
      <alignment vertical="center"/>
      <protection hidden="1"/>
    </xf>
    <xf numFmtId="198" fontId="28" fillId="40" borderId="0" xfId="0" applyNumberFormat="1" applyFont="1" applyFill="1" applyAlignment="1" applyProtection="1">
      <alignment vertical="center"/>
      <protection hidden="1"/>
    </xf>
    <xf numFmtId="0" fontId="8" fillId="0" borderId="0" xfId="0" applyFont="1" applyAlignment="1" applyProtection="1" quotePrefix="1">
      <alignment vertical="center"/>
      <protection hidden="1"/>
    </xf>
    <xf numFmtId="200" fontId="28" fillId="37" borderId="0" xfId="0" applyNumberFormat="1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31" fillId="0" borderId="0" xfId="0" applyFont="1" applyAlignment="1" applyProtection="1">
      <alignment vertical="center"/>
      <protection hidden="1"/>
    </xf>
    <xf numFmtId="200" fontId="32" fillId="0" borderId="0" xfId="0" applyNumberFormat="1" applyFont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33" fillId="0" borderId="0" xfId="0" applyFont="1" applyAlignment="1" applyProtection="1">
      <alignment vertical="center"/>
      <protection hidden="1"/>
    </xf>
    <xf numFmtId="198" fontId="28" fillId="41" borderId="0" xfId="0" applyNumberFormat="1" applyFont="1" applyFill="1" applyAlignment="1" applyProtection="1">
      <alignment vertical="center"/>
      <protection hidden="1"/>
    </xf>
    <xf numFmtId="0" fontId="34" fillId="0" borderId="0" xfId="0" applyFont="1" applyFill="1" applyAlignment="1" applyProtection="1" quotePrefix="1">
      <alignment vertical="center"/>
      <protection hidden="1"/>
    </xf>
    <xf numFmtId="0" fontId="28" fillId="37" borderId="0" xfId="0" applyFont="1" applyFill="1" applyAlignment="1" applyProtection="1">
      <alignment vertical="center"/>
      <protection hidden="1"/>
    </xf>
    <xf numFmtId="0" fontId="35" fillId="37" borderId="0" xfId="0" applyFont="1" applyFill="1" applyAlignment="1" applyProtection="1">
      <alignment vertical="center"/>
      <protection hidden="1"/>
    </xf>
    <xf numFmtId="0" fontId="20" fillId="36" borderId="0" xfId="0" applyFont="1" applyFill="1" applyAlignment="1" applyProtection="1">
      <alignment vertical="center"/>
      <protection locked="0"/>
    </xf>
    <xf numFmtId="0" fontId="14" fillId="37" borderId="0" xfId="0" applyFont="1" applyFill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8" fillId="0" borderId="0" xfId="0" applyFont="1" applyAlignment="1" applyProtection="1">
      <alignment vertical="center"/>
      <protection hidden="1"/>
    </xf>
    <xf numFmtId="0" fontId="34" fillId="0" borderId="0" xfId="0" applyFont="1" applyAlignment="1" applyProtection="1">
      <alignment vertical="center"/>
      <protection hidden="1"/>
    </xf>
    <xf numFmtId="0" fontId="34" fillId="0" borderId="0" xfId="0" applyFont="1" applyFill="1" applyAlignment="1" applyProtection="1">
      <alignment vertical="center"/>
      <protection hidden="1"/>
    </xf>
    <xf numFmtId="0" fontId="14" fillId="39" borderId="0" xfId="0" applyFont="1" applyFill="1" applyAlignment="1" applyProtection="1">
      <alignment vertical="center"/>
      <protection hidden="1"/>
    </xf>
    <xf numFmtId="0" fontId="14" fillId="41" borderId="0" xfId="0" applyFont="1" applyFill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198" fontId="28" fillId="37" borderId="0" xfId="0" applyNumberFormat="1" applyFont="1" applyFill="1" applyAlignment="1" applyProtection="1">
      <alignment horizontal="right"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28" fillId="0" borderId="0" xfId="0" applyFont="1" applyFill="1" applyAlignment="1" applyProtection="1">
      <alignment vertical="center"/>
      <protection hidden="1"/>
    </xf>
    <xf numFmtId="0" fontId="14" fillId="35" borderId="0" xfId="0" applyFont="1" applyFill="1" applyAlignment="1" applyProtection="1">
      <alignment vertical="center"/>
      <protection hidden="1"/>
    </xf>
    <xf numFmtId="0" fontId="40" fillId="41" borderId="0" xfId="0" applyFont="1" applyFill="1" applyAlignment="1" applyProtection="1">
      <alignment vertical="center"/>
      <protection hidden="1"/>
    </xf>
    <xf numFmtId="0" fontId="24" fillId="41" borderId="0" xfId="0" applyFont="1" applyFill="1" applyAlignment="1" applyProtection="1">
      <alignment vertical="center"/>
      <protection hidden="1"/>
    </xf>
    <xf numFmtId="0" fontId="32" fillId="0" borderId="0" xfId="0" applyFont="1" applyAlignment="1" applyProtection="1" quotePrefix="1">
      <alignment vertical="center"/>
      <protection hidden="1"/>
    </xf>
    <xf numFmtId="209" fontId="28" fillId="37" borderId="0" xfId="0" applyNumberFormat="1" applyFont="1" applyFill="1" applyAlignment="1" applyProtection="1">
      <alignment vertical="center"/>
      <protection hidden="1"/>
    </xf>
    <xf numFmtId="0" fontId="8" fillId="0" borderId="0" xfId="0" applyNumberFormat="1" applyFont="1" applyAlignment="1" applyProtection="1">
      <alignment vertical="center"/>
      <protection hidden="1"/>
    </xf>
    <xf numFmtId="199" fontId="8" fillId="0" borderId="0" xfId="0" applyNumberFormat="1" applyFont="1" applyAlignment="1" applyProtection="1">
      <alignment vertical="center"/>
      <protection hidden="1"/>
    </xf>
    <xf numFmtId="0" fontId="43" fillId="0" borderId="0" xfId="0" applyFont="1" applyAlignment="1" applyProtection="1">
      <alignment vertical="center"/>
      <protection hidden="1"/>
    </xf>
    <xf numFmtId="0" fontId="8" fillId="0" borderId="0" xfId="0" applyNumberFormat="1" applyFont="1" applyFill="1" applyAlignment="1" applyProtection="1">
      <alignment vertical="center"/>
      <protection hidden="1"/>
    </xf>
    <xf numFmtId="0" fontId="43" fillId="0" borderId="0" xfId="0" applyFont="1" applyFill="1" applyAlignment="1" applyProtection="1">
      <alignment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202" fontId="20" fillId="0" borderId="0" xfId="0" applyNumberFormat="1" applyFont="1" applyFill="1" applyAlignment="1" applyProtection="1">
      <alignment vertical="center"/>
      <protection hidden="1"/>
    </xf>
    <xf numFmtId="201" fontId="17" fillId="0" borderId="0" xfId="0" applyNumberFormat="1" applyFont="1" applyFill="1" applyAlignment="1" applyProtection="1">
      <alignment vertical="center"/>
      <protection hidden="1"/>
    </xf>
    <xf numFmtId="202" fontId="44" fillId="0" borderId="0" xfId="0" applyNumberFormat="1" applyFont="1" applyFill="1" applyAlignment="1" applyProtection="1">
      <alignment vertical="center"/>
      <protection hidden="1"/>
    </xf>
    <xf numFmtId="198" fontId="8" fillId="0" borderId="0" xfId="0" applyNumberFormat="1" applyFont="1" applyAlignment="1" applyProtection="1">
      <alignment vertical="center"/>
      <protection hidden="1"/>
    </xf>
    <xf numFmtId="202" fontId="20" fillId="0" borderId="0" xfId="0" applyNumberFormat="1" applyFont="1" applyAlignment="1" applyProtection="1">
      <alignment vertical="center"/>
      <protection hidden="1"/>
    </xf>
    <xf numFmtId="0" fontId="20" fillId="0" borderId="0" xfId="0" applyNumberFormat="1" applyFont="1" applyAlignment="1" applyProtection="1">
      <alignment vertical="center"/>
      <protection hidden="1"/>
    </xf>
    <xf numFmtId="207" fontId="28" fillId="37" borderId="0" xfId="0" applyNumberFormat="1" applyFont="1" applyFill="1" applyAlignment="1" applyProtection="1">
      <alignment horizontal="right" vertical="center"/>
      <protection hidden="1"/>
    </xf>
    <xf numFmtId="207" fontId="28" fillId="37" borderId="0" xfId="0" applyNumberFormat="1" applyFont="1" applyFill="1" applyAlignment="1" applyProtection="1">
      <alignment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8" fillId="39" borderId="0" xfId="0" applyFont="1" applyFill="1" applyAlignment="1" applyProtection="1">
      <alignment horizontal="center" vertical="center"/>
      <protection hidden="1"/>
    </xf>
    <xf numFmtId="0" fontId="24" fillId="42" borderId="0" xfId="0" applyFont="1" applyFill="1" applyAlignment="1" applyProtection="1">
      <alignment horizontal="center" vertical="center"/>
      <protection hidden="1"/>
    </xf>
    <xf numFmtId="0" fontId="24" fillId="43" borderId="0" xfId="0" applyFont="1" applyFill="1" applyAlignment="1" applyProtection="1">
      <alignment vertical="center"/>
      <protection hidden="1"/>
    </xf>
    <xf numFmtId="0" fontId="33" fillId="0" borderId="0" xfId="0" applyFont="1" applyAlignment="1" applyProtection="1">
      <alignment horizontal="right" vertical="center"/>
      <protection hidden="1"/>
    </xf>
    <xf numFmtId="0" fontId="90" fillId="0" borderId="0" xfId="0" applyFont="1" applyAlignment="1" applyProtection="1">
      <alignment vertical="center"/>
      <protection hidden="1"/>
    </xf>
    <xf numFmtId="0" fontId="91" fillId="0" borderId="0" xfId="0" applyFont="1" applyAlignment="1" applyProtection="1">
      <alignment vertical="center"/>
      <protection hidden="1"/>
    </xf>
    <xf numFmtId="0" fontId="92" fillId="0" borderId="0" xfId="0" applyFont="1" applyAlignment="1" applyProtection="1">
      <alignment vertical="center"/>
      <protection hidden="1"/>
    </xf>
    <xf numFmtId="205" fontId="16" fillId="36" borderId="0" xfId="0" applyNumberFormat="1" applyFont="1" applyFill="1" applyAlignment="1" applyProtection="1">
      <alignment vertical="center"/>
      <protection locked="0"/>
    </xf>
    <xf numFmtId="199" fontId="28" fillId="0" borderId="0" xfId="0" applyNumberFormat="1" applyFont="1" applyFill="1" applyAlignment="1" applyProtection="1">
      <alignment vertical="center"/>
      <protection hidden="1"/>
    </xf>
    <xf numFmtId="198" fontId="92" fillId="44" borderId="0" xfId="0" applyNumberFormat="1" applyFont="1" applyFill="1" applyAlignment="1" applyProtection="1">
      <alignment vertical="center"/>
      <protection locked="0"/>
    </xf>
    <xf numFmtId="199" fontId="28" fillId="37" borderId="0" xfId="0" applyNumberFormat="1" applyFont="1" applyFill="1" applyAlignment="1" applyProtection="1">
      <alignment horizontal="right" vertical="center"/>
      <protection hidden="1"/>
    </xf>
    <xf numFmtId="0" fontId="93" fillId="0" borderId="0" xfId="0" applyFont="1" applyAlignment="1" applyProtection="1" quotePrefix="1">
      <alignment vertical="center"/>
      <protection hidden="1"/>
    </xf>
    <xf numFmtId="0" fontId="93" fillId="0" borderId="0" xfId="0" applyFont="1" applyAlignment="1" applyProtection="1">
      <alignment vertical="center"/>
      <protection hidden="1"/>
    </xf>
    <xf numFmtId="0" fontId="94" fillId="0" borderId="0" xfId="0" applyFont="1" applyAlignment="1" applyProtection="1">
      <alignment vertical="center"/>
      <protection hidden="1"/>
    </xf>
    <xf numFmtId="0" fontId="94" fillId="0" borderId="0" xfId="0" applyFont="1" applyFill="1" applyAlignment="1" applyProtection="1">
      <alignment vertical="center"/>
      <protection hidden="1"/>
    </xf>
    <xf numFmtId="0" fontId="94" fillId="0" borderId="0" xfId="0" applyFont="1" applyAlignment="1" applyProtection="1">
      <alignment horizontal="left" vertical="center"/>
      <protection hidden="1"/>
    </xf>
    <xf numFmtId="0" fontId="95" fillId="0" borderId="0" xfId="0" applyFont="1" applyAlignment="1" applyProtection="1">
      <alignment horizontal="left" vertical="center"/>
      <protection hidden="1"/>
    </xf>
    <xf numFmtId="38" fontId="28" fillId="37" borderId="0" xfId="0" applyNumberFormat="1" applyFont="1" applyFill="1" applyAlignment="1" applyProtection="1">
      <alignment horizontal="right" vertical="center"/>
      <protection hidden="1"/>
    </xf>
    <xf numFmtId="200" fontId="32" fillId="0" borderId="0" xfId="0" applyNumberFormat="1" applyFont="1" applyAlignment="1" applyProtection="1">
      <alignment horizontal="left" vertical="center"/>
      <protection hidden="1"/>
    </xf>
    <xf numFmtId="0" fontId="24" fillId="35" borderId="0" xfId="0" applyFont="1" applyFill="1" applyAlignment="1" applyProtection="1">
      <alignment horizontal="center" vertical="center"/>
      <protection hidden="1"/>
    </xf>
    <xf numFmtId="0" fontId="40" fillId="41" borderId="0" xfId="0" applyFont="1" applyFill="1" applyAlignment="1" applyProtection="1">
      <alignment horizontal="center" vertical="center" wrapText="1"/>
      <protection hidden="1"/>
    </xf>
    <xf numFmtId="0" fontId="95" fillId="0" borderId="0" xfId="0" applyFont="1" applyAlignment="1" applyProtection="1">
      <alignment horizontal="left" vertical="center"/>
      <protection hidden="1"/>
    </xf>
    <xf numFmtId="0" fontId="24" fillId="35" borderId="0" xfId="0" applyFont="1" applyFill="1" applyAlignment="1" applyProtection="1">
      <alignment vertical="center"/>
      <protection hidden="1"/>
    </xf>
    <xf numFmtId="0" fontId="40" fillId="41" borderId="0" xfId="0" applyFont="1" applyFill="1" applyAlignme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201" fontId="28" fillId="37" borderId="0" xfId="0" applyNumberFormat="1" applyFont="1" applyFill="1" applyAlignment="1" applyProtection="1">
      <alignment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201" fontId="8" fillId="0" borderId="0" xfId="0" applyNumberFormat="1" applyFont="1" applyFill="1" applyAlignment="1" applyProtection="1">
      <alignment vertical="center"/>
      <protection hidden="1"/>
    </xf>
    <xf numFmtId="201" fontId="28" fillId="0" borderId="0" xfId="0" applyNumberFormat="1" applyFont="1" applyFill="1" applyAlignment="1" applyProtection="1">
      <alignment horizontal="right" vertical="center"/>
      <protection hidden="1"/>
    </xf>
    <xf numFmtId="0" fontId="14" fillId="0" borderId="0" xfId="0" applyFont="1" applyFill="1" applyAlignment="1" applyProtection="1">
      <alignment vertical="center"/>
      <protection hidden="1"/>
    </xf>
  </cellXfs>
  <cellStyles count="66">
    <cellStyle name="Normal" xfId="0"/>
    <cellStyle name="??&amp;O?&amp;H?_x0008__x000F__x0007_?_x0007__x0001__x0001_" xfId="15"/>
    <cellStyle name="??&amp;O?&amp;H?_x0008_??_x0007__x0001__x0001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Grey" xfId="52"/>
    <cellStyle name="HEADER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Input [yellow]" xfId="62"/>
    <cellStyle name="Linked Cell" xfId="63"/>
    <cellStyle name="Model" xfId="64"/>
    <cellStyle name="Neutral" xfId="65"/>
    <cellStyle name="Normal - Style1" xfId="66"/>
    <cellStyle name="Note" xfId="67"/>
    <cellStyle name="Output" xfId="68"/>
    <cellStyle name="Percent" xfId="69"/>
    <cellStyle name="Percent [2]" xfId="70"/>
    <cellStyle name="PSChar" xfId="71"/>
    <cellStyle name="PSSpacer" xfId="72"/>
    <cellStyle name="subhead" xfId="73"/>
    <cellStyle name="Title" xfId="74"/>
    <cellStyle name="Total" xfId="75"/>
    <cellStyle name="Warning Text" xfId="76"/>
    <cellStyle name="콤마 [0]_10월2주 " xfId="77"/>
    <cellStyle name="콤마_10월2주 " xfId="78"/>
    <cellStyle name="常规_Sheet1" xfId="79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0375"/>
          <c:w val="0.95075"/>
          <c:h val="0.9207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'FSL series design guideline'!$B$148:$B$167</c:f>
              <c:numCache/>
            </c:numRef>
          </c:xVal>
          <c:yVal>
            <c:numRef>
              <c:f>'FSL series design guideline'!$C$148:$C$167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'FSL series design guideline'!$B$148:$B$167</c:f>
              <c:numCache/>
            </c:numRef>
          </c:xVal>
          <c:yVal>
            <c:numRef>
              <c:f>'FSL series design guideline'!$D$148:$D$167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'FSL series design guideline'!$B$148:$B$167</c:f>
              <c:numCache/>
            </c:numRef>
          </c:xVal>
          <c:yVal>
            <c:numRef>
              <c:f>'FSL series design guideline'!$E$148:$E$167</c:f>
              <c:numCache/>
            </c:numRef>
          </c:yVal>
          <c:smooth val="1"/>
        </c:ser>
        <c:axId val="50266635"/>
        <c:axId val="49746532"/>
      </c:scatterChart>
      <c:valAx>
        <c:axId val="50266635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49746532"/>
        <c:crosses val="autoZero"/>
        <c:crossBetween val="midCat"/>
        <c:dispUnits/>
        <c:minorUnit val="10"/>
      </c:valAx>
      <c:valAx>
        <c:axId val="49746532"/>
        <c:scaling>
          <c:orientation val="minMax"/>
          <c:max val="6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50266635"/>
        <c:crosses val="autoZero"/>
        <c:crossBetween val="midCat"/>
        <c:dispUnits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925"/>
          <c:y val="0.1245"/>
          <c:w val="0.2805"/>
          <c:h val="0.28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1375"/>
          <c:w val="0.98925"/>
          <c:h val="0.929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'FSL series design guideline'!$G$148:$G$167</c:f>
              <c:numCache/>
            </c:numRef>
          </c:xVal>
          <c:yVal>
            <c:numRef>
              <c:f>'FSL series design guideline'!$H$148:$H$167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'FSL series design guideline'!$G$148:$G$167</c:f>
              <c:numCache/>
            </c:numRef>
          </c:xVal>
          <c:yVal>
            <c:numRef>
              <c:f>'FSL series design guideline'!$I$148:$I$167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'FSL series design guideline'!$G$148:$G$167</c:f>
              <c:numCache/>
            </c:numRef>
          </c:xVal>
          <c:yVal>
            <c:numRef>
              <c:f>'FSL series design guideline'!$J$148:$J$167</c:f>
              <c:numCache/>
            </c:numRef>
          </c:yVal>
          <c:smooth val="1"/>
        </c:ser>
        <c:axId val="45065605"/>
        <c:axId val="2937262"/>
      </c:scatterChart>
      <c:valAx>
        <c:axId val="45065605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2937262"/>
        <c:crosses val="autoZero"/>
        <c:crossBetween val="midCat"/>
        <c:dispUnits/>
        <c:majorUnit val="10"/>
        <c:minorUnit val="10"/>
      </c:valAx>
      <c:valAx>
        <c:axId val="2937262"/>
        <c:scaling>
          <c:orientation val="minMax"/>
          <c:min val="-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Phase (degree)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45065605"/>
        <c:crosses val="autoZero"/>
        <c:crossBetween val="midCat"/>
        <c:dispUnits/>
        <c:majorUnit val="30"/>
        <c:minorUnit val="3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145</xdr:row>
      <xdr:rowOff>66675</xdr:rowOff>
    </xdr:from>
    <xdr:to>
      <xdr:col>9</xdr:col>
      <xdr:colOff>76200</xdr:colOff>
      <xdr:row>160</xdr:row>
      <xdr:rowOff>114300</xdr:rowOff>
    </xdr:to>
    <xdr:graphicFrame>
      <xdr:nvGraphicFramePr>
        <xdr:cNvPr id="1" name="Chart 70"/>
        <xdr:cNvGraphicFramePr/>
      </xdr:nvGraphicFramePr>
      <xdr:xfrm>
        <a:off x="161925" y="30051375"/>
        <a:ext cx="75247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161</xdr:row>
      <xdr:rowOff>38100</xdr:rowOff>
    </xdr:from>
    <xdr:to>
      <xdr:col>9</xdr:col>
      <xdr:colOff>57150</xdr:colOff>
      <xdr:row>175</xdr:row>
      <xdr:rowOff>28575</xdr:rowOff>
    </xdr:to>
    <xdr:graphicFrame>
      <xdr:nvGraphicFramePr>
        <xdr:cNvPr id="2" name="Chart 71"/>
        <xdr:cNvGraphicFramePr/>
      </xdr:nvGraphicFramePr>
      <xdr:xfrm>
        <a:off x="161925" y="32918400"/>
        <a:ext cx="75057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314325</xdr:colOff>
      <xdr:row>9</xdr:row>
      <xdr:rowOff>28575</xdr:rowOff>
    </xdr:from>
    <xdr:to>
      <xdr:col>7</xdr:col>
      <xdr:colOff>276225</xdr:colOff>
      <xdr:row>17</xdr:row>
      <xdr:rowOff>123825</xdr:rowOff>
    </xdr:to>
    <xdr:sp>
      <xdr:nvSpPr>
        <xdr:cNvPr id="3" name="Rectangle 4"/>
        <xdr:cNvSpPr>
          <a:spLocks/>
        </xdr:cNvSpPr>
      </xdr:nvSpPr>
      <xdr:spPr>
        <a:xfrm>
          <a:off x="6057900" y="1847850"/>
          <a:ext cx="885825" cy="1657350"/>
        </a:xfrm>
        <a:prstGeom prst="rect">
          <a:avLst/>
        </a:prstGeom>
        <a:noFill/>
        <a:ln w="381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3924300</xdr:colOff>
      <xdr:row>20</xdr:row>
      <xdr:rowOff>133350</xdr:rowOff>
    </xdr:from>
    <xdr:to>
      <xdr:col>3</xdr:col>
      <xdr:colOff>304800</xdr:colOff>
      <xdr:row>24</xdr:row>
      <xdr:rowOff>76200</xdr:rowOff>
    </xdr:to>
    <xdr:sp>
      <xdr:nvSpPr>
        <xdr:cNvPr id="4" name="Rectangle 5"/>
        <xdr:cNvSpPr>
          <a:spLocks/>
        </xdr:cNvSpPr>
      </xdr:nvSpPr>
      <xdr:spPr>
        <a:xfrm>
          <a:off x="4076700" y="4229100"/>
          <a:ext cx="1181100" cy="847725"/>
        </a:xfrm>
        <a:prstGeom prst="rect">
          <a:avLst/>
        </a:prstGeom>
        <a:noFill/>
        <a:ln w="381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371475</xdr:colOff>
      <xdr:row>17</xdr:row>
      <xdr:rowOff>190500</xdr:rowOff>
    </xdr:from>
    <xdr:to>
      <xdr:col>6</xdr:col>
      <xdr:colOff>371475</xdr:colOff>
      <xdr:row>19</xdr:row>
      <xdr:rowOff>180975</xdr:rowOff>
    </xdr:to>
    <xdr:sp>
      <xdr:nvSpPr>
        <xdr:cNvPr id="5" name="Straight Arrow Connector 9"/>
        <xdr:cNvSpPr>
          <a:spLocks/>
        </xdr:cNvSpPr>
      </xdr:nvSpPr>
      <xdr:spPr>
        <a:xfrm flipH="1" flipV="1">
          <a:off x="6496050" y="3571875"/>
          <a:ext cx="0" cy="466725"/>
        </a:xfrm>
        <a:prstGeom prst="straightConnector1">
          <a:avLst/>
        </a:prstGeom>
        <a:noFill/>
        <a:ln w="28575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47625</xdr:colOff>
      <xdr:row>21</xdr:row>
      <xdr:rowOff>95250</xdr:rowOff>
    </xdr:from>
    <xdr:to>
      <xdr:col>4</xdr:col>
      <xdr:colOff>371475</xdr:colOff>
      <xdr:row>21</xdr:row>
      <xdr:rowOff>104775</xdr:rowOff>
    </xdr:to>
    <xdr:sp>
      <xdr:nvSpPr>
        <xdr:cNvPr id="6" name="Straight Arrow Connector 10"/>
        <xdr:cNvSpPr>
          <a:spLocks/>
        </xdr:cNvSpPr>
      </xdr:nvSpPr>
      <xdr:spPr>
        <a:xfrm flipH="1" flipV="1">
          <a:off x="5324475" y="4381500"/>
          <a:ext cx="323850" cy="9525"/>
        </a:xfrm>
        <a:prstGeom prst="straightConnector1">
          <a:avLst/>
        </a:prstGeom>
        <a:noFill/>
        <a:ln w="28575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5"/>
  <sheetViews>
    <sheetView tabSelected="1" zoomScalePageLayoutView="0" workbookViewId="0" topLeftCell="A1">
      <selection activeCell="C7" sqref="C7"/>
    </sheetView>
  </sheetViews>
  <sheetFormatPr defaultColWidth="8.88671875" defaultRowHeight="13.5"/>
  <cols>
    <col min="1" max="1" width="1.77734375" style="3" customWidth="1"/>
    <col min="2" max="2" width="47.77734375" style="3" customWidth="1"/>
    <col min="3" max="3" width="8.21484375" style="3" customWidth="1"/>
    <col min="4" max="4" width="3.77734375" style="3" customWidth="1"/>
    <col min="5" max="5" width="5.4453125" style="3" customWidth="1"/>
    <col min="6" max="6" width="4.4453125" style="3" customWidth="1"/>
    <col min="7" max="7" width="6.3359375" style="3" customWidth="1"/>
    <col min="8" max="8" width="4.6640625" style="3" customWidth="1"/>
    <col min="9" max="9" width="6.3359375" style="3" customWidth="1"/>
    <col min="10" max="10" width="2.4453125" style="3" customWidth="1"/>
    <col min="11" max="11" width="6.77734375" style="3" customWidth="1"/>
    <col min="12" max="12" width="1.88671875" style="3" customWidth="1"/>
    <col min="13" max="13" width="4.88671875" style="3" customWidth="1"/>
    <col min="14" max="14" width="2.6640625" style="3" customWidth="1"/>
    <col min="15" max="16384" width="8.88671875" style="3" customWidth="1"/>
  </cols>
  <sheetData>
    <row r="1" spans="3:11" ht="14.25" customHeight="1">
      <c r="C1" s="89" t="s">
        <v>164</v>
      </c>
      <c r="D1" s="89"/>
      <c r="E1" s="89"/>
      <c r="F1" s="89"/>
      <c r="G1" s="89"/>
      <c r="H1" s="89"/>
      <c r="I1" s="89"/>
      <c r="J1" s="89"/>
      <c r="K1" s="89"/>
    </row>
    <row r="2" spans="3:11" ht="14.25">
      <c r="C2" s="89"/>
      <c r="D2" s="89"/>
      <c r="E2" s="89"/>
      <c r="F2" s="89"/>
      <c r="G2" s="89"/>
      <c r="H2" s="89"/>
      <c r="I2" s="89"/>
      <c r="J2" s="89"/>
      <c r="K2" s="89"/>
    </row>
    <row r="3" spans="3:4" ht="14.25">
      <c r="C3" s="4" t="s">
        <v>41</v>
      </c>
      <c r="D3" s="3" t="s">
        <v>0</v>
      </c>
    </row>
    <row r="4" spans="3:7" ht="15">
      <c r="C4" s="5" t="s">
        <v>26</v>
      </c>
      <c r="D4" s="6" t="s">
        <v>6</v>
      </c>
      <c r="E4" s="6"/>
      <c r="F4" s="6"/>
      <c r="G4" s="6"/>
    </row>
    <row r="5" ht="14.25"/>
    <row r="6" spans="1:9" ht="15">
      <c r="A6" s="7" t="s">
        <v>27</v>
      </c>
      <c r="B6" s="8"/>
      <c r="C6" s="8"/>
      <c r="D6" s="8"/>
      <c r="E6" s="8"/>
      <c r="F6" s="8"/>
      <c r="G6" s="8"/>
      <c r="H6" s="8"/>
      <c r="I6" s="8"/>
    </row>
    <row r="7" spans="2:4" ht="18.75">
      <c r="B7" s="9" t="s">
        <v>46</v>
      </c>
      <c r="C7" s="10">
        <v>85</v>
      </c>
      <c r="D7" s="9" t="s">
        <v>16</v>
      </c>
    </row>
    <row r="8" spans="2:6" ht="18.75">
      <c r="B8" s="9" t="s">
        <v>47</v>
      </c>
      <c r="C8" s="10">
        <v>264</v>
      </c>
      <c r="D8" s="9" t="s">
        <v>16</v>
      </c>
      <c r="E8" s="9"/>
      <c r="F8" s="9"/>
    </row>
    <row r="9" spans="2:4" ht="18.75">
      <c r="B9" s="9" t="s">
        <v>48</v>
      </c>
      <c r="C9" s="10">
        <v>60</v>
      </c>
      <c r="D9" s="9" t="s">
        <v>2</v>
      </c>
    </row>
    <row r="10" ht="14.25"/>
    <row r="11" spans="2:13" ht="18.75">
      <c r="B11" s="11"/>
      <c r="C11" s="1" t="s">
        <v>49</v>
      </c>
      <c r="D11" s="65"/>
      <c r="E11" s="1" t="s">
        <v>50</v>
      </c>
      <c r="F11" s="65"/>
      <c r="G11" s="1" t="s">
        <v>117</v>
      </c>
      <c r="H11" s="65"/>
      <c r="I11" s="1" t="s">
        <v>51</v>
      </c>
      <c r="J11" s="66"/>
      <c r="K11" s="1" t="s">
        <v>118</v>
      </c>
      <c r="L11" s="66"/>
      <c r="M11" s="1" t="s">
        <v>119</v>
      </c>
    </row>
    <row r="12" spans="2:14" ht="15">
      <c r="B12" s="9" t="s">
        <v>32</v>
      </c>
      <c r="C12" s="10">
        <v>4.8</v>
      </c>
      <c r="D12" s="9" t="s">
        <v>1</v>
      </c>
      <c r="E12" s="12">
        <v>0.05</v>
      </c>
      <c r="F12" s="9" t="s">
        <v>7</v>
      </c>
      <c r="G12" s="12">
        <v>0.05</v>
      </c>
      <c r="H12" s="9" t="s">
        <v>7</v>
      </c>
      <c r="I12" s="13">
        <f>Vo1*Io_1</f>
        <v>0.24</v>
      </c>
      <c r="J12" s="14" t="s">
        <v>3</v>
      </c>
      <c r="K12" s="13">
        <f>Vo1*Io.peak_1</f>
        <v>0.24</v>
      </c>
      <c r="L12" s="14" t="s">
        <v>3</v>
      </c>
      <c r="M12" s="13">
        <f aca="true" t="shared" si="0" ref="M12:M17">I12/C$18*100</f>
        <v>19.753086419753085</v>
      </c>
      <c r="N12" s="14" t="s">
        <v>4</v>
      </c>
    </row>
    <row r="13" spans="2:14" ht="15">
      <c r="B13" s="9" t="s">
        <v>35</v>
      </c>
      <c r="C13" s="10">
        <v>19.5</v>
      </c>
      <c r="D13" s="9" t="s">
        <v>1</v>
      </c>
      <c r="E13" s="12">
        <v>0.05</v>
      </c>
      <c r="F13" s="9" t="s">
        <v>7</v>
      </c>
      <c r="G13" s="12">
        <v>0.05</v>
      </c>
      <c r="H13" s="9" t="s">
        <v>7</v>
      </c>
      <c r="I13" s="13">
        <f>Vo2*Io_2</f>
        <v>0.9750000000000001</v>
      </c>
      <c r="J13" s="14" t="s">
        <v>3</v>
      </c>
      <c r="K13" s="13">
        <f>Vo2*Io.peak_2</f>
        <v>0.9750000000000001</v>
      </c>
      <c r="L13" s="14" t="s">
        <v>3</v>
      </c>
      <c r="M13" s="13">
        <f t="shared" si="0"/>
        <v>80.24691358024691</v>
      </c>
      <c r="N13" s="14" t="s">
        <v>4</v>
      </c>
    </row>
    <row r="14" spans="2:14" ht="15">
      <c r="B14" s="9" t="s">
        <v>22</v>
      </c>
      <c r="C14" s="10">
        <v>0</v>
      </c>
      <c r="D14" s="9" t="s">
        <v>1</v>
      </c>
      <c r="E14" s="12">
        <v>0</v>
      </c>
      <c r="F14" s="9" t="s">
        <v>7</v>
      </c>
      <c r="G14" s="12">
        <v>0</v>
      </c>
      <c r="H14" s="9" t="s">
        <v>7</v>
      </c>
      <c r="I14" s="13">
        <f>Vo3*Io_3</f>
        <v>0</v>
      </c>
      <c r="J14" s="14" t="s">
        <v>3</v>
      </c>
      <c r="K14" s="13">
        <f>Vo3*Io.peak_3</f>
        <v>0</v>
      </c>
      <c r="L14" s="14" t="s">
        <v>3</v>
      </c>
      <c r="M14" s="13">
        <f t="shared" si="0"/>
        <v>0</v>
      </c>
      <c r="N14" s="14" t="s">
        <v>4</v>
      </c>
    </row>
    <row r="15" spans="2:14" ht="15">
      <c r="B15" s="9" t="s">
        <v>23</v>
      </c>
      <c r="C15" s="10">
        <v>0</v>
      </c>
      <c r="D15" s="9" t="s">
        <v>1</v>
      </c>
      <c r="E15" s="12">
        <v>0</v>
      </c>
      <c r="F15" s="9" t="s">
        <v>7</v>
      </c>
      <c r="G15" s="12">
        <v>0</v>
      </c>
      <c r="H15" s="9" t="s">
        <v>7</v>
      </c>
      <c r="I15" s="13">
        <f>Vo4*Io_4</f>
        <v>0</v>
      </c>
      <c r="J15" s="14" t="s">
        <v>3</v>
      </c>
      <c r="K15" s="13">
        <f>Vo4*Io.peak_4</f>
        <v>0</v>
      </c>
      <c r="L15" s="14" t="s">
        <v>3</v>
      </c>
      <c r="M15" s="13">
        <f t="shared" si="0"/>
        <v>0</v>
      </c>
      <c r="N15" s="14" t="s">
        <v>4</v>
      </c>
    </row>
    <row r="16" spans="2:14" ht="15">
      <c r="B16" s="9" t="s">
        <v>24</v>
      </c>
      <c r="C16" s="10">
        <v>0</v>
      </c>
      <c r="D16" s="9" t="s">
        <v>1</v>
      </c>
      <c r="E16" s="12">
        <v>0</v>
      </c>
      <c r="F16" s="9" t="s">
        <v>7</v>
      </c>
      <c r="G16" s="12">
        <v>0</v>
      </c>
      <c r="H16" s="9" t="s">
        <v>7</v>
      </c>
      <c r="I16" s="13">
        <f>Vo5*Io_5</f>
        <v>0</v>
      </c>
      <c r="J16" s="14" t="s">
        <v>3</v>
      </c>
      <c r="K16" s="13">
        <f>Vo5*Io.peak_5</f>
        <v>0</v>
      </c>
      <c r="L16" s="14" t="s">
        <v>3</v>
      </c>
      <c r="M16" s="13">
        <f t="shared" si="0"/>
        <v>0</v>
      </c>
      <c r="N16" s="14" t="s">
        <v>4</v>
      </c>
    </row>
    <row r="17" spans="2:14" ht="15">
      <c r="B17" s="9" t="s">
        <v>25</v>
      </c>
      <c r="C17" s="10">
        <v>0</v>
      </c>
      <c r="D17" s="9" t="s">
        <v>1</v>
      </c>
      <c r="E17" s="12">
        <v>0</v>
      </c>
      <c r="F17" s="9" t="s">
        <v>7</v>
      </c>
      <c r="G17" s="12">
        <v>0</v>
      </c>
      <c r="H17" s="9" t="s">
        <v>7</v>
      </c>
      <c r="I17" s="13">
        <f>Vo6*Io_6</f>
        <v>0</v>
      </c>
      <c r="J17" s="14" t="s">
        <v>3</v>
      </c>
      <c r="K17" s="13">
        <f>Vo6*Io.peak_6</f>
        <v>0</v>
      </c>
      <c r="L17" s="14" t="s">
        <v>3</v>
      </c>
      <c r="M17" s="13">
        <f t="shared" si="0"/>
        <v>0</v>
      </c>
      <c r="N17" s="14" t="s">
        <v>4</v>
      </c>
    </row>
    <row r="18" spans="2:4" ht="18.75">
      <c r="B18" s="14" t="s">
        <v>107</v>
      </c>
      <c r="C18" s="16">
        <f>SUM(I12:I17)</f>
        <v>1.215</v>
      </c>
      <c r="D18" s="14" t="s">
        <v>3</v>
      </c>
    </row>
    <row r="19" spans="2:4" ht="18.75">
      <c r="B19" s="9" t="s">
        <v>52</v>
      </c>
      <c r="C19" s="10">
        <v>60</v>
      </c>
      <c r="D19" s="9" t="s">
        <v>4</v>
      </c>
    </row>
    <row r="20" spans="2:4" ht="18.75">
      <c r="B20" s="14" t="s">
        <v>108</v>
      </c>
      <c r="C20" s="16">
        <f>Po/Eff</f>
        <v>2.0250000000000004</v>
      </c>
      <c r="D20" s="14" t="s">
        <v>3</v>
      </c>
    </row>
    <row r="21" spans="2:13" ht="15">
      <c r="B21" s="14"/>
      <c r="C21" s="17"/>
      <c r="D21" s="14"/>
      <c r="F21" s="86" t="s">
        <v>127</v>
      </c>
      <c r="G21" s="86"/>
      <c r="H21" s="86"/>
      <c r="I21" s="86"/>
      <c r="J21" s="86"/>
      <c r="K21" s="86"/>
      <c r="L21" s="86"/>
      <c r="M21" s="86"/>
    </row>
    <row r="22" spans="2:14" ht="18.75">
      <c r="B22" s="14" t="s">
        <v>109</v>
      </c>
      <c r="C22" s="16">
        <f>SUM(K12:K17)</f>
        <v>1.215</v>
      </c>
      <c r="D22" s="14" t="s">
        <v>3</v>
      </c>
      <c r="F22" s="81" t="s">
        <v>128</v>
      </c>
      <c r="G22" s="81"/>
      <c r="H22" s="81"/>
      <c r="I22" s="81"/>
      <c r="J22" s="81"/>
      <c r="K22" s="81"/>
      <c r="L22" s="81"/>
      <c r="M22" s="81"/>
      <c r="N22" s="50"/>
    </row>
    <row r="23" spans="2:14" ht="18.75">
      <c r="B23" s="9" t="s">
        <v>52</v>
      </c>
      <c r="C23" s="10">
        <v>60</v>
      </c>
      <c r="D23" s="9" t="s">
        <v>4</v>
      </c>
      <c r="N23" s="50"/>
    </row>
    <row r="24" spans="2:14" ht="18.75">
      <c r="B24" s="14" t="s">
        <v>110</v>
      </c>
      <c r="C24" s="16">
        <f>Po.peak/C23*100</f>
        <v>2.025</v>
      </c>
      <c r="D24" s="14" t="s">
        <v>3</v>
      </c>
      <c r="N24" s="50"/>
    </row>
    <row r="25" ht="14.25">
      <c r="N25" s="50"/>
    </row>
    <row r="26" spans="1:14" ht="15">
      <c r="A26" s="7" t="s">
        <v>28</v>
      </c>
      <c r="B26" s="7"/>
      <c r="C26" s="7"/>
      <c r="D26" s="7"/>
      <c r="E26" s="7"/>
      <c r="F26" s="7"/>
      <c r="G26" s="7"/>
      <c r="H26" s="7"/>
      <c r="I26" s="7"/>
      <c r="N26" s="50"/>
    </row>
    <row r="27" spans="2:14" ht="18.75">
      <c r="B27" s="9" t="s">
        <v>53</v>
      </c>
      <c r="C27" s="10">
        <v>10</v>
      </c>
      <c r="D27" s="9" t="s">
        <v>14</v>
      </c>
      <c r="N27" s="50"/>
    </row>
    <row r="28" spans="2:14" ht="18.75">
      <c r="B28" s="9" t="s">
        <v>113</v>
      </c>
      <c r="C28" s="10">
        <v>0.2</v>
      </c>
      <c r="D28" s="9"/>
      <c r="N28" s="50"/>
    </row>
    <row r="29" spans="2:14" ht="18.75">
      <c r="B29" s="14" t="s">
        <v>54</v>
      </c>
      <c r="C29" s="13">
        <f>SQRT(2*V_line_min^2-Pin*(1-Dch)/Cdc/fL)</f>
        <v>108.39741694339399</v>
      </c>
      <c r="D29" s="14" t="s">
        <v>1</v>
      </c>
      <c r="E29" s="70"/>
      <c r="N29" s="50"/>
    </row>
    <row r="30" spans="2:14" ht="18.75">
      <c r="B30" s="14" t="s">
        <v>55</v>
      </c>
      <c r="C30" s="13">
        <f>SQRT(2)*V_line_max</f>
        <v>373.3523804664971</v>
      </c>
      <c r="D30" s="14" t="s">
        <v>1</v>
      </c>
      <c r="N30" s="50"/>
    </row>
    <row r="31" spans="2:14" ht="15">
      <c r="B31" s="14"/>
      <c r="C31" s="73"/>
      <c r="D31" s="14"/>
      <c r="N31" s="50"/>
    </row>
    <row r="32" spans="2:14" ht="18.75">
      <c r="B32" s="14" t="s">
        <v>111</v>
      </c>
      <c r="C32" s="13">
        <f>SQRT(2*V_line_min^2-Pin.peak*(1-Dch)/Cdc/fL)</f>
        <v>108.39741694339399</v>
      </c>
      <c r="D32" s="14" t="s">
        <v>1</v>
      </c>
      <c r="N32" s="50"/>
    </row>
    <row r="33" spans="2:14" ht="18.75">
      <c r="B33" s="14" t="s">
        <v>112</v>
      </c>
      <c r="C33" s="13">
        <f>SQRT(2)*V_line_max</f>
        <v>373.3523804664971</v>
      </c>
      <c r="D33" s="14" t="s">
        <v>1</v>
      </c>
      <c r="N33" s="50"/>
    </row>
    <row r="34" ht="14.25">
      <c r="N34" s="50"/>
    </row>
    <row r="35" spans="1:14" ht="15">
      <c r="A35" s="7" t="s">
        <v>8</v>
      </c>
      <c r="B35" s="7"/>
      <c r="C35" s="7"/>
      <c r="D35" s="7"/>
      <c r="E35" s="7"/>
      <c r="F35" s="7"/>
      <c r="G35" s="7"/>
      <c r="H35" s="7"/>
      <c r="I35" s="7"/>
      <c r="N35" s="50"/>
    </row>
    <row r="36" spans="2:14" ht="18.75">
      <c r="B36" s="9" t="s">
        <v>131</v>
      </c>
      <c r="C36" s="74">
        <v>126</v>
      </c>
      <c r="D36" s="71" t="s">
        <v>123</v>
      </c>
      <c r="F36" s="76">
        <f>14.6*50/8</f>
        <v>91.25</v>
      </c>
      <c r="N36" s="50"/>
    </row>
    <row r="37" spans="2:14" ht="15">
      <c r="B37" s="14" t="s">
        <v>122</v>
      </c>
      <c r="C37" s="49">
        <f>ROUNDUP(VRO/(Vdc_min+VRO),3)</f>
        <v>0.538</v>
      </c>
      <c r="D37" s="14"/>
      <c r="F37" s="18"/>
      <c r="N37" s="50"/>
    </row>
    <row r="38" spans="2:14" ht="18.75">
      <c r="B38" s="9" t="s">
        <v>121</v>
      </c>
      <c r="C38" s="10">
        <v>0.14</v>
      </c>
      <c r="D38" s="14"/>
      <c r="E38" s="69" t="str">
        <f>IF(Dmax&gt;C37,"---&gt; need to be reduced",IF(Dmax=C37,"---&gt;CCM operation","---&gt;DCM operation"))</f>
        <v>---&gt;DCM operation</v>
      </c>
      <c r="F38" s="18"/>
      <c r="N38" s="50"/>
    </row>
    <row r="39" spans="2:14" ht="18.75">
      <c r="B39" s="14" t="s">
        <v>56</v>
      </c>
      <c r="C39" s="13">
        <f>SQRT(2)*V_line_max+VRO</f>
        <v>499.3523804664971</v>
      </c>
      <c r="D39" s="14" t="s">
        <v>1</v>
      </c>
      <c r="E39" s="3">
        <f>VRO/Vo1</f>
        <v>26.25</v>
      </c>
      <c r="N39" s="50"/>
    </row>
    <row r="40" ht="14.25">
      <c r="N40" s="50"/>
    </row>
    <row r="41" spans="1:14" ht="15">
      <c r="A41" s="7" t="s">
        <v>18</v>
      </c>
      <c r="B41" s="7"/>
      <c r="C41" s="7"/>
      <c r="D41" s="7"/>
      <c r="E41" s="7"/>
      <c r="F41" s="7"/>
      <c r="G41" s="7"/>
      <c r="H41" s="7"/>
      <c r="I41" s="7"/>
      <c r="N41" s="50"/>
    </row>
    <row r="42" spans="2:14" ht="18.75">
      <c r="B42" s="14" t="s">
        <v>165</v>
      </c>
      <c r="C42" s="13">
        <v>67</v>
      </c>
      <c r="D42" s="14" t="s">
        <v>42</v>
      </c>
      <c r="E42" s="69"/>
      <c r="G42" s="9"/>
      <c r="N42" s="50"/>
    </row>
    <row r="43" spans="2:14" ht="18.75">
      <c r="B43" s="9" t="s">
        <v>57</v>
      </c>
      <c r="C43" s="10">
        <v>1</v>
      </c>
      <c r="D43" s="9"/>
      <c r="E43" s="69" t="str">
        <f>IF(KRF&gt;1,"---&gt;KRF can not be higher than 1",IF(Dmax=C37,IF(KRF&lt;1,"---&gt;ok","---&gt;KRF should be under 1"),IF(KRF&lt;1,"---&gt;KRF should be 1","---&gt;ok")))</f>
        <v>---&gt;ok</v>
      </c>
      <c r="N43" s="50"/>
    </row>
    <row r="44" spans="2:14" ht="18.75">
      <c r="B44" s="14" t="s">
        <v>58</v>
      </c>
      <c r="C44" s="13">
        <f>(Vdc_min*Dmax)^2/(2*Pin*fs*KRF)*1000000</f>
        <v>848.7193661323014</v>
      </c>
      <c r="D44" s="14" t="s">
        <v>5</v>
      </c>
      <c r="N44" s="50"/>
    </row>
    <row r="45" spans="2:14" ht="18.75">
      <c r="B45" s="9" t="s">
        <v>132</v>
      </c>
      <c r="C45" s="10">
        <v>7</v>
      </c>
      <c r="D45" s="14" t="s">
        <v>124</v>
      </c>
      <c r="N45" s="50"/>
    </row>
    <row r="46" spans="2:14" ht="18.75">
      <c r="B46" s="14" t="s">
        <v>59</v>
      </c>
      <c r="C46" s="19">
        <f>Pin/(Vdc_min*Dmax)+Vdc_min*Dmax/(2*Lm*(1-Lm_D/100)*fs*0.9)</f>
        <v>0.2928611455902757</v>
      </c>
      <c r="D46" s="14" t="s">
        <v>7</v>
      </c>
      <c r="N46" s="50"/>
    </row>
    <row r="47" spans="2:14" ht="18.75">
      <c r="B47" s="14" t="s">
        <v>60</v>
      </c>
      <c r="C47" s="19">
        <f>SQRT((3*(Pin/Vdc_min/Dmax)^2+(Vdc_min*Dmax/Lm/fs/2)^2)*Dmax/3)</f>
        <v>0.057651610616590174</v>
      </c>
      <c r="D47" s="14" t="s">
        <v>7</v>
      </c>
      <c r="E47" s="20"/>
      <c r="F47" s="77">
        <f>SQRT(Pin/VRO^2*Lm*fs)*VRO/(1-SQRT(Pin/VRO^2*Lm*fs))</f>
        <v>11.729762672968247</v>
      </c>
      <c r="N47" s="50"/>
    </row>
    <row r="48" spans="2:14" ht="18.75">
      <c r="B48" s="14" t="s">
        <v>126</v>
      </c>
      <c r="C48" s="13">
        <f>IF(1/(1/SQRT(2*Lm*fs*Pin)-1/VRO)&gt;0,IF(1/(1/SQRT(2*Lm*fs*Pin)-1/VRO)&gt;Vdc_max,Vdc_max,1/(1/SQRT(2*Lm*fs*Pin)-1/VRO)),Vdc_max)</f>
        <v>17.253701323370976</v>
      </c>
      <c r="D48" s="14" t="s">
        <v>1</v>
      </c>
      <c r="N48" s="50"/>
    </row>
    <row r="49" spans="2:14" ht="15">
      <c r="B49" s="14"/>
      <c r="C49" s="15"/>
      <c r="D49" s="14"/>
      <c r="N49" s="50"/>
    </row>
    <row r="50" spans="2:14" ht="15">
      <c r="B50" s="14" t="s">
        <v>125</v>
      </c>
      <c r="C50" s="13">
        <f>IF(1/(1/SQRT(2*Lm*fs*Pin.peak)-1/VRO)&gt;0,IF(1/(1/SQRT(2*Lm*fs*Pin.peak)-1/VRO)&gt;Vdc_max,Vdc_max,1/(1/SQRT(2*Lm*fs*Pin.peak)-1/VRO)),Vdc_max)</f>
        <v>17.253701323370976</v>
      </c>
      <c r="D50" s="14" t="s">
        <v>1</v>
      </c>
      <c r="N50" s="50"/>
    </row>
    <row r="51" spans="2:14" ht="18.75">
      <c r="B51" s="14" t="s">
        <v>114</v>
      </c>
      <c r="C51" s="49">
        <f>IF(C50&gt;Vdc_min_peak,VRO/(VRO+Vdc_min_peak),SQRT(2*Lm*fs*Pin.peak)/Vdc_min_peak)</f>
        <v>0.14</v>
      </c>
      <c r="D51" s="14"/>
      <c r="E51" s="69" t="str">
        <f>IF(Dmax.peak&gt;0.71,"Need to reduce Dmax.peak",IF(C50&gt;Vdc_min_peak,"---&gt; CCM","---&gt; DCM"))</f>
        <v>---&gt; DCM</v>
      </c>
      <c r="N51" s="50"/>
    </row>
    <row r="52" spans="2:14" ht="18.75">
      <c r="B52" s="14" t="s">
        <v>115</v>
      </c>
      <c r="C52" s="19">
        <f>Pin.peak/(Vdc_min_peak*Dmax.peak)+Vdc_min_peak*Dmax.peak/(2*Lm*(1-Lm_D/100)*fs*0.9)</f>
        <v>0.29286114559027565</v>
      </c>
      <c r="D52" s="14" t="s">
        <v>116</v>
      </c>
      <c r="N52" s="50"/>
    </row>
    <row r="53" ht="14.25">
      <c r="N53" s="50"/>
    </row>
    <row r="54" spans="1:14" ht="15">
      <c r="A54" s="7" t="s">
        <v>19</v>
      </c>
      <c r="B54" s="7"/>
      <c r="C54" s="7"/>
      <c r="D54" s="7"/>
      <c r="E54" s="7"/>
      <c r="F54" s="7"/>
      <c r="G54" s="7"/>
      <c r="H54" s="7"/>
      <c r="I54" s="7"/>
      <c r="N54" s="50"/>
    </row>
    <row r="55" spans="2:14" ht="18.75">
      <c r="B55" s="9" t="s">
        <v>61</v>
      </c>
      <c r="C55" s="12">
        <v>2.15</v>
      </c>
      <c r="D55" s="9" t="s">
        <v>37</v>
      </c>
      <c r="E55" s="69">
        <f>IF(C55=2.15,"",IF(C55=3.5,"",IF(C55=1.2,"","---&gt; This switching frequency is not supported by FSL1xxMRT series")))</f>
      </c>
      <c r="N55" s="50"/>
    </row>
    <row r="56" spans="2:14" ht="18.75">
      <c r="B56" s="78" t="s">
        <v>133</v>
      </c>
      <c r="C56" s="19">
        <f>Ilim*0.88</f>
        <v>1.892</v>
      </c>
      <c r="D56" s="14" t="s">
        <v>7</v>
      </c>
      <c r="E56" s="22" t="s">
        <v>43</v>
      </c>
      <c r="F56" s="83">
        <f>Ipk.peak</f>
        <v>0.29286114559027565</v>
      </c>
      <c r="G56" s="91"/>
      <c r="H56" s="23" t="s">
        <v>7</v>
      </c>
      <c r="N56" s="50"/>
    </row>
    <row r="57" spans="3:14" ht="15">
      <c r="C57" s="68" t="str">
        <f>IF(C56&lt;F56,"-&gt;Higher current limit is required !!!","-&gt;O.K.")</f>
        <v>-&gt;O.K.</v>
      </c>
      <c r="N57" s="50"/>
    </row>
    <row r="58" ht="14.25">
      <c r="N58" s="50"/>
    </row>
    <row r="59" spans="1:14" ht="15">
      <c r="A59" s="7" t="s">
        <v>29</v>
      </c>
      <c r="B59" s="7"/>
      <c r="C59" s="7"/>
      <c r="D59" s="7"/>
      <c r="E59" s="7"/>
      <c r="F59" s="7"/>
      <c r="G59" s="7"/>
      <c r="H59" s="7"/>
      <c r="I59" s="7"/>
      <c r="N59" s="50"/>
    </row>
    <row r="60" spans="2:14" ht="18.75">
      <c r="B60" s="9" t="s">
        <v>62</v>
      </c>
      <c r="C60" s="12">
        <v>0.32</v>
      </c>
      <c r="D60" s="9" t="s">
        <v>9</v>
      </c>
      <c r="E60" s="24">
        <f>IF(Bsat&gt;0.32,"---&gt;Please check the datasheet of the core once again !!!","")</f>
      </c>
      <c r="N60" s="50"/>
    </row>
    <row r="61" spans="2:14" ht="18.75">
      <c r="B61" s="9" t="s">
        <v>63</v>
      </c>
      <c r="C61" s="10">
        <v>17</v>
      </c>
      <c r="D61" s="9" t="s">
        <v>64</v>
      </c>
      <c r="E61" s="20"/>
      <c r="N61" s="50"/>
    </row>
    <row r="62" spans="2:14" ht="17.25">
      <c r="B62" s="78" t="s">
        <v>134</v>
      </c>
      <c r="C62" s="16">
        <f>Lm*(1+Lm_D/100)*Ilim*1.12/Bsat/Ae*1000000</f>
        <v>401.98095036798577</v>
      </c>
      <c r="D62" s="14" t="s">
        <v>9</v>
      </c>
      <c r="E62" s="20"/>
      <c r="N62" s="50"/>
    </row>
    <row r="63" spans="6:14" ht="15">
      <c r="F63" s="23"/>
      <c r="G63" s="23"/>
      <c r="H63" s="23"/>
      <c r="I63" s="23"/>
      <c r="K63" s="9"/>
      <c r="N63" s="50"/>
    </row>
    <row r="64" spans="1:14" ht="15">
      <c r="A64" s="7" t="s">
        <v>36</v>
      </c>
      <c r="B64" s="7"/>
      <c r="C64" s="7"/>
      <c r="D64" s="7"/>
      <c r="E64" s="7"/>
      <c r="F64" s="7"/>
      <c r="G64" s="7"/>
      <c r="H64" s="7"/>
      <c r="I64" s="7"/>
      <c r="N64" s="50"/>
    </row>
    <row r="65" spans="12:14" ht="14.25">
      <c r="L65" s="50"/>
      <c r="N65" s="50"/>
    </row>
    <row r="66" spans="2:14" ht="16.5">
      <c r="B66" s="11"/>
      <c r="C66" s="1" t="s">
        <v>49</v>
      </c>
      <c r="D66" s="65"/>
      <c r="E66" s="1" t="s">
        <v>65</v>
      </c>
      <c r="F66" s="11"/>
      <c r="G66" s="11"/>
      <c r="H66" s="67"/>
      <c r="I66" s="84" t="s">
        <v>120</v>
      </c>
      <c r="J66" s="84"/>
      <c r="L66" s="50"/>
      <c r="N66" s="50"/>
    </row>
    <row r="67" spans="2:14" ht="15">
      <c r="B67" s="78" t="s">
        <v>135</v>
      </c>
      <c r="C67" s="10">
        <v>12</v>
      </c>
      <c r="D67" s="9" t="s">
        <v>1</v>
      </c>
      <c r="E67" s="10">
        <v>1</v>
      </c>
      <c r="F67" s="9" t="s">
        <v>1</v>
      </c>
      <c r="G67" s="25">
        <f>Ns1*(Vcc+VFC)/(Vo1+VF1)</f>
        <v>11.206896551724139</v>
      </c>
      <c r="H67" s="26" t="s">
        <v>10</v>
      </c>
      <c r="I67" s="27">
        <f>ROUND(G67,0)</f>
        <v>11</v>
      </c>
      <c r="J67" s="14" t="s">
        <v>9</v>
      </c>
      <c r="L67" s="50"/>
      <c r="N67" s="50"/>
    </row>
    <row r="68" spans="2:14" ht="15">
      <c r="B68" s="78" t="s">
        <v>136</v>
      </c>
      <c r="C68" s="28">
        <f>Vo1</f>
        <v>4.8</v>
      </c>
      <c r="D68" s="21" t="s">
        <v>1</v>
      </c>
      <c r="E68" s="10">
        <v>1</v>
      </c>
      <c r="F68" s="9" t="s">
        <v>1</v>
      </c>
      <c r="G68" s="29">
        <v>5</v>
      </c>
      <c r="H68" s="26" t="s">
        <v>10</v>
      </c>
      <c r="I68" s="27">
        <f aca="true" t="shared" si="1" ref="I68:I73">ROUND(G68,0)</f>
        <v>5</v>
      </c>
      <c r="J68" s="14" t="s">
        <v>9</v>
      </c>
      <c r="L68" s="50"/>
      <c r="N68" s="50"/>
    </row>
    <row r="69" spans="2:14" ht="15">
      <c r="B69" s="78" t="s">
        <v>137</v>
      </c>
      <c r="C69" s="28">
        <f>'FSL series design guideline'!Vo2</f>
        <v>19.5</v>
      </c>
      <c r="D69" s="21" t="s">
        <v>1</v>
      </c>
      <c r="E69" s="10">
        <v>1</v>
      </c>
      <c r="F69" s="9" t="s">
        <v>1</v>
      </c>
      <c r="G69" s="25">
        <f>Ns1*(Vo2.real+VF2)/(Vo1+VF1)</f>
        <v>17.67241379310345</v>
      </c>
      <c r="H69" s="26" t="s">
        <v>10</v>
      </c>
      <c r="I69" s="27">
        <f t="shared" si="1"/>
        <v>18</v>
      </c>
      <c r="J69" s="14" t="s">
        <v>9</v>
      </c>
      <c r="L69" s="50"/>
      <c r="N69" s="50"/>
    </row>
    <row r="70" spans="2:14" ht="15">
      <c r="B70" s="78" t="s">
        <v>138</v>
      </c>
      <c r="C70" s="28">
        <f>Vo3</f>
        <v>0</v>
      </c>
      <c r="D70" s="21" t="s">
        <v>1</v>
      </c>
      <c r="E70" s="10">
        <v>1</v>
      </c>
      <c r="F70" s="9" t="s">
        <v>1</v>
      </c>
      <c r="G70" s="25">
        <f>Ns1*(Vo3+VF3)/(Vo1+VF1)</f>
        <v>0.8620689655172414</v>
      </c>
      <c r="H70" s="26" t="s">
        <v>10</v>
      </c>
      <c r="I70" s="27">
        <f t="shared" si="1"/>
        <v>1</v>
      </c>
      <c r="J70" s="14" t="s">
        <v>9</v>
      </c>
      <c r="L70" s="50"/>
      <c r="N70" s="50"/>
    </row>
    <row r="71" spans="2:14" ht="15">
      <c r="B71" s="78" t="s">
        <v>139</v>
      </c>
      <c r="C71" s="28">
        <f>Vo4</f>
        <v>0</v>
      </c>
      <c r="D71" s="21" t="s">
        <v>1</v>
      </c>
      <c r="E71" s="10">
        <v>0</v>
      </c>
      <c r="F71" s="9" t="s">
        <v>1</v>
      </c>
      <c r="G71" s="25">
        <f>Ns1*(Vo4+VF4)/(Vo1+VF1)</f>
        <v>0</v>
      </c>
      <c r="H71" s="26" t="s">
        <v>10</v>
      </c>
      <c r="I71" s="27">
        <f t="shared" si="1"/>
        <v>0</v>
      </c>
      <c r="J71" s="14" t="s">
        <v>9</v>
      </c>
      <c r="L71" s="50"/>
      <c r="N71" s="50"/>
    </row>
    <row r="72" spans="2:14" ht="15">
      <c r="B72" s="78" t="s">
        <v>140</v>
      </c>
      <c r="C72" s="28">
        <f>Vo5</f>
        <v>0</v>
      </c>
      <c r="D72" s="21" t="s">
        <v>1</v>
      </c>
      <c r="E72" s="10">
        <v>0</v>
      </c>
      <c r="F72" s="9" t="s">
        <v>1</v>
      </c>
      <c r="G72" s="25">
        <f>Ns1*(Vo5+VF5)/(Vo1+VF1)</f>
        <v>0</v>
      </c>
      <c r="H72" s="26" t="s">
        <v>10</v>
      </c>
      <c r="I72" s="27">
        <f t="shared" si="1"/>
        <v>0</v>
      </c>
      <c r="J72" s="14" t="s">
        <v>9</v>
      </c>
      <c r="L72" s="50"/>
      <c r="N72" s="50"/>
    </row>
    <row r="73" spans="2:14" ht="15">
      <c r="B73" s="78" t="s">
        <v>141</v>
      </c>
      <c r="C73" s="30">
        <f>Vo6</f>
        <v>0</v>
      </c>
      <c r="D73" s="21" t="s">
        <v>1</v>
      </c>
      <c r="E73" s="10">
        <v>0</v>
      </c>
      <c r="F73" s="9" t="s">
        <v>1</v>
      </c>
      <c r="G73" s="25">
        <f>Ns1*(Vo6+VF6)/(Vo1+VF1)</f>
        <v>0</v>
      </c>
      <c r="H73" s="26" t="s">
        <v>10</v>
      </c>
      <c r="I73" s="27">
        <f t="shared" si="1"/>
        <v>0</v>
      </c>
      <c r="J73" s="14" t="s">
        <v>9</v>
      </c>
      <c r="L73" s="50"/>
      <c r="N73" s="50"/>
    </row>
    <row r="74" spans="2:14" ht="16.5">
      <c r="B74" s="31" t="s">
        <v>44</v>
      </c>
      <c r="E74" s="32" t="s">
        <v>66</v>
      </c>
      <c r="F74" s="32"/>
      <c r="G74" s="32"/>
      <c r="H74" s="32"/>
      <c r="I74" s="13">
        <f>VRO/(C68+E68)*Ns1</f>
        <v>108.62068965517241</v>
      </c>
      <c r="J74" s="14" t="s">
        <v>9</v>
      </c>
      <c r="L74" s="50"/>
      <c r="N74" s="50"/>
    </row>
    <row r="75" spans="4:14" ht="15">
      <c r="D75" s="32"/>
      <c r="E75" s="24" t="str">
        <f>IF(I74&lt;C62,"---&gt;More turns required !!!","---&gt;enough turns")</f>
        <v>---&gt;More turns required !!!</v>
      </c>
      <c r="F75" s="24"/>
      <c r="G75" s="24"/>
      <c r="H75" s="24"/>
      <c r="I75" s="24"/>
      <c r="L75" s="50"/>
      <c r="N75" s="50"/>
    </row>
    <row r="76" spans="2:14" ht="16.5">
      <c r="B76" s="9" t="s">
        <v>38</v>
      </c>
      <c r="C76" s="10">
        <v>2000</v>
      </c>
      <c r="D76" s="3" t="s">
        <v>67</v>
      </c>
      <c r="J76" s="24"/>
      <c r="N76" s="50"/>
    </row>
    <row r="77" spans="2:14" ht="15">
      <c r="B77" s="14" t="s">
        <v>45</v>
      </c>
      <c r="C77" s="27">
        <f>0.4*3.14*Ae*(Np^2/10^9/Lm-1/AL)</f>
        <v>0.2861483739722216</v>
      </c>
      <c r="D77" s="14" t="s">
        <v>11</v>
      </c>
      <c r="N77" s="50"/>
    </row>
    <row r="79" spans="1:9" ht="15">
      <c r="A79" s="7" t="s">
        <v>30</v>
      </c>
      <c r="B79" s="7"/>
      <c r="C79" s="7"/>
      <c r="D79" s="7"/>
      <c r="E79" s="7"/>
      <c r="F79" s="7"/>
      <c r="G79" s="7"/>
      <c r="H79" s="7"/>
      <c r="I79" s="7"/>
    </row>
    <row r="80" spans="2:5" ht="14.25">
      <c r="B80" s="33"/>
      <c r="C80" s="34"/>
      <c r="D80" s="9"/>
      <c r="E80" s="9"/>
    </row>
    <row r="81" spans="2:10" ht="17.25">
      <c r="B81" s="11"/>
      <c r="C81" s="2" t="s">
        <v>12</v>
      </c>
      <c r="D81" s="2"/>
      <c r="E81" s="35" t="s">
        <v>13</v>
      </c>
      <c r="F81" s="35"/>
      <c r="G81" s="2" t="s">
        <v>68</v>
      </c>
      <c r="H81" s="2"/>
      <c r="I81" s="36" t="s">
        <v>69</v>
      </c>
      <c r="J81" s="37"/>
    </row>
    <row r="82" spans="2:9" ht="15">
      <c r="B82" s="78" t="s">
        <v>142</v>
      </c>
      <c r="C82" s="10">
        <v>0.15</v>
      </c>
      <c r="D82" s="9" t="s">
        <v>11</v>
      </c>
      <c r="E82" s="10">
        <v>1</v>
      </c>
      <c r="F82" s="3" t="s">
        <v>9</v>
      </c>
      <c r="G82" s="49">
        <f>Irms</f>
        <v>0.057651610616590174</v>
      </c>
      <c r="H82" s="14" t="s">
        <v>7</v>
      </c>
      <c r="I82" s="19">
        <f>G82/E82/(3.14/4*C82^2)</f>
        <v>3.2640685416328474</v>
      </c>
    </row>
    <row r="83" spans="2:9" ht="15">
      <c r="B83" s="78" t="s">
        <v>143</v>
      </c>
      <c r="C83" s="10">
        <v>0.2</v>
      </c>
      <c r="D83" s="9" t="s">
        <v>11</v>
      </c>
      <c r="E83" s="10">
        <v>1</v>
      </c>
      <c r="F83" s="3" t="s">
        <v>9</v>
      </c>
      <c r="G83" s="49">
        <f>Irms*SQRT((1-Dmax)/Dmax)*VRO*0.03/Po/(Vo1+VF1)</f>
        <v>0.07664506217095873</v>
      </c>
      <c r="H83" s="14" t="s">
        <v>7</v>
      </c>
      <c r="I83" s="19">
        <f aca="true" t="shared" si="2" ref="I83:I88">G83/E83/(3.14/4*C83^2)</f>
        <v>2.4409255468458193</v>
      </c>
    </row>
    <row r="84" spans="2:9" ht="15">
      <c r="B84" s="78" t="s">
        <v>144</v>
      </c>
      <c r="C84" s="10">
        <v>0.2</v>
      </c>
      <c r="D84" s="9" t="s">
        <v>11</v>
      </c>
      <c r="E84" s="10">
        <v>1</v>
      </c>
      <c r="F84" s="3" t="s">
        <v>9</v>
      </c>
      <c r="G84" s="49">
        <f>Irms*SQRT((1-Dmax)/Dmax)*VRO*KL1/(Vo1+VF1)</f>
        <v>0.6131604973676699</v>
      </c>
      <c r="H84" s="14" t="s">
        <v>7</v>
      </c>
      <c r="I84" s="16">
        <f t="shared" si="2"/>
        <v>19.527404374766554</v>
      </c>
    </row>
    <row r="85" spans="2:9" ht="15">
      <c r="B85" s="78" t="s">
        <v>145</v>
      </c>
      <c r="C85" s="10">
        <v>0.2</v>
      </c>
      <c r="D85" s="9" t="s">
        <v>11</v>
      </c>
      <c r="E85" s="10">
        <v>1</v>
      </c>
      <c r="F85" s="3" t="s">
        <v>9</v>
      </c>
      <c r="G85" s="16">
        <f>Irms*SQRT((1-Dmax)/Dmax)*VRO*KL2/(Vo2.real+VF2)</f>
        <v>0.7047606936207669</v>
      </c>
      <c r="H85" s="14" t="s">
        <v>7</v>
      </c>
      <c r="I85" s="16">
        <f t="shared" si="2"/>
        <v>22.444608077094482</v>
      </c>
    </row>
    <row r="86" spans="2:10" ht="15">
      <c r="B86" s="78" t="s">
        <v>146</v>
      </c>
      <c r="C86" s="10">
        <v>0</v>
      </c>
      <c r="D86" s="9" t="s">
        <v>11</v>
      </c>
      <c r="E86" s="10">
        <v>0</v>
      </c>
      <c r="F86" s="3" t="s">
        <v>9</v>
      </c>
      <c r="G86" s="16">
        <f>Irms*SQRT((1-Dmax)/Dmax)*VRO*KL3/(Vo3+VF3)</f>
        <v>0</v>
      </c>
      <c r="H86" s="14" t="s">
        <v>7</v>
      </c>
      <c r="I86" s="38" t="e">
        <f t="shared" si="2"/>
        <v>#DIV/0!</v>
      </c>
      <c r="J86" s="37"/>
    </row>
    <row r="87" spans="2:13" ht="15">
      <c r="B87" s="78" t="s">
        <v>147</v>
      </c>
      <c r="C87" s="10">
        <v>0</v>
      </c>
      <c r="D87" s="9" t="s">
        <v>11</v>
      </c>
      <c r="E87" s="10">
        <v>0</v>
      </c>
      <c r="F87" s="3" t="s">
        <v>9</v>
      </c>
      <c r="G87" s="16" t="e">
        <f>Irms*SQRT((1-Dmax)/Dmax)*VRO*KL4/(Vo4+VF4)</f>
        <v>#DIV/0!</v>
      </c>
      <c r="H87" s="14" t="s">
        <v>7</v>
      </c>
      <c r="I87" s="38" t="e">
        <f t="shared" si="2"/>
        <v>#DIV/0!</v>
      </c>
      <c r="J87" s="37"/>
      <c r="M87" s="50"/>
    </row>
    <row r="88" spans="2:13" ht="15">
      <c r="B88" s="78" t="s">
        <v>148</v>
      </c>
      <c r="C88" s="10">
        <v>0</v>
      </c>
      <c r="D88" s="9" t="s">
        <v>11</v>
      </c>
      <c r="E88" s="10">
        <v>0</v>
      </c>
      <c r="F88" s="3" t="s">
        <v>9</v>
      </c>
      <c r="G88" s="16" t="e">
        <f>Irms*SQRT((1-Dmax)/Dmax)*VRO*KL5/(Vo5+VF5)</f>
        <v>#DIV/0!</v>
      </c>
      <c r="H88" s="14" t="s">
        <v>7</v>
      </c>
      <c r="I88" s="38" t="e">
        <f t="shared" si="2"/>
        <v>#DIV/0!</v>
      </c>
      <c r="J88" s="37"/>
      <c r="M88" s="50"/>
    </row>
    <row r="89" spans="2:13" ht="15">
      <c r="B89" s="78" t="s">
        <v>149</v>
      </c>
      <c r="C89" s="10">
        <v>0</v>
      </c>
      <c r="D89" s="9" t="s">
        <v>11</v>
      </c>
      <c r="E89" s="10">
        <v>0</v>
      </c>
      <c r="F89" s="3" t="s">
        <v>9</v>
      </c>
      <c r="G89" s="16" t="e">
        <f>Irms*SQRT((1-Dmax)/Dmax)*VRO*KL6/(Vo6+VF6)</f>
        <v>#DIV/0!</v>
      </c>
      <c r="H89" s="14" t="s">
        <v>7</v>
      </c>
      <c r="I89" s="38" t="e">
        <f>G89/E89/(3.14/4*C89^2)</f>
        <v>#DIV/0!</v>
      </c>
      <c r="J89" s="37"/>
      <c r="M89" s="50"/>
    </row>
    <row r="90" spans="1:13" ht="17.25">
      <c r="A90" s="20"/>
      <c r="B90" s="79" t="s">
        <v>150</v>
      </c>
      <c r="C90" s="19">
        <f>C82^2/4*3.14*E82*Np+C83^2/4*3.14*E83*Nc+C84^2/4*3.14*E84*Ns1+C85^2/4*3.14*E85*Ns2+C86^2/4*3.14*E86*Ns3+C87^2/4*3.14*E87*Ns4+C88^2/4*3.14*E88*Ns5+C89^2/4*3.14*E89*Ns6</f>
        <v>2.9861129310344827</v>
      </c>
      <c r="D90" s="14" t="s">
        <v>70</v>
      </c>
      <c r="E90" s="34"/>
      <c r="F90" s="20"/>
      <c r="G90" s="40"/>
      <c r="H90" s="39"/>
      <c r="I90" s="20"/>
      <c r="J90" s="39"/>
      <c r="M90" s="50"/>
    </row>
    <row r="91" spans="1:13" ht="18.75">
      <c r="A91" s="20"/>
      <c r="B91" s="9" t="s">
        <v>71</v>
      </c>
      <c r="C91" s="10">
        <v>0.2</v>
      </c>
      <c r="D91" s="9"/>
      <c r="E91" s="41"/>
      <c r="F91" s="42"/>
      <c r="G91" s="42"/>
      <c r="H91" s="42"/>
      <c r="I91" s="42"/>
      <c r="J91" s="20"/>
      <c r="M91" s="50"/>
    </row>
    <row r="92" spans="1:13" ht="17.25">
      <c r="A92" s="43"/>
      <c r="B92" s="44" t="s">
        <v>72</v>
      </c>
      <c r="C92" s="19">
        <f>C90/C91</f>
        <v>14.930564655172413</v>
      </c>
      <c r="D92" s="14" t="s">
        <v>70</v>
      </c>
      <c r="E92" s="43"/>
      <c r="F92" s="43"/>
      <c r="G92" s="43"/>
      <c r="H92" s="43"/>
      <c r="I92" s="43"/>
      <c r="J92" s="20"/>
      <c r="M92" s="50"/>
    </row>
    <row r="94" spans="1:9" ht="15">
      <c r="A94" s="7" t="s">
        <v>31</v>
      </c>
      <c r="B94" s="7"/>
      <c r="C94" s="7"/>
      <c r="D94" s="7"/>
      <c r="E94" s="7"/>
      <c r="F94" s="7"/>
      <c r="G94" s="7"/>
      <c r="H94" s="7"/>
      <c r="I94" s="7"/>
    </row>
    <row r="95" spans="2:12" ht="15">
      <c r="B95" s="33"/>
      <c r="C95" s="34"/>
      <c r="D95" s="9"/>
      <c r="E95" s="9"/>
      <c r="L95" s="23"/>
    </row>
    <row r="96" spans="2:13" ht="17.25">
      <c r="B96" s="11"/>
      <c r="C96" s="2" t="s">
        <v>73</v>
      </c>
      <c r="D96" s="2"/>
      <c r="E96" s="2"/>
      <c r="F96" s="45"/>
      <c r="G96" s="46" t="s">
        <v>74</v>
      </c>
      <c r="H96" s="47"/>
      <c r="I96" s="47"/>
      <c r="L96" s="23"/>
      <c r="M96" s="50"/>
    </row>
    <row r="97" spans="2:12" ht="15">
      <c r="B97" s="78" t="s">
        <v>151</v>
      </c>
      <c r="C97" s="13">
        <f>Vcc+SQRT(2)*V_line_max*(Vcc+VFC)/VRO</f>
        <v>50.5204836989243</v>
      </c>
      <c r="D97" s="13"/>
      <c r="E97" s="14" t="s">
        <v>1</v>
      </c>
      <c r="G97" s="49">
        <f>G83</f>
        <v>0.07664506217095873</v>
      </c>
      <c r="H97" s="14" t="s">
        <v>7</v>
      </c>
      <c r="I97" s="48"/>
      <c r="J97" s="23"/>
      <c r="K97" s="23"/>
      <c r="L97" s="23"/>
    </row>
    <row r="98" spans="2:11" ht="15">
      <c r="B98" s="78" t="s">
        <v>152</v>
      </c>
      <c r="C98" s="13">
        <f>Vo1+SQRT(2)*V_line_max*(Vo1+VF1)/VRO</f>
        <v>21.98606195798161</v>
      </c>
      <c r="D98" s="13"/>
      <c r="E98" s="14" t="s">
        <v>1</v>
      </c>
      <c r="G98" s="19">
        <f>Io1rms</f>
        <v>0.6131604973676699</v>
      </c>
      <c r="H98" s="14" t="s">
        <v>7</v>
      </c>
      <c r="I98" s="48"/>
      <c r="J98" s="23"/>
      <c r="K98" s="23"/>
    </row>
    <row r="99" spans="2:11" ht="15">
      <c r="B99" s="78" t="s">
        <v>153</v>
      </c>
      <c r="C99" s="13">
        <f>Vo2.real+SQRT(2)*V_line_max*(Vo2.real+VF2)/VRO</f>
        <v>80.24383967907295</v>
      </c>
      <c r="D99" s="13"/>
      <c r="E99" s="14" t="s">
        <v>1</v>
      </c>
      <c r="G99" s="19">
        <f>Io2rms</f>
        <v>0.7047606936207669</v>
      </c>
      <c r="H99" s="14" t="s">
        <v>7</v>
      </c>
      <c r="I99" s="48"/>
      <c r="J99" s="23"/>
      <c r="K99" s="23"/>
    </row>
    <row r="100" spans="2:8" ht="15">
      <c r="B100" s="78" t="s">
        <v>154</v>
      </c>
      <c r="C100" s="13">
        <f>Vo3+SQRT(2)*V_line_max*(Vo3+VF3)/VRO</f>
        <v>2.9631141306864848</v>
      </c>
      <c r="D100" s="13"/>
      <c r="E100" s="14" t="s">
        <v>1</v>
      </c>
      <c r="G100" s="19">
        <f>Io3rms</f>
        <v>0</v>
      </c>
      <c r="H100" s="14" t="s">
        <v>7</v>
      </c>
    </row>
    <row r="101" spans="2:8" ht="15">
      <c r="B101" s="78" t="s">
        <v>155</v>
      </c>
      <c r="C101" s="13">
        <f>Vo4+SQRT(2)*V_line_max*(Vo4+VF4)/VRO</f>
        <v>0</v>
      </c>
      <c r="D101" s="13"/>
      <c r="E101" s="14" t="s">
        <v>1</v>
      </c>
      <c r="G101" s="19" t="e">
        <f>Io4rms</f>
        <v>#DIV/0!</v>
      </c>
      <c r="H101" s="14" t="s">
        <v>7</v>
      </c>
    </row>
    <row r="102" spans="2:8" ht="15">
      <c r="B102" s="78" t="s">
        <v>156</v>
      </c>
      <c r="C102" s="13">
        <f>Vo5+SQRT(2)*V_line_max*(Vo5+VF5)/VRO</f>
        <v>0</v>
      </c>
      <c r="D102" s="13"/>
      <c r="E102" s="14" t="s">
        <v>1</v>
      </c>
      <c r="G102" s="19" t="e">
        <f>Io5rms</f>
        <v>#DIV/0!</v>
      </c>
      <c r="H102" s="14" t="s">
        <v>7</v>
      </c>
    </row>
    <row r="103" spans="2:8" ht="15">
      <c r="B103" s="78" t="s">
        <v>157</v>
      </c>
      <c r="C103" s="13">
        <f>Vo6+SQRT(2)*V_line_max*(Vo6+VF6)/VRO</f>
        <v>0</v>
      </c>
      <c r="D103" s="13"/>
      <c r="E103" s="14" t="s">
        <v>1</v>
      </c>
      <c r="G103" s="19" t="e">
        <f>Io6rms</f>
        <v>#DIV/0!</v>
      </c>
      <c r="H103" s="14" t="s">
        <v>7</v>
      </c>
    </row>
    <row r="105" spans="1:13" ht="15">
      <c r="A105" s="7" t="s">
        <v>20</v>
      </c>
      <c r="B105" s="7"/>
      <c r="C105" s="7"/>
      <c r="D105" s="7"/>
      <c r="E105" s="7"/>
      <c r="F105" s="7"/>
      <c r="G105" s="7"/>
      <c r="H105" s="7"/>
      <c r="I105" s="7"/>
      <c r="M105" s="50"/>
    </row>
    <row r="106" spans="2:13" ht="14.25">
      <c r="B106" s="33"/>
      <c r="C106" s="34"/>
      <c r="D106" s="9"/>
      <c r="E106" s="9"/>
      <c r="M106" s="50"/>
    </row>
    <row r="107" spans="2:13" ht="13.5" customHeight="1">
      <c r="B107" s="11"/>
      <c r="C107" s="84" t="s">
        <v>75</v>
      </c>
      <c r="D107" s="84"/>
      <c r="E107" s="85" t="s">
        <v>76</v>
      </c>
      <c r="F107" s="85"/>
      <c r="G107" s="87" t="s">
        <v>77</v>
      </c>
      <c r="H107" s="87"/>
      <c r="I107" s="88" t="s">
        <v>78</v>
      </c>
      <c r="J107" s="88"/>
      <c r="M107" s="50"/>
    </row>
    <row r="108" spans="2:13" ht="14.25">
      <c r="B108" s="11"/>
      <c r="C108" s="84"/>
      <c r="D108" s="84"/>
      <c r="E108" s="85"/>
      <c r="F108" s="85"/>
      <c r="G108" s="87"/>
      <c r="H108" s="87"/>
      <c r="I108" s="88"/>
      <c r="J108" s="88"/>
      <c r="M108" s="50"/>
    </row>
    <row r="109" spans="2:13" ht="15">
      <c r="B109" s="14" t="s">
        <v>79</v>
      </c>
      <c r="C109" s="10">
        <v>2000</v>
      </c>
      <c r="D109" s="9" t="s">
        <v>14</v>
      </c>
      <c r="E109" s="10">
        <v>50</v>
      </c>
      <c r="F109" s="9" t="s">
        <v>106</v>
      </c>
      <c r="G109" s="49">
        <f>SQRT(Io1rms^2-Io_1^2)</f>
        <v>0.6111184791283669</v>
      </c>
      <c r="H109" s="14" t="s">
        <v>7</v>
      </c>
      <c r="I109" s="49">
        <f>1000000*Io_1*Dmax/Co_1/fs+Ipk*VRO*Rc_1/1000/(Vo1+VF1)*KL1</f>
        <v>0.06288834667208294</v>
      </c>
      <c r="J109" s="14" t="s">
        <v>1</v>
      </c>
      <c r="M109" s="50"/>
    </row>
    <row r="110" spans="2:13" ht="15">
      <c r="B110" s="14" t="s">
        <v>80</v>
      </c>
      <c r="C110" s="10">
        <v>0</v>
      </c>
      <c r="D110" s="9" t="s">
        <v>14</v>
      </c>
      <c r="E110" s="10">
        <v>0</v>
      </c>
      <c r="F110" s="9" t="s">
        <v>106</v>
      </c>
      <c r="G110" s="49">
        <f>SQRT(Io2rms^2-Io_2^2)</f>
        <v>0.7029848044394875</v>
      </c>
      <c r="H110" s="14" t="s">
        <v>7</v>
      </c>
      <c r="I110" s="49" t="e">
        <f>1000000*Io_2*Dmax/Co_2/fs+Ipk*VRO*Rc_2/1000/(Vo2+VF2)*KL2</f>
        <v>#DIV/0!</v>
      </c>
      <c r="J110" s="14" t="s">
        <v>1</v>
      </c>
      <c r="M110" s="50"/>
    </row>
    <row r="111" spans="2:13" ht="15">
      <c r="B111" s="14" t="s">
        <v>81</v>
      </c>
      <c r="C111" s="10">
        <v>0</v>
      </c>
      <c r="D111" s="9" t="s">
        <v>14</v>
      </c>
      <c r="E111" s="10">
        <v>0</v>
      </c>
      <c r="F111" s="9" t="s">
        <v>106</v>
      </c>
      <c r="G111" s="49">
        <f>SQRT(Io3rms^2-Io_3^2)</f>
        <v>0</v>
      </c>
      <c r="H111" s="14" t="s">
        <v>7</v>
      </c>
      <c r="I111" s="49" t="e">
        <f>1000000*Io_3*Dmax/Co_3/fs+Ipk*VRO*Rc_3/1000/(Vo3+VF3)*KL3</f>
        <v>#DIV/0!</v>
      </c>
      <c r="J111" s="14" t="s">
        <v>1</v>
      </c>
      <c r="M111" s="50"/>
    </row>
    <row r="112" spans="2:13" ht="15">
      <c r="B112" s="14" t="s">
        <v>82</v>
      </c>
      <c r="C112" s="10"/>
      <c r="D112" s="9" t="s">
        <v>14</v>
      </c>
      <c r="E112" s="10"/>
      <c r="F112" s="9" t="s">
        <v>106</v>
      </c>
      <c r="G112" s="16" t="e">
        <f>SQRT(Io4rms^2-Io_4^2)</f>
        <v>#DIV/0!</v>
      </c>
      <c r="H112" s="14" t="s">
        <v>7</v>
      </c>
      <c r="I112" s="19" t="e">
        <f>1000000*Io_4*Dmax/Co_4/fs+Ipk*VRO*Rc_4/1000/(Vo4+VF4)*KL4</f>
        <v>#DIV/0!</v>
      </c>
      <c r="J112" s="14" t="s">
        <v>1</v>
      </c>
      <c r="M112" s="50"/>
    </row>
    <row r="113" spans="2:13" ht="15">
      <c r="B113" s="14" t="s">
        <v>83</v>
      </c>
      <c r="C113" s="10"/>
      <c r="D113" s="9" t="s">
        <v>14</v>
      </c>
      <c r="E113" s="10"/>
      <c r="F113" s="9" t="s">
        <v>106</v>
      </c>
      <c r="G113" s="16" t="e">
        <f>SQRT(Io5rms^2-Io_5^2)</f>
        <v>#DIV/0!</v>
      </c>
      <c r="H113" s="14" t="s">
        <v>7</v>
      </c>
      <c r="I113" s="19" t="e">
        <f>1000000*Io_5*Dmax/Co_5/fs+Ipk*VRO*Rc_5/1000/(Vo5+VF5)*KL5</f>
        <v>#DIV/0!</v>
      </c>
      <c r="J113" s="14" t="s">
        <v>1</v>
      </c>
      <c r="L113" s="50"/>
      <c r="M113" s="50"/>
    </row>
    <row r="114" spans="2:13" ht="15">
      <c r="B114" s="14" t="s">
        <v>15</v>
      </c>
      <c r="C114" s="10"/>
      <c r="D114" s="9" t="s">
        <v>14</v>
      </c>
      <c r="E114" s="10"/>
      <c r="F114" s="9" t="s">
        <v>106</v>
      </c>
      <c r="G114" s="16" t="e">
        <f>SQRT(Io6rms^2-Io_6^2)</f>
        <v>#DIV/0!</v>
      </c>
      <c r="H114" s="14" t="s">
        <v>7</v>
      </c>
      <c r="I114" s="19" t="e">
        <f>1000000*Io_6*Dmax/Co_6/fs+Ipk*VRO*Rc_6/1000/(Vo6+VF6)*KL6</f>
        <v>#DIV/0!</v>
      </c>
      <c r="J114" s="14" t="s">
        <v>1</v>
      </c>
      <c r="L114" s="50"/>
      <c r="M114" s="50"/>
    </row>
    <row r="115" spans="12:13" ht="14.25">
      <c r="L115" s="50"/>
      <c r="M115" s="50"/>
    </row>
    <row r="116" spans="1:13" ht="15">
      <c r="A116" s="7" t="s">
        <v>129</v>
      </c>
      <c r="B116" s="7"/>
      <c r="C116" s="7"/>
      <c r="D116" s="7"/>
      <c r="E116" s="7"/>
      <c r="F116" s="7"/>
      <c r="G116" s="7"/>
      <c r="H116" s="7"/>
      <c r="I116" s="7"/>
      <c r="L116" s="50"/>
      <c r="M116" s="50"/>
    </row>
    <row r="117" spans="2:13" ht="18.75">
      <c r="B117" s="9" t="s">
        <v>84</v>
      </c>
      <c r="C117" s="10">
        <v>30</v>
      </c>
      <c r="D117" s="9" t="s">
        <v>5</v>
      </c>
      <c r="L117" s="50"/>
      <c r="M117" s="50"/>
    </row>
    <row r="118" spans="2:13" ht="18.75">
      <c r="B118" s="9" t="s">
        <v>85</v>
      </c>
      <c r="C118" s="10">
        <v>180</v>
      </c>
      <c r="D118" s="9" t="s">
        <v>1</v>
      </c>
      <c r="E118" s="24">
        <f>IF(VRO&gt;Vsn,"---&gt;Vsn should be larger than Vro !!!","")</f>
      </c>
      <c r="F118" s="51"/>
      <c r="L118" s="50"/>
      <c r="M118" s="50"/>
    </row>
    <row r="119" spans="2:13" ht="14.25">
      <c r="B119" s="9" t="s">
        <v>33</v>
      </c>
      <c r="C119" s="10">
        <v>10</v>
      </c>
      <c r="D119" s="9" t="s">
        <v>4</v>
      </c>
      <c r="L119" s="50"/>
      <c r="M119" s="50"/>
    </row>
    <row r="120" spans="2:13" ht="16.5">
      <c r="B120" s="78" t="s">
        <v>158</v>
      </c>
      <c r="C120" s="16">
        <f>Vsn^2/C122/1000</f>
        <v>112.76561411891173</v>
      </c>
      <c r="D120" s="14" t="s">
        <v>40</v>
      </c>
      <c r="L120" s="50"/>
      <c r="M120" s="50"/>
    </row>
    <row r="121" spans="2:13" ht="16.5">
      <c r="B121" s="78" t="s">
        <v>159</v>
      </c>
      <c r="C121" s="16">
        <f>100/C119/C120/1000/fs*10^9</f>
        <v>1.3235748548834667</v>
      </c>
      <c r="D121" s="14" t="s">
        <v>17</v>
      </c>
      <c r="G121" s="52"/>
      <c r="L121" s="50"/>
      <c r="M121" s="50"/>
    </row>
    <row r="122" spans="2:13" ht="16.5">
      <c r="B122" s="78" t="s">
        <v>160</v>
      </c>
      <c r="C122" s="16">
        <f>0.5*Ipk.peak^2*Llk/1000000*fs*Vsn/(Vsn-VRO)</f>
        <v>0.2873216294981029</v>
      </c>
      <c r="D122" s="14" t="s">
        <v>3</v>
      </c>
      <c r="E122" s="23"/>
      <c r="F122" s="23"/>
      <c r="G122" s="23"/>
      <c r="H122" s="23"/>
      <c r="I122" s="23"/>
      <c r="L122" s="50"/>
      <c r="M122" s="50"/>
    </row>
    <row r="123" spans="2:13" ht="17.25">
      <c r="B123" s="78" t="s">
        <v>161</v>
      </c>
      <c r="C123" s="19">
        <f>IF(Vdc_max&lt;C50,Pin/(Vdc_max*VRO/(Vdc_max+VRO))+Vdc_max*VRO/(Vdc_max+VRO)/Lm/fs/2,SQRT(2*Pin/fs/Lm))</f>
        <v>0.2668750994654989</v>
      </c>
      <c r="D123" s="14" t="s">
        <v>7</v>
      </c>
      <c r="E123" s="23" t="str">
        <f>IF(Vdc_max&lt;C48,"(CCM)","(DCM)")</f>
        <v>(DCM)</v>
      </c>
      <c r="M123" s="53"/>
    </row>
    <row r="124" spans="2:13" ht="17.25">
      <c r="B124" s="78" t="s">
        <v>162</v>
      </c>
      <c r="C124" s="13">
        <f>(VRO+SQRT(VRO^2+2*C120*Llk*C123^2*fs/1000))/2</f>
        <v>172.72960243882434</v>
      </c>
      <c r="D124" s="14" t="s">
        <v>1</v>
      </c>
      <c r="M124" s="53"/>
    </row>
    <row r="125" spans="2:13" ht="17.25">
      <c r="B125" s="78" t="s">
        <v>163</v>
      </c>
      <c r="C125" s="13">
        <f>Vdc_max+C124</f>
        <v>546.0819829053214</v>
      </c>
      <c r="D125" s="14" t="s">
        <v>1</v>
      </c>
      <c r="E125" s="24"/>
      <c r="L125" s="53"/>
      <c r="M125" s="53"/>
    </row>
    <row r="126" spans="4:13" ht="15">
      <c r="D126" s="14"/>
      <c r="M126" s="92"/>
    </row>
    <row r="127" spans="1:13" ht="15">
      <c r="A127" s="7" t="s">
        <v>21</v>
      </c>
      <c r="B127" s="7"/>
      <c r="C127" s="7"/>
      <c r="D127" s="7"/>
      <c r="E127" s="7"/>
      <c r="F127" s="7"/>
      <c r="G127" s="7"/>
      <c r="H127" s="7"/>
      <c r="I127" s="7"/>
      <c r="L127" s="53"/>
      <c r="M127" s="53"/>
    </row>
    <row r="128" spans="11:13" ht="14.25">
      <c r="K128" s="54"/>
      <c r="M128" s="53"/>
    </row>
    <row r="129" spans="2:13" ht="15">
      <c r="B129" s="80" t="s">
        <v>130</v>
      </c>
      <c r="C129" s="75" t="str">
        <f>IF(Vdc_min&lt;C47,"CCM","DCM")</f>
        <v>DCM</v>
      </c>
      <c r="K129" s="54"/>
      <c r="M129" s="53"/>
    </row>
    <row r="130" spans="2:13" ht="15">
      <c r="B130" s="55" t="s">
        <v>86</v>
      </c>
      <c r="C130" s="13">
        <f>IF(Vdc_min&lt;C48,Ilim/2.4*(Vo1^2/Po)/3*VRO/(Vo1+VF1)*Vdc_min/(Vdc_min+2*VRO),Vo1/(SQRT(2*Pin/fs/Lm)/Ilim*2.4))</f>
        <v>16.11240617282054</v>
      </c>
      <c r="D130" s="51"/>
      <c r="G130" s="52"/>
      <c r="H130" s="52"/>
      <c r="I130" s="52"/>
      <c r="J130" s="52"/>
      <c r="K130" s="31"/>
      <c r="L130" s="56"/>
      <c r="M130" s="53"/>
    </row>
    <row r="131" spans="2:13" ht="18.75">
      <c r="B131" s="55" t="s">
        <v>87</v>
      </c>
      <c r="C131" s="13">
        <f>1/(Rc_1*Co_1)*10^9</f>
        <v>10000</v>
      </c>
      <c r="D131" s="14" t="s">
        <v>34</v>
      </c>
      <c r="E131" s="14"/>
      <c r="F131" s="57" t="s">
        <v>88</v>
      </c>
      <c r="G131" s="90">
        <f>C131/2/3.14</f>
        <v>1592.3566878980891</v>
      </c>
      <c r="H131" s="90"/>
      <c r="I131" s="14" t="s">
        <v>2</v>
      </c>
      <c r="K131" s="31"/>
      <c r="L131" s="58"/>
      <c r="M131" s="92"/>
    </row>
    <row r="132" spans="2:13" ht="18.75">
      <c r="B132" s="55" t="s">
        <v>89</v>
      </c>
      <c r="C132" s="13">
        <f>IF(Vdc_min&lt;C48,Vo1^2/Po/Lm/Dmax*(1-Dmax)^2*(VRO/(Vo1+VF1))^2,10^100)</f>
        <v>1E+100</v>
      </c>
      <c r="D132" s="14" t="s">
        <v>34</v>
      </c>
      <c r="F132" s="57" t="s">
        <v>90</v>
      </c>
      <c r="G132" s="90">
        <f>C132/2/3.14</f>
        <v>1.5923566878980892E+99</v>
      </c>
      <c r="H132" s="90"/>
      <c r="I132" s="14" t="s">
        <v>2</v>
      </c>
      <c r="K132" s="31"/>
      <c r="L132" s="56"/>
      <c r="M132" s="53"/>
    </row>
    <row r="133" spans="2:13" ht="18.75">
      <c r="B133" s="55" t="s">
        <v>91</v>
      </c>
      <c r="C133" s="13">
        <f>IF(Vdc_min&lt;C48,(1+Dmax)/(Vo1^2/Po*Co_1)*10^6,2/(Vo1^2/Po*Co_1)*10^6)</f>
        <v>52.734375</v>
      </c>
      <c r="D133" s="14" t="s">
        <v>34</v>
      </c>
      <c r="F133" s="57" t="s">
        <v>92</v>
      </c>
      <c r="G133" s="90">
        <f>C133/2/3.14</f>
        <v>8.397193471337578</v>
      </c>
      <c r="H133" s="90"/>
      <c r="I133" s="14" t="s">
        <v>2</v>
      </c>
      <c r="K133" s="31"/>
      <c r="L133" s="56"/>
      <c r="M133" s="50"/>
    </row>
    <row r="134" spans="11:13" ht="14.25">
      <c r="K134" s="31"/>
      <c r="L134" s="56"/>
      <c r="M134" s="50"/>
    </row>
    <row r="135" spans="2:13" ht="18.75">
      <c r="B135" s="9" t="s">
        <v>93</v>
      </c>
      <c r="C135" s="72">
        <v>10</v>
      </c>
      <c r="D135" s="40" t="s">
        <v>39</v>
      </c>
      <c r="K135" s="31"/>
      <c r="L135" s="58"/>
      <c r="M135" s="50"/>
    </row>
    <row r="136" spans="2:13" ht="18.75">
      <c r="B136" s="55" t="s">
        <v>94</v>
      </c>
      <c r="C136" s="16">
        <f>2.5*R_1/(Vo1-2.5)</f>
        <v>10.869565217391305</v>
      </c>
      <c r="D136" s="14" t="s">
        <v>40</v>
      </c>
      <c r="K136" s="31"/>
      <c r="L136" s="56"/>
      <c r="M136" s="50"/>
    </row>
    <row r="137" spans="2:13" ht="18.75">
      <c r="B137" s="9" t="s">
        <v>95</v>
      </c>
      <c r="C137" s="10">
        <v>0.51</v>
      </c>
      <c r="D137" s="40" t="s">
        <v>39</v>
      </c>
      <c r="E137" s="59"/>
      <c r="K137" s="31"/>
      <c r="L137" s="60"/>
      <c r="M137" s="50"/>
    </row>
    <row r="138" spans="2:13" ht="18.75">
      <c r="B138" s="9" t="s">
        <v>96</v>
      </c>
      <c r="C138" s="10">
        <v>2.7</v>
      </c>
      <c r="D138" s="40" t="s">
        <v>39</v>
      </c>
      <c r="E138" s="59"/>
      <c r="K138" s="31"/>
      <c r="L138" s="61"/>
      <c r="M138" s="50"/>
    </row>
    <row r="139" spans="2:13" ht="18.75">
      <c r="B139" s="40" t="s">
        <v>97</v>
      </c>
      <c r="C139" s="10">
        <v>10</v>
      </c>
      <c r="D139" s="40" t="s">
        <v>17</v>
      </c>
      <c r="K139" s="31"/>
      <c r="L139" s="61"/>
      <c r="M139" s="50"/>
    </row>
    <row r="140" spans="2:13" ht="20.25" customHeight="1">
      <c r="B140" s="40" t="s">
        <v>98</v>
      </c>
      <c r="C140" s="10">
        <v>100</v>
      </c>
      <c r="D140" s="40" t="s">
        <v>17</v>
      </c>
      <c r="K140" s="31"/>
      <c r="L140" s="61"/>
      <c r="M140" s="50"/>
    </row>
    <row r="141" spans="2:13" ht="18.75">
      <c r="B141" s="40" t="s">
        <v>99</v>
      </c>
      <c r="C141" s="10">
        <v>30</v>
      </c>
      <c r="D141" s="40" t="s">
        <v>39</v>
      </c>
      <c r="K141" s="31"/>
      <c r="L141" s="61"/>
      <c r="M141" s="50"/>
    </row>
    <row r="142" spans="12:13" ht="14.25">
      <c r="L142" s="61"/>
      <c r="M142" s="50"/>
    </row>
    <row r="143" spans="2:13" ht="18.75">
      <c r="B143" s="14" t="s">
        <v>100</v>
      </c>
      <c r="C143" s="62">
        <f>27/(C135*C137*C140)*10^6</f>
        <v>52941.17647058824</v>
      </c>
      <c r="D143" s="14" t="s">
        <v>34</v>
      </c>
      <c r="F143" s="57" t="s">
        <v>101</v>
      </c>
      <c r="G143" s="82">
        <f>C143/(2*3.14)</f>
        <v>8430.123641813414</v>
      </c>
      <c r="H143" s="82"/>
      <c r="I143" s="14" t="s">
        <v>2</v>
      </c>
      <c r="K143" s="31"/>
      <c r="L143" s="61"/>
      <c r="M143" s="50"/>
    </row>
    <row r="144" spans="2:13" ht="18.75">
      <c r="B144" s="55" t="s">
        <v>102</v>
      </c>
      <c r="C144" s="63">
        <f>1/(C140*(C141+C135))*10^6</f>
        <v>250</v>
      </c>
      <c r="D144" s="14" t="s">
        <v>34</v>
      </c>
      <c r="F144" s="57" t="s">
        <v>103</v>
      </c>
      <c r="G144" s="82">
        <f>C144/(2*3.14)</f>
        <v>39.808917197452224</v>
      </c>
      <c r="H144" s="82"/>
      <c r="I144" s="14" t="s">
        <v>2</v>
      </c>
      <c r="K144" s="31"/>
      <c r="L144" s="61"/>
      <c r="M144" s="50"/>
    </row>
    <row r="145" spans="2:13" ht="16.5">
      <c r="B145" s="55" t="s">
        <v>104</v>
      </c>
      <c r="C145" s="63">
        <f>1/(27*C139)*1000000</f>
        <v>3703.703703703704</v>
      </c>
      <c r="D145" s="14" t="s">
        <v>34</v>
      </c>
      <c r="F145" s="57" t="s">
        <v>105</v>
      </c>
      <c r="G145" s="82">
        <f>C145/(2*3.14)</f>
        <v>589.7617362585515</v>
      </c>
      <c r="H145" s="82"/>
      <c r="I145" s="14" t="s">
        <v>2</v>
      </c>
      <c r="K145" s="31"/>
      <c r="L145" s="61"/>
      <c r="M145" s="50"/>
    </row>
    <row r="146" spans="2:13" ht="14.25">
      <c r="B146" s="31"/>
      <c r="C146" s="31"/>
      <c r="D146" s="31"/>
      <c r="E146" s="64"/>
      <c r="F146" s="31"/>
      <c r="G146" s="31"/>
      <c r="H146" s="31"/>
      <c r="I146" s="31"/>
      <c r="J146" s="31"/>
      <c r="K146" s="31"/>
      <c r="L146" s="61"/>
      <c r="M146" s="50"/>
    </row>
    <row r="147" spans="2:13" ht="14.25">
      <c r="B147" s="54"/>
      <c r="C147" s="54"/>
      <c r="D147" s="54"/>
      <c r="E147" s="54"/>
      <c r="F147" s="54"/>
      <c r="G147" s="54"/>
      <c r="H147" s="54"/>
      <c r="I147" s="54"/>
      <c r="J147" s="54"/>
      <c r="K147" s="64"/>
      <c r="L147" s="61"/>
      <c r="M147" s="50"/>
    </row>
    <row r="148" spans="2:13" ht="14.25">
      <c r="B148" s="54">
        <v>16</v>
      </c>
      <c r="C148" s="54">
        <f aca="true" t="shared" si="3" ref="C148:C167">20*LOG(k_1*SQRT(1+B148^2/fz_1^2)*SQRT(1+B148^2/fzr^2)/SQRT(1+B148^2/fp_1^2))</f>
        <v>17.48732678121717</v>
      </c>
      <c r="D148" s="54">
        <f aca="true" t="shared" si="4" ref="D148:D167">20*LOG(fi/B148*SQRT(1+B148^2/fz^2)/SQRT(1+B148^2/fp^2))</f>
        <v>55.081424465293445</v>
      </c>
      <c r="E148" s="54">
        <f aca="true" t="shared" si="5" ref="E148:E167">SUM(C148:D148)</f>
        <v>72.56875124651062</v>
      </c>
      <c r="F148" s="54"/>
      <c r="G148" s="54">
        <v>16</v>
      </c>
      <c r="H148" s="54">
        <f aca="true" t="shared" si="6" ref="H148:H167">180/3.14*(ATAN(G148/fz_1)-ATAN(G148/fzr)-ATAN(G148/fp_1))</f>
        <v>-61.76402947370772</v>
      </c>
      <c r="I148" s="54">
        <f aca="true" t="shared" si="7" ref="I148:I167">180/3.14*(ATAN(G148/fz)-ATAN(G148/fp))-90</f>
        <v>-69.64753150895984</v>
      </c>
      <c r="J148" s="54">
        <f aca="true" t="shared" si="8" ref="J148:J167">SUM(H148:I148)</f>
        <v>-131.41156098266757</v>
      </c>
      <c r="K148" s="64"/>
      <c r="L148" s="61"/>
      <c r="M148" s="50"/>
    </row>
    <row r="149" spans="2:13" ht="14.25">
      <c r="B149" s="54">
        <v>25</v>
      </c>
      <c r="C149" s="54">
        <f t="shared" si="3"/>
        <v>14.203909942819482</v>
      </c>
      <c r="D149" s="54">
        <f t="shared" si="4"/>
        <v>51.9939057337521</v>
      </c>
      <c r="E149" s="54">
        <f t="shared" si="5"/>
        <v>66.19781567657158</v>
      </c>
      <c r="F149" s="54"/>
      <c r="G149" s="54">
        <v>25</v>
      </c>
      <c r="H149" s="54">
        <f t="shared" si="6"/>
        <v>-70.56973729159024</v>
      </c>
      <c r="I149" s="54">
        <f t="shared" si="7"/>
        <v>-60.28342890175925</v>
      </c>
      <c r="J149" s="54">
        <f t="shared" si="8"/>
        <v>-130.8531661933495</v>
      </c>
      <c r="K149" s="64"/>
      <c r="L149" s="61"/>
      <c r="M149" s="50"/>
    </row>
    <row r="150" spans="2:13" ht="14.25">
      <c r="B150" s="54">
        <v>40</v>
      </c>
      <c r="C150" s="54">
        <f t="shared" si="3"/>
        <v>10.400132584121424</v>
      </c>
      <c r="D150" s="54">
        <f t="shared" si="4"/>
        <v>49.48669292310537</v>
      </c>
      <c r="E150" s="54">
        <f t="shared" si="5"/>
        <v>59.886825507226796</v>
      </c>
      <c r="F150" s="54"/>
      <c r="G150" s="54">
        <v>40</v>
      </c>
      <c r="H150" s="54">
        <f t="shared" si="6"/>
        <v>-76.74400977288772</v>
      </c>
      <c r="I150" s="54">
        <f t="shared" si="7"/>
        <v>-48.721980069322136</v>
      </c>
      <c r="J150" s="54">
        <f t="shared" si="8"/>
        <v>-125.46598984220986</v>
      </c>
      <c r="K150" s="64"/>
      <c r="L150" s="61"/>
      <c r="M150" s="50"/>
    </row>
    <row r="151" spans="2:13" ht="14.25">
      <c r="B151" s="54">
        <v>63</v>
      </c>
      <c r="C151" s="54">
        <f t="shared" si="3"/>
        <v>6.569394007499909</v>
      </c>
      <c r="D151" s="54">
        <f t="shared" si="4"/>
        <v>47.92684657241032</v>
      </c>
      <c r="E151" s="54">
        <f t="shared" si="5"/>
        <v>54.49624057991023</v>
      </c>
      <c r="F151" s="54"/>
      <c r="G151" s="54">
        <v>63</v>
      </c>
      <c r="H151" s="54">
        <f t="shared" si="6"/>
        <v>-80.18284520858417</v>
      </c>
      <c r="I151" s="54">
        <f t="shared" si="7"/>
        <v>-38.359476904570684</v>
      </c>
      <c r="J151" s="54">
        <f t="shared" si="8"/>
        <v>-118.54232211315485</v>
      </c>
      <c r="K151" s="64"/>
      <c r="L151" s="61"/>
      <c r="M151" s="50"/>
    </row>
    <row r="152" spans="2:13" ht="14.25">
      <c r="B152" s="54">
        <v>100</v>
      </c>
      <c r="C152" s="54">
        <f t="shared" si="3"/>
        <v>2.6124695259809005</v>
      </c>
      <c r="D152" s="54">
        <f t="shared" si="4"/>
        <v>47.03283721893804</v>
      </c>
      <c r="E152" s="54">
        <f t="shared" si="5"/>
        <v>49.64530674491894</v>
      </c>
      <c r="F152" s="54"/>
      <c r="G152" s="54">
        <v>100</v>
      </c>
      <c r="H152" s="54">
        <f t="shared" si="6"/>
        <v>-81.64795953918721</v>
      </c>
      <c r="I152" s="54">
        <f t="shared" si="7"/>
        <v>-31.300749462845538</v>
      </c>
      <c r="J152" s="54">
        <f t="shared" si="8"/>
        <v>-112.94870900203276</v>
      </c>
      <c r="K152" s="64"/>
      <c r="L152" s="61"/>
      <c r="M152" s="50"/>
    </row>
    <row r="153" spans="2:13" ht="14.25">
      <c r="B153" s="54">
        <v>160</v>
      </c>
      <c r="C153" s="54">
        <f t="shared" si="3"/>
        <v>-1.4248267336417273</v>
      </c>
      <c r="D153" s="54">
        <f t="shared" si="4"/>
        <v>46.469494175813566</v>
      </c>
      <c r="E153" s="54">
        <f t="shared" si="5"/>
        <v>45.044667442171836</v>
      </c>
      <c r="F153" s="54"/>
      <c r="G153" s="54">
        <v>160</v>
      </c>
      <c r="H153" s="54">
        <f t="shared" si="6"/>
        <v>-81.29912656643683</v>
      </c>
      <c r="I153" s="54">
        <f t="shared" si="7"/>
        <v>-29.119722736429075</v>
      </c>
      <c r="J153" s="54">
        <f t="shared" si="8"/>
        <v>-110.41884930286591</v>
      </c>
      <c r="K153" s="64"/>
      <c r="L153" s="61"/>
      <c r="M153" s="50"/>
    </row>
    <row r="154" spans="2:13" ht="14.25">
      <c r="B154" s="54">
        <v>250</v>
      </c>
      <c r="C154" s="54">
        <f t="shared" si="3"/>
        <v>-5.232054725501901</v>
      </c>
      <c r="D154" s="54">
        <f t="shared" si="4"/>
        <v>45.90813491657697</v>
      </c>
      <c r="E154" s="54">
        <f t="shared" si="5"/>
        <v>40.676080191075066</v>
      </c>
      <c r="F154" s="54"/>
      <c r="G154" s="54">
        <v>250</v>
      </c>
      <c r="H154" s="54">
        <f t="shared" si="6"/>
        <v>-79.19377407301246</v>
      </c>
      <c r="I154" s="54">
        <f t="shared" si="7"/>
        <v>-31.990251361758702</v>
      </c>
      <c r="J154" s="54">
        <f t="shared" si="8"/>
        <v>-111.18402543477117</v>
      </c>
      <c r="K154" s="64"/>
      <c r="L154" s="61"/>
      <c r="M154" s="50"/>
    </row>
    <row r="155" spans="2:12" ht="14.25">
      <c r="B155" s="54">
        <v>400</v>
      </c>
      <c r="C155" s="54">
        <f t="shared" si="3"/>
        <v>-9.151475084008347</v>
      </c>
      <c r="D155" s="54">
        <f t="shared" si="4"/>
        <v>44.916318655225346</v>
      </c>
      <c r="E155" s="54">
        <f t="shared" si="5"/>
        <v>35.764843571217</v>
      </c>
      <c r="F155" s="54"/>
      <c r="G155" s="54">
        <v>400</v>
      </c>
      <c r="H155" s="54">
        <f t="shared" si="6"/>
        <v>-74.7343186967663</v>
      </c>
      <c r="I155" s="54">
        <f t="shared" si="7"/>
        <v>-39.80473555287637</v>
      </c>
      <c r="J155" s="54">
        <f t="shared" si="8"/>
        <v>-114.53905424964267</v>
      </c>
      <c r="K155" s="64"/>
      <c r="L155" s="61"/>
    </row>
    <row r="156" spans="2:12" ht="14.25">
      <c r="B156" s="54">
        <v>630</v>
      </c>
      <c r="C156" s="54">
        <f t="shared" si="3"/>
        <v>-12.730118449670684</v>
      </c>
      <c r="D156" s="54">
        <f t="shared" si="4"/>
        <v>43.227985705163015</v>
      </c>
      <c r="E156" s="54">
        <f t="shared" si="5"/>
        <v>30.49786725549233</v>
      </c>
      <c r="F156" s="54"/>
      <c r="G156" s="54">
        <v>630</v>
      </c>
      <c r="H156" s="54">
        <f t="shared" si="6"/>
        <v>-67.68493697090862</v>
      </c>
      <c r="I156" s="54">
        <f t="shared" si="7"/>
        <v>-50.48503347560848</v>
      </c>
      <c r="J156" s="54">
        <f t="shared" si="8"/>
        <v>-118.16997044651711</v>
      </c>
      <c r="K156" s="64"/>
      <c r="L156" s="61"/>
    </row>
    <row r="157" spans="2:12" ht="14.25">
      <c r="B157" s="54">
        <v>1000</v>
      </c>
      <c r="C157" s="54">
        <f t="shared" si="3"/>
        <v>-15.930591099049668</v>
      </c>
      <c r="D157" s="54">
        <f t="shared" si="4"/>
        <v>40.64116502512218</v>
      </c>
      <c r="E157" s="54">
        <f t="shared" si="5"/>
        <v>24.71057392607251</v>
      </c>
      <c r="F157" s="54"/>
      <c r="G157" s="54">
        <v>1000</v>
      </c>
      <c r="H157" s="54">
        <f t="shared" si="6"/>
        <v>-57.41917567515896</v>
      </c>
      <c r="I157" s="54">
        <f t="shared" si="7"/>
        <v>-61.73487268107748</v>
      </c>
      <c r="J157" s="54">
        <f t="shared" si="8"/>
        <v>-119.15404835623644</v>
      </c>
      <c r="K157" s="64"/>
      <c r="L157" s="61"/>
    </row>
    <row r="158" spans="2:12" ht="14.25">
      <c r="B158" s="54">
        <v>1600</v>
      </c>
      <c r="C158" s="54">
        <f t="shared" si="3"/>
        <v>-18.425482046043825</v>
      </c>
      <c r="D158" s="54">
        <f t="shared" si="4"/>
        <v>37.2976175088919</v>
      </c>
      <c r="E158" s="54">
        <f t="shared" si="5"/>
        <v>18.872135462848078</v>
      </c>
      <c r="F158" s="54"/>
      <c r="G158" s="54">
        <v>1600</v>
      </c>
      <c r="H158" s="54">
        <f t="shared" si="6"/>
        <v>-44.58472259888257</v>
      </c>
      <c r="I158" s="54">
        <f t="shared" si="7"/>
        <v>-71.1817765275136</v>
      </c>
      <c r="J158" s="54">
        <f t="shared" si="8"/>
        <v>-115.76649912639618</v>
      </c>
      <c r="K158" s="64"/>
      <c r="L158" s="61"/>
    </row>
    <row r="159" spans="2:12" ht="14.25">
      <c r="B159" s="54">
        <v>2500</v>
      </c>
      <c r="C159" s="54">
        <f t="shared" si="3"/>
        <v>-19.936050904500043</v>
      </c>
      <c r="D159" s="54">
        <f t="shared" si="4"/>
        <v>33.73770057706377</v>
      </c>
      <c r="E159" s="54">
        <f t="shared" si="5"/>
        <v>13.801649672563727</v>
      </c>
      <c r="F159" s="54"/>
      <c r="G159" s="54">
        <v>2500</v>
      </c>
      <c r="H159" s="54">
        <f t="shared" si="6"/>
        <v>-32.318735391838736</v>
      </c>
      <c r="I159" s="54">
        <f t="shared" si="7"/>
        <v>-77.63234252351423</v>
      </c>
      <c r="J159" s="54">
        <f t="shared" si="8"/>
        <v>-109.95107791535295</v>
      </c>
      <c r="K159" s="64"/>
      <c r="L159" s="31"/>
    </row>
    <row r="160" spans="2:12" ht="14.25">
      <c r="B160" s="54">
        <v>4000</v>
      </c>
      <c r="C160" s="54">
        <f t="shared" si="3"/>
        <v>-20.776068429657823</v>
      </c>
      <c r="D160" s="54">
        <f t="shared" si="4"/>
        <v>29.796435382340334</v>
      </c>
      <c r="E160" s="54">
        <f t="shared" si="5"/>
        <v>9.020366952682512</v>
      </c>
      <c r="F160" s="54"/>
      <c r="G160" s="54">
        <v>4000</v>
      </c>
      <c r="H160" s="54">
        <f t="shared" si="6"/>
        <v>-21.597634299724223</v>
      </c>
      <c r="I160" s="54">
        <f t="shared" si="7"/>
        <v>-82.17895019338545</v>
      </c>
      <c r="J160" s="54">
        <f t="shared" si="8"/>
        <v>-103.77658449310967</v>
      </c>
      <c r="K160" s="64"/>
      <c r="L160" s="31"/>
    </row>
    <row r="161" spans="2:12" ht="14.25">
      <c r="B161" s="54">
        <v>6300</v>
      </c>
      <c r="C161" s="54">
        <f t="shared" si="3"/>
        <v>-21.145976338989282</v>
      </c>
      <c r="D161" s="54">
        <f t="shared" si="4"/>
        <v>25.90607272344229</v>
      </c>
      <c r="E161" s="54">
        <f t="shared" si="5"/>
        <v>4.760096384453007</v>
      </c>
      <c r="F161" s="54"/>
      <c r="G161" s="54">
        <v>6300</v>
      </c>
      <c r="H161" s="54">
        <f t="shared" si="6"/>
        <v>-14.115500239145682</v>
      </c>
      <c r="I161" s="54">
        <f t="shared" si="7"/>
        <v>-85.01146878559624</v>
      </c>
      <c r="J161" s="54">
        <f t="shared" si="8"/>
        <v>-99.12696902474192</v>
      </c>
      <c r="K161" s="64"/>
      <c r="L161" s="31"/>
    </row>
    <row r="162" spans="2:12" ht="14.25">
      <c r="B162" s="54">
        <v>10000</v>
      </c>
      <c r="C162" s="54">
        <f t="shared" si="3"/>
        <v>-21.306172208371375</v>
      </c>
      <c r="D162" s="54">
        <f t="shared" si="4"/>
        <v>21.915592880266693</v>
      </c>
      <c r="E162" s="54">
        <f t="shared" si="5"/>
        <v>0.6094206718953181</v>
      </c>
      <c r="F162" s="54"/>
      <c r="G162" s="54">
        <v>10000</v>
      </c>
      <c r="H162" s="54">
        <f t="shared" si="6"/>
        <v>-9.004024293234167</v>
      </c>
      <c r="I162" s="54">
        <f t="shared" si="7"/>
        <v>-86.85131454359772</v>
      </c>
      <c r="J162" s="54">
        <f t="shared" si="8"/>
        <v>-95.85533883683189</v>
      </c>
      <c r="K162" s="64"/>
      <c r="L162" s="31"/>
    </row>
    <row r="163" spans="2:12" ht="14.25">
      <c r="B163" s="54">
        <v>16000</v>
      </c>
      <c r="C163" s="54">
        <f t="shared" si="3"/>
        <v>-21.372113228674465</v>
      </c>
      <c r="D163" s="54">
        <f t="shared" si="4"/>
        <v>17.842334047796516</v>
      </c>
      <c r="E163" s="54">
        <f t="shared" si="5"/>
        <v>-3.5297791808779486</v>
      </c>
      <c r="F163" s="54"/>
      <c r="G163" s="54">
        <v>16000</v>
      </c>
      <c r="H163" s="54">
        <f t="shared" si="6"/>
        <v>-5.656289524786449</v>
      </c>
      <c r="I163" s="54">
        <f t="shared" si="7"/>
        <v>-88.03058351986513</v>
      </c>
      <c r="J163" s="54">
        <f t="shared" si="8"/>
        <v>-93.68687304465158</v>
      </c>
      <c r="K163" s="64"/>
      <c r="L163" s="31"/>
    </row>
    <row r="164" spans="2:12" ht="14.25">
      <c r="B164" s="54">
        <v>25000</v>
      </c>
      <c r="C164" s="54">
        <f t="shared" si="3"/>
        <v>-21.397332890921426</v>
      </c>
      <c r="D164" s="54">
        <f t="shared" si="4"/>
        <v>13.969398047333392</v>
      </c>
      <c r="E164" s="54">
        <f t="shared" si="5"/>
        <v>-7.427934843588034</v>
      </c>
      <c r="F164" s="54"/>
      <c r="G164" s="54">
        <v>25000</v>
      </c>
      <c r="H164" s="54">
        <f t="shared" si="6"/>
        <v>-3.6270833403465645</v>
      </c>
      <c r="I164" s="54">
        <f t="shared" si="7"/>
        <v>-88.73921238785788</v>
      </c>
      <c r="J164" s="54">
        <f t="shared" si="8"/>
        <v>-92.36629572820443</v>
      </c>
      <c r="K164" s="64"/>
      <c r="L164" s="31"/>
    </row>
    <row r="165" spans="2:12" ht="14.25">
      <c r="B165" s="54">
        <v>40000</v>
      </c>
      <c r="C165" s="54">
        <f t="shared" si="3"/>
        <v>-21.40803906722563</v>
      </c>
      <c r="D165" s="54">
        <f t="shared" si="4"/>
        <v>9.888463908502358</v>
      </c>
      <c r="E165" s="54">
        <f t="shared" si="5"/>
        <v>-11.519575158723272</v>
      </c>
      <c r="F165" s="54"/>
      <c r="G165" s="54">
        <v>40000</v>
      </c>
      <c r="H165" s="54">
        <f t="shared" si="6"/>
        <v>-2.268801302537389</v>
      </c>
      <c r="I165" s="54">
        <f t="shared" si="7"/>
        <v>-89.21191227377084</v>
      </c>
      <c r="J165" s="54">
        <f t="shared" si="8"/>
        <v>-91.48071357630822</v>
      </c>
      <c r="K165" s="64"/>
      <c r="L165" s="31"/>
    </row>
    <row r="166" spans="2:12" ht="14.25">
      <c r="B166" s="54">
        <v>63000</v>
      </c>
      <c r="C166" s="54">
        <f t="shared" si="3"/>
        <v>-21.412142377557576</v>
      </c>
      <c r="D166" s="54">
        <f t="shared" si="4"/>
        <v>5.943413602374857</v>
      </c>
      <c r="E166" s="54">
        <f t="shared" si="5"/>
        <v>-15.468728775182718</v>
      </c>
      <c r="F166" s="54"/>
      <c r="G166" s="54">
        <v>63000</v>
      </c>
      <c r="H166" s="54">
        <f t="shared" si="6"/>
        <v>-1.4409649967976055</v>
      </c>
      <c r="I166" s="54">
        <f t="shared" si="7"/>
        <v>-89.4996036418923</v>
      </c>
      <c r="J166" s="54">
        <f t="shared" si="8"/>
        <v>-90.94056863868991</v>
      </c>
      <c r="K166" s="64"/>
      <c r="L166" s="31"/>
    </row>
    <row r="167" spans="2:12" ht="14.25">
      <c r="B167" s="54">
        <v>100000</v>
      </c>
      <c r="C167" s="54">
        <f t="shared" si="3"/>
        <v>-21.413814882594906</v>
      </c>
      <c r="D167" s="54">
        <f t="shared" si="4"/>
        <v>1.930453064900236</v>
      </c>
      <c r="E167" s="54">
        <f t="shared" si="5"/>
        <v>-19.48336181769467</v>
      </c>
      <c r="F167" s="54"/>
      <c r="G167" s="54">
        <v>100000</v>
      </c>
      <c r="H167" s="54">
        <f t="shared" si="6"/>
        <v>-0.9079251185008422</v>
      </c>
      <c r="I167" s="54">
        <f t="shared" si="7"/>
        <v>-89.6847443405939</v>
      </c>
      <c r="J167" s="54">
        <f t="shared" si="8"/>
        <v>-90.59266945909474</v>
      </c>
      <c r="K167" s="64"/>
      <c r="L167" s="31"/>
    </row>
    <row r="168" spans="2:12" ht="14.25">
      <c r="B168" s="54"/>
      <c r="C168" s="54"/>
      <c r="D168" s="54"/>
      <c r="E168" s="54"/>
      <c r="F168" s="54"/>
      <c r="G168" s="54"/>
      <c r="H168" s="54"/>
      <c r="I168" s="54"/>
      <c r="J168" s="54"/>
      <c r="K168" s="64"/>
      <c r="L168" s="31"/>
    </row>
    <row r="169" spans="2:12" ht="14.25"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</row>
    <row r="170" spans="11:12" ht="14.25">
      <c r="K170" s="31"/>
      <c r="L170" s="31"/>
    </row>
    <row r="171" spans="11:12" ht="14.25">
      <c r="K171" s="31"/>
      <c r="L171" s="31"/>
    </row>
    <row r="172" spans="7:11" ht="14.25">
      <c r="G172" s="31"/>
      <c r="H172" s="31"/>
      <c r="I172" s="31"/>
      <c r="J172" s="31"/>
      <c r="K172" s="31"/>
    </row>
    <row r="173" spans="1:10" ht="14.25">
      <c r="A173" s="20"/>
      <c r="F173" s="20"/>
      <c r="G173" s="20"/>
      <c r="H173" s="20"/>
      <c r="I173" s="20"/>
      <c r="J173" s="20"/>
    </row>
    <row r="174" spans="1:10" ht="15">
      <c r="A174" s="43"/>
      <c r="F174" s="43"/>
      <c r="G174" s="43"/>
      <c r="H174" s="43"/>
      <c r="I174" s="43"/>
      <c r="J174" s="54"/>
    </row>
    <row r="196" spans="1:9" ht="14.25">
      <c r="A196" s="20"/>
      <c r="B196" s="20"/>
      <c r="C196" s="20"/>
      <c r="D196" s="20"/>
      <c r="E196" s="20"/>
      <c r="F196" s="20"/>
      <c r="G196" s="20"/>
      <c r="H196" s="20"/>
      <c r="I196" s="20"/>
    </row>
    <row r="197" spans="1:9" ht="14.25">
      <c r="A197" s="20"/>
      <c r="B197" s="20"/>
      <c r="C197" s="20"/>
      <c r="D197" s="20"/>
      <c r="E197" s="20"/>
      <c r="F197" s="20"/>
      <c r="G197" s="20"/>
      <c r="H197" s="20"/>
      <c r="I197" s="20"/>
    </row>
    <row r="198" spans="1:9" ht="14.25">
      <c r="A198" s="20"/>
      <c r="B198" s="20"/>
      <c r="C198" s="20"/>
      <c r="D198" s="20"/>
      <c r="E198" s="20"/>
      <c r="F198" s="20"/>
      <c r="G198" s="20"/>
      <c r="H198" s="20"/>
      <c r="I198" s="20"/>
    </row>
    <row r="199" spans="1:9" ht="14.25">
      <c r="A199" s="20"/>
      <c r="B199" s="20"/>
      <c r="C199" s="20"/>
      <c r="D199" s="20"/>
      <c r="E199" s="20"/>
      <c r="F199" s="20"/>
      <c r="G199" s="20"/>
      <c r="H199" s="20"/>
      <c r="I199" s="20"/>
    </row>
    <row r="200" spans="1:9" ht="14.25">
      <c r="A200" s="20"/>
      <c r="B200" s="20"/>
      <c r="C200" s="20"/>
      <c r="D200" s="20"/>
      <c r="E200" s="20"/>
      <c r="F200" s="20"/>
      <c r="G200" s="20"/>
      <c r="H200" s="20"/>
      <c r="I200" s="20"/>
    </row>
    <row r="201" spans="1:9" ht="15">
      <c r="A201" s="43"/>
      <c r="B201" s="43"/>
      <c r="C201" s="43"/>
      <c r="D201" s="43"/>
      <c r="E201" s="43"/>
      <c r="F201" s="43"/>
      <c r="G201" s="43"/>
      <c r="H201" s="43"/>
      <c r="I201" s="43"/>
    </row>
    <row r="202" spans="1:9" ht="14.25">
      <c r="A202" s="20"/>
      <c r="B202" s="34"/>
      <c r="C202" s="34"/>
      <c r="D202" s="40"/>
      <c r="E202" s="20"/>
      <c r="F202" s="20"/>
      <c r="G202" s="20"/>
      <c r="H202" s="20"/>
      <c r="I202" s="20"/>
    </row>
    <row r="203" spans="1:9" ht="14.25">
      <c r="A203" s="20"/>
      <c r="B203" s="34"/>
      <c r="C203" s="34"/>
      <c r="D203" s="40"/>
      <c r="E203" s="20"/>
      <c r="F203" s="20"/>
      <c r="G203" s="20"/>
      <c r="H203" s="20"/>
      <c r="I203" s="20"/>
    </row>
    <row r="204" spans="1:9" ht="14.25">
      <c r="A204" s="20"/>
      <c r="B204" s="34"/>
      <c r="C204" s="34"/>
      <c r="D204" s="40"/>
      <c r="E204" s="20"/>
      <c r="F204" s="20"/>
      <c r="G204" s="20"/>
      <c r="H204" s="20"/>
      <c r="I204" s="20"/>
    </row>
    <row r="205" spans="1:9" ht="14.25">
      <c r="A205" s="20"/>
      <c r="B205" s="34"/>
      <c r="C205" s="34"/>
      <c r="D205" s="40"/>
      <c r="E205" s="20"/>
      <c r="F205" s="20"/>
      <c r="G205" s="20"/>
      <c r="H205" s="20"/>
      <c r="I205" s="20"/>
    </row>
    <row r="206" spans="1:9" ht="14.25">
      <c r="A206" s="20"/>
      <c r="B206" s="34"/>
      <c r="C206" s="34"/>
      <c r="D206" s="40"/>
      <c r="E206" s="20"/>
      <c r="F206" s="20"/>
      <c r="G206" s="20"/>
      <c r="H206" s="20"/>
      <c r="I206" s="20"/>
    </row>
    <row r="207" spans="1:9" ht="14.25">
      <c r="A207" s="20"/>
      <c r="B207" s="34"/>
      <c r="C207" s="34"/>
      <c r="D207" s="40"/>
      <c r="E207" s="20"/>
      <c r="F207" s="20"/>
      <c r="G207" s="20"/>
      <c r="H207" s="20"/>
      <c r="I207" s="20"/>
    </row>
    <row r="208" spans="1:9" ht="14.25">
      <c r="A208" s="20"/>
      <c r="B208" s="34"/>
      <c r="C208" s="34"/>
      <c r="D208" s="40"/>
      <c r="E208" s="20"/>
      <c r="F208" s="20"/>
      <c r="G208" s="20"/>
      <c r="H208" s="20"/>
      <c r="I208" s="20"/>
    </row>
    <row r="209" spans="1:9" ht="14.25">
      <c r="A209" s="20"/>
      <c r="B209" s="20"/>
      <c r="C209" s="20"/>
      <c r="D209" s="20"/>
      <c r="E209" s="20"/>
      <c r="F209" s="20"/>
      <c r="G209" s="20"/>
      <c r="H209" s="20"/>
      <c r="I209" s="20"/>
    </row>
    <row r="210" spans="1:9" ht="15">
      <c r="A210" s="20"/>
      <c r="B210" s="44"/>
      <c r="C210" s="93"/>
      <c r="D210" s="39"/>
      <c r="E210" s="20"/>
      <c r="F210" s="20"/>
      <c r="G210" s="20"/>
      <c r="H210" s="20"/>
      <c r="I210" s="20"/>
    </row>
    <row r="211" spans="1:9" ht="15">
      <c r="A211" s="20"/>
      <c r="B211" s="44"/>
      <c r="C211" s="44"/>
      <c r="D211" s="39"/>
      <c r="E211" s="20"/>
      <c r="F211" s="20"/>
      <c r="G211" s="20"/>
      <c r="H211" s="20"/>
      <c r="I211" s="20"/>
    </row>
    <row r="212" spans="1:9" ht="15">
      <c r="A212" s="20"/>
      <c r="B212" s="44"/>
      <c r="C212" s="44"/>
      <c r="D212" s="39"/>
      <c r="E212" s="20"/>
      <c r="F212" s="20"/>
      <c r="G212" s="20"/>
      <c r="H212" s="20"/>
      <c r="I212" s="20"/>
    </row>
    <row r="213" spans="1:9" ht="14.25">
      <c r="A213" s="20"/>
      <c r="B213" s="20"/>
      <c r="C213" s="20"/>
      <c r="D213" s="20"/>
      <c r="E213" s="20"/>
      <c r="F213" s="20"/>
      <c r="G213" s="20"/>
      <c r="H213" s="20"/>
      <c r="I213" s="20"/>
    </row>
    <row r="214" spans="1:10" ht="14.25">
      <c r="A214" s="20"/>
      <c r="B214" s="40"/>
      <c r="C214" s="40"/>
      <c r="D214" s="40"/>
      <c r="E214" s="40"/>
      <c r="F214" s="40"/>
      <c r="G214" s="40"/>
      <c r="H214" s="40"/>
      <c r="I214" s="40"/>
      <c r="J214" s="9"/>
    </row>
    <row r="215" spans="1:10" ht="14.25">
      <c r="A215" s="54"/>
      <c r="B215" s="54"/>
      <c r="C215" s="54"/>
      <c r="D215" s="54"/>
      <c r="E215" s="54"/>
      <c r="F215" s="54"/>
      <c r="G215" s="54"/>
      <c r="H215" s="54"/>
      <c r="I215" s="54"/>
      <c r="J215" s="9"/>
    </row>
    <row r="216" spans="1:10" ht="14.25">
      <c r="A216" s="54"/>
      <c r="B216" s="54"/>
      <c r="C216" s="54"/>
      <c r="D216" s="54"/>
      <c r="E216" s="54"/>
      <c r="F216" s="54"/>
      <c r="G216" s="54"/>
      <c r="H216" s="54"/>
      <c r="I216" s="54"/>
      <c r="J216" s="9"/>
    </row>
    <row r="217" spans="1:10" ht="14.25">
      <c r="A217" s="52"/>
      <c r="B217" s="52"/>
      <c r="C217" s="52"/>
      <c r="D217" s="54"/>
      <c r="E217" s="52"/>
      <c r="F217" s="52"/>
      <c r="G217" s="52"/>
      <c r="H217" s="52"/>
      <c r="I217" s="54"/>
      <c r="J217" s="9"/>
    </row>
    <row r="218" spans="1:10" ht="14.25">
      <c r="A218" s="52"/>
      <c r="B218" s="52"/>
      <c r="C218" s="52"/>
      <c r="D218" s="54"/>
      <c r="E218" s="52"/>
      <c r="F218" s="52"/>
      <c r="G218" s="52"/>
      <c r="H218" s="52"/>
      <c r="I218" s="54"/>
      <c r="J218" s="9"/>
    </row>
    <row r="219" spans="1:10" ht="14.25">
      <c r="A219" s="52"/>
      <c r="B219" s="52"/>
      <c r="C219" s="52"/>
      <c r="D219" s="54"/>
      <c r="E219" s="52"/>
      <c r="F219" s="52"/>
      <c r="G219" s="52"/>
      <c r="H219" s="52"/>
      <c r="I219" s="54"/>
      <c r="J219" s="9"/>
    </row>
    <row r="220" spans="1:10" ht="14.25">
      <c r="A220" s="52"/>
      <c r="B220" s="52"/>
      <c r="C220" s="52"/>
      <c r="D220" s="54"/>
      <c r="E220" s="52"/>
      <c r="F220" s="52"/>
      <c r="G220" s="52"/>
      <c r="H220" s="52"/>
      <c r="I220" s="54"/>
      <c r="J220" s="9"/>
    </row>
    <row r="221" spans="1:10" ht="14.25">
      <c r="A221" s="52"/>
      <c r="B221" s="52"/>
      <c r="C221" s="52"/>
      <c r="D221" s="54"/>
      <c r="E221" s="52"/>
      <c r="F221" s="52"/>
      <c r="G221" s="52"/>
      <c r="H221" s="52"/>
      <c r="I221" s="54"/>
      <c r="J221" s="9"/>
    </row>
    <row r="222" spans="1:10" ht="14.25">
      <c r="A222" s="52"/>
      <c r="B222" s="52"/>
      <c r="C222" s="52"/>
      <c r="D222" s="54"/>
      <c r="E222" s="52"/>
      <c r="F222" s="52"/>
      <c r="G222" s="52"/>
      <c r="H222" s="52"/>
      <c r="I222" s="54"/>
      <c r="J222" s="9"/>
    </row>
    <row r="223" spans="1:10" ht="14.25">
      <c r="A223" s="52"/>
      <c r="B223" s="52"/>
      <c r="C223" s="52"/>
      <c r="D223" s="54"/>
      <c r="E223" s="52"/>
      <c r="F223" s="52"/>
      <c r="G223" s="52"/>
      <c r="H223" s="52"/>
      <c r="I223" s="54"/>
      <c r="J223" s="9"/>
    </row>
    <row r="224" spans="1:10" ht="14.25">
      <c r="A224" s="52"/>
      <c r="B224" s="52"/>
      <c r="C224" s="52"/>
      <c r="D224" s="54"/>
      <c r="E224" s="52"/>
      <c r="F224" s="52"/>
      <c r="G224" s="52"/>
      <c r="H224" s="52"/>
      <c r="I224" s="54"/>
      <c r="J224" s="9"/>
    </row>
    <row r="225" spans="1:10" ht="14.25">
      <c r="A225" s="52"/>
      <c r="B225" s="52"/>
      <c r="C225" s="52"/>
      <c r="D225" s="54"/>
      <c r="E225" s="52"/>
      <c r="F225" s="52"/>
      <c r="G225" s="52"/>
      <c r="H225" s="52"/>
      <c r="I225" s="54"/>
      <c r="J225" s="9"/>
    </row>
    <row r="226" spans="1:10" ht="14.25">
      <c r="A226" s="52"/>
      <c r="B226" s="52"/>
      <c r="C226" s="52"/>
      <c r="D226" s="54"/>
      <c r="E226" s="52"/>
      <c r="F226" s="52"/>
      <c r="G226" s="52"/>
      <c r="H226" s="52"/>
      <c r="I226" s="54"/>
      <c r="J226" s="9"/>
    </row>
    <row r="227" spans="1:10" ht="14.25">
      <c r="A227" s="52"/>
      <c r="B227" s="52"/>
      <c r="C227" s="52"/>
      <c r="D227" s="54"/>
      <c r="E227" s="52"/>
      <c r="F227" s="52"/>
      <c r="G227" s="52"/>
      <c r="H227" s="52"/>
      <c r="I227" s="54"/>
      <c r="J227" s="9"/>
    </row>
    <row r="228" spans="1:10" ht="14.25">
      <c r="A228" s="52"/>
      <c r="B228" s="52"/>
      <c r="C228" s="52"/>
      <c r="D228" s="54"/>
      <c r="E228" s="52"/>
      <c r="F228" s="52"/>
      <c r="G228" s="52"/>
      <c r="H228" s="52"/>
      <c r="I228" s="54"/>
      <c r="J228" s="9"/>
    </row>
    <row r="229" spans="1:10" ht="14.25">
      <c r="A229" s="52"/>
      <c r="B229" s="52"/>
      <c r="C229" s="52"/>
      <c r="D229" s="54"/>
      <c r="E229" s="52"/>
      <c r="F229" s="52"/>
      <c r="G229" s="52"/>
      <c r="H229" s="52"/>
      <c r="I229" s="54"/>
      <c r="J229" s="9"/>
    </row>
    <row r="230" spans="1:10" ht="14.25">
      <c r="A230" s="52"/>
      <c r="B230" s="52"/>
      <c r="C230" s="52"/>
      <c r="D230" s="54"/>
      <c r="E230" s="52"/>
      <c r="F230" s="52"/>
      <c r="G230" s="52"/>
      <c r="H230" s="52"/>
      <c r="I230" s="54"/>
      <c r="J230" s="9"/>
    </row>
    <row r="231" spans="1:10" ht="14.25">
      <c r="A231" s="52"/>
      <c r="B231" s="52"/>
      <c r="C231" s="52"/>
      <c r="D231" s="54"/>
      <c r="E231" s="52"/>
      <c r="F231" s="52"/>
      <c r="G231" s="52"/>
      <c r="H231" s="52"/>
      <c r="I231" s="54"/>
      <c r="J231" s="9"/>
    </row>
    <row r="232" spans="1:10" ht="14.25">
      <c r="A232" s="52"/>
      <c r="B232" s="52"/>
      <c r="C232" s="52"/>
      <c r="D232" s="54"/>
      <c r="E232" s="52"/>
      <c r="F232" s="52"/>
      <c r="G232" s="52"/>
      <c r="H232" s="52"/>
      <c r="I232" s="54"/>
      <c r="J232" s="9"/>
    </row>
    <row r="233" spans="1:10" ht="14.25">
      <c r="A233" s="52"/>
      <c r="B233" s="52"/>
      <c r="C233" s="52"/>
      <c r="D233" s="54"/>
      <c r="E233" s="52"/>
      <c r="F233" s="52"/>
      <c r="G233" s="52"/>
      <c r="H233" s="52"/>
      <c r="I233" s="54"/>
      <c r="J233" s="9"/>
    </row>
    <row r="234" spans="1:10" ht="14.25">
      <c r="A234" s="52"/>
      <c r="B234" s="52"/>
      <c r="C234" s="52"/>
      <c r="D234" s="54"/>
      <c r="E234" s="52"/>
      <c r="F234" s="52"/>
      <c r="G234" s="52"/>
      <c r="H234" s="52"/>
      <c r="I234" s="54"/>
      <c r="J234" s="9"/>
    </row>
    <row r="235" spans="1:10" ht="14.25">
      <c r="A235" s="52"/>
      <c r="B235" s="52"/>
      <c r="C235" s="52"/>
      <c r="D235" s="54"/>
      <c r="E235" s="52"/>
      <c r="F235" s="52"/>
      <c r="G235" s="52"/>
      <c r="H235" s="52"/>
      <c r="I235" s="54"/>
      <c r="J235" s="9"/>
    </row>
    <row r="236" spans="1:10" ht="14.25">
      <c r="A236" s="52"/>
      <c r="B236" s="52"/>
      <c r="C236" s="52"/>
      <c r="D236" s="54"/>
      <c r="E236" s="52"/>
      <c r="F236" s="52"/>
      <c r="G236" s="52"/>
      <c r="H236" s="52"/>
      <c r="I236" s="54"/>
      <c r="J236" s="9"/>
    </row>
    <row r="237" spans="1:10" ht="14.25">
      <c r="A237" s="9"/>
      <c r="B237" s="9"/>
      <c r="C237" s="9"/>
      <c r="D237" s="9"/>
      <c r="E237" s="9"/>
      <c r="F237" s="9"/>
      <c r="G237" s="9"/>
      <c r="H237" s="9"/>
      <c r="I237" s="9"/>
      <c r="J237" s="9"/>
    </row>
    <row r="238" spans="2:10" ht="14.25">
      <c r="B238" s="9"/>
      <c r="C238" s="9"/>
      <c r="D238" s="9"/>
      <c r="E238" s="9"/>
      <c r="F238" s="9"/>
      <c r="G238" s="9"/>
      <c r="H238" s="9"/>
      <c r="I238" s="9"/>
      <c r="J238" s="9"/>
    </row>
    <row r="239" spans="3:9" ht="14.25">
      <c r="C239" s="9"/>
      <c r="D239" s="9"/>
      <c r="E239" s="9"/>
      <c r="F239" s="9"/>
      <c r="G239" s="9"/>
      <c r="H239" s="9"/>
      <c r="I239" s="9"/>
    </row>
    <row r="240" spans="3:9" ht="14.25">
      <c r="C240" s="9"/>
      <c r="D240" s="9"/>
      <c r="E240" s="9"/>
      <c r="F240" s="9"/>
      <c r="G240" s="9"/>
      <c r="H240" s="9"/>
      <c r="I240" s="9"/>
    </row>
    <row r="241" spans="3:9" ht="14.25">
      <c r="C241" s="9"/>
      <c r="D241" s="9"/>
      <c r="E241" s="9"/>
      <c r="F241" s="9"/>
      <c r="G241" s="9"/>
      <c r="H241" s="40"/>
      <c r="I241" s="9"/>
    </row>
    <row r="242" spans="3:9" ht="15">
      <c r="C242" s="9"/>
      <c r="D242" s="94"/>
      <c r="E242" s="94"/>
      <c r="F242" s="94"/>
      <c r="G242" s="94"/>
      <c r="H242" s="40"/>
      <c r="I242" s="9"/>
    </row>
    <row r="243" spans="3:9" ht="14.25">
      <c r="C243" s="9"/>
      <c r="D243" s="9"/>
      <c r="E243" s="9"/>
      <c r="F243" s="9"/>
      <c r="G243" s="9"/>
      <c r="H243" s="9"/>
      <c r="I243" s="9"/>
    </row>
    <row r="244" spans="3:9" ht="14.25">
      <c r="C244" s="9"/>
      <c r="D244" s="9"/>
      <c r="E244" s="9"/>
      <c r="F244" s="9"/>
      <c r="G244" s="9"/>
      <c r="H244" s="9"/>
      <c r="I244" s="9"/>
    </row>
    <row r="245" spans="3:9" ht="14.25">
      <c r="C245" s="9"/>
      <c r="D245" s="9"/>
      <c r="E245" s="9"/>
      <c r="F245" s="9"/>
      <c r="G245" s="9"/>
      <c r="H245" s="9"/>
      <c r="I245" s="9"/>
    </row>
  </sheetData>
  <sheetProtection password="C10A" sheet="1" selectLockedCells="1"/>
  <mergeCells count="14">
    <mergeCell ref="G145:H145"/>
    <mergeCell ref="C1:K2"/>
    <mergeCell ref="G131:H131"/>
    <mergeCell ref="G132:H132"/>
    <mergeCell ref="G133:H133"/>
    <mergeCell ref="G143:H143"/>
    <mergeCell ref="G144:H144"/>
    <mergeCell ref="F56:G56"/>
    <mergeCell ref="C107:D108"/>
    <mergeCell ref="E107:F108"/>
    <mergeCell ref="F21:M21"/>
    <mergeCell ref="G107:H108"/>
    <mergeCell ref="I107:J108"/>
    <mergeCell ref="I66:J66"/>
  </mergeCells>
  <conditionalFormatting sqref="A132">
    <cfRule type="cellIs" priority="1" dxfId="1" operator="between" stopIfTrue="1">
      <formula>0</formula>
      <formula>2</formula>
    </cfRule>
  </conditionalFormatting>
  <printOptions/>
  <pageMargins left="0.7480314960629921" right="0.7480314960629921" top="0.7874015748031497" bottom="0.86" header="0" footer="0"/>
  <pageSetup horizontalDpi="300" verticalDpi="300" orientation="portrait" paperSize="9" scale="96" r:id="rId7"/>
  <rowBreaks count="3" manualBreakCount="3">
    <brk id="58" max="9" man="1"/>
    <brk id="104" max="255" man="1"/>
    <brk id="145" max="255" man="1"/>
  </rowBreaks>
  <colBreaks count="1" manualBreakCount="1">
    <brk id="10" max="65535" man="1"/>
  </colBreaks>
  <drawing r:id="rId6"/>
  <legacyDrawing r:id="rId5"/>
  <oleObjects>
    <oleObject progId="hunmin.doc" shapeId="913792" r:id="rId2"/>
    <oleObject progId="Visio.Drawing.6" shapeId="913793" r:id="rId3"/>
    <oleObject progId="Visio.Drawing.6" shapeId="913794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2004-10-29T07:28:24Z</cp:lastPrinted>
  <dcterms:created xsi:type="dcterms:W3CDTF">1997-01-10T04:21:27Z</dcterms:created>
  <dcterms:modified xsi:type="dcterms:W3CDTF">2013-12-16T05:38:45Z</dcterms:modified>
  <cp:category/>
  <cp:version/>
  <cp:contentType/>
  <cp:contentStatus/>
</cp:coreProperties>
</file>