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290" windowHeight="11760"/>
  </bookViews>
  <sheets>
    <sheet name="Sheet1" sheetId="1" r:id="rId1"/>
    <sheet name="Sheet2" sheetId="2" r:id="rId2"/>
    <sheet name="Sheet3" sheetId="3" r:id="rId3"/>
  </sheets>
  <definedNames>
    <definedName name="Ae">Sheet1!$J$24</definedName>
    <definedName name="Bmax">Sheet1!$J$25</definedName>
    <definedName name="Duty.max">Sheet1!$J$21</definedName>
    <definedName name="Eff">Sheet1!$J$23</definedName>
    <definedName name="Iout">Sheet1!$D$24</definedName>
    <definedName name="Iw.max">Sheet1!#REF!</definedName>
    <definedName name="Llk">Sheet1!$J$34</definedName>
    <definedName name="Lm">Sheet1!$J$26</definedName>
    <definedName name="Na">Sheet1!$J$33</definedName>
    <definedName name="Nap">Sheet1!$J$29</definedName>
    <definedName name="Nas">Sheet1!$J$28</definedName>
    <definedName name="Np">Sheet1!$J$31</definedName>
    <definedName name="Np.min">Sheet1!$J$30</definedName>
    <definedName name="Nps">Sheet1!$J$27</definedName>
    <definedName name="Ns">Sheet1!$J$32</definedName>
    <definedName name="Pout">Sheet1!$D$25</definedName>
    <definedName name="Ton.max">Sheet1!$J$22</definedName>
    <definedName name="Vin.max">Sheet1!$D$21</definedName>
    <definedName name="Vin.min">Sheet1!$D$20</definedName>
    <definedName name="Vout">Sheet1!$D$22</definedName>
    <definedName name="Vout.max">Sheet1!$D$23</definedName>
    <definedName name="Vsn">Sheet1!$J$36</definedName>
    <definedName name="Vsn.r">Sheet1!$J$37</definedName>
  </definedNames>
  <calcPr calcId="125725"/>
</workbook>
</file>

<file path=xl/calcChain.xml><?xml version="1.0" encoding="utf-8"?>
<calcChain xmlns="http://schemas.openxmlformats.org/spreadsheetml/2006/main">
  <c r="O21" i="1"/>
  <c r="O30" l="1"/>
  <c r="L16" l="1"/>
  <c r="L17"/>
  <c r="O32" s="1"/>
  <c r="L21"/>
  <c r="L34"/>
  <c r="L23"/>
  <c r="L24"/>
  <c r="J28"/>
  <c r="J12" s="1"/>
  <c r="L9"/>
  <c r="L7"/>
  <c r="N7" s="1"/>
  <c r="F24"/>
  <c r="D25" s="1"/>
  <c r="J22" l="1"/>
  <c r="L22" s="1"/>
  <c r="L26" l="1"/>
  <c r="J30"/>
  <c r="J26"/>
  <c r="J15" l="1"/>
  <c r="J27"/>
  <c r="O33"/>
  <c r="O34" s="1"/>
  <c r="O37" s="1"/>
  <c r="L38" l="1"/>
  <c r="L40"/>
  <c r="J38"/>
  <c r="J40"/>
  <c r="O35"/>
  <c r="O36"/>
  <c r="J32"/>
  <c r="J29"/>
  <c r="O29" l="1"/>
  <c r="O25"/>
  <c r="O24" s="1"/>
  <c r="Q25" s="1"/>
  <c r="J33"/>
  <c r="Q21"/>
  <c r="Q26"/>
  <c r="L39"/>
  <c r="J39"/>
</calcChain>
</file>

<file path=xl/comments1.xml><?xml version="1.0" encoding="utf-8"?>
<comments xmlns="http://schemas.openxmlformats.org/spreadsheetml/2006/main">
  <authors>
    <author>info</author>
  </authors>
  <commentList>
    <comment ref="I21" authorId="0">
      <text>
        <r>
          <rPr>
            <b/>
            <sz val="11"/>
            <color indexed="81"/>
            <rFont val="Tahoma"/>
            <family val="2"/>
          </rPr>
          <t>Input Max. Duty in 20~50%.
High Max. Duty : Low conduction loss, Suitable for low-line
Low Max. Duty : More transformer flux saturation margin, Suitable for high-line</t>
        </r>
      </text>
    </comment>
    <comment ref="N22" authorId="0">
      <text>
        <r>
          <rPr>
            <b/>
            <sz val="11"/>
            <color indexed="81"/>
            <rFont val="Tahoma"/>
            <family val="2"/>
          </rPr>
          <t>Vin.bnk is VS blanking level.
VS blanking : VS voltage detection is disabled.
Vin.bnk is generally set as 30~70V.</t>
        </r>
      </text>
    </comment>
    <comment ref="C23" authorId="0">
      <text>
        <r>
          <rPr>
            <b/>
            <sz val="11"/>
            <color indexed="81"/>
            <rFont val="Tahoma"/>
            <family val="2"/>
          </rPr>
          <t>OVP level</t>
        </r>
      </text>
    </comment>
    <comment ref="N23" authorId="0">
      <text>
        <r>
          <rPr>
            <b/>
            <sz val="11"/>
            <color indexed="81"/>
            <rFont val="Tahoma"/>
            <family val="2"/>
          </rPr>
          <t>Vf is secondary diode forward voltage.</t>
        </r>
      </text>
    </comment>
    <comment ref="N26" authorId="0">
      <text>
        <r>
          <rPr>
            <b/>
            <sz val="11"/>
            <color indexed="81"/>
            <rFont val="Tahoma"/>
            <family val="2"/>
          </rPr>
          <t>Cvs is VS filter capacitor, generally set as 10 ~ 30pF.</t>
        </r>
      </text>
    </comment>
    <comment ref="N27" authorId="0">
      <text>
        <r>
          <rPr>
            <b/>
            <sz val="11"/>
            <color indexed="81"/>
            <rFont val="Tahoma"/>
            <family val="2"/>
          </rPr>
          <t>COMI capacitor is generally 0.68~3.3uF.
Check output voltage overshoot at startup in max. Vin condition.
If output voltage overshoot is too big, increase Ccomi.</t>
        </r>
      </text>
    </comment>
    <comment ref="N28" authorId="0">
      <text>
        <r>
          <rPr>
            <b/>
            <sz val="11"/>
            <color indexed="81"/>
            <rFont val="Tahoma"/>
            <family val="2"/>
          </rPr>
          <t>Vdd capacitor is generally in 10~47uF.
If Vdd drops too close to Vdd_stop at startup, increase Cvdd.</t>
        </r>
      </text>
    </comment>
    <comment ref="N29" authorId="0">
      <text>
        <r>
          <rPr>
            <b/>
            <sz val="11"/>
            <color indexed="81"/>
            <rFont val="Tahoma"/>
            <family val="2"/>
          </rPr>
          <t>Maximum Dvdd reverse voltage.</t>
        </r>
      </text>
    </comment>
    <comment ref="I31" authorId="0">
      <text>
        <r>
          <rPr>
            <b/>
            <sz val="11"/>
            <color indexed="81"/>
            <rFont val="Tahoma"/>
            <family val="2"/>
          </rPr>
          <t>Enter Np over Np.min.
If Np is too big to fit in transformer window, reduce Max. Duty.</t>
        </r>
      </text>
    </comment>
    <comment ref="I34" authorId="0">
      <text>
        <r>
          <rPr>
            <b/>
            <sz val="11"/>
            <color indexed="81"/>
            <rFont val="Tahoma"/>
            <family val="2"/>
          </rPr>
          <t>Enter leakage inductance after measuring transformer designed by the above spec.</t>
        </r>
      </text>
    </comment>
    <comment ref="I36" authorId="0">
      <text>
        <r>
          <rPr>
            <b/>
            <sz val="11"/>
            <color indexed="81"/>
            <rFont val="Tahoma"/>
            <family val="2"/>
          </rPr>
          <t>Vsn is generally set as 2~2.5 times Nps</t>
        </r>
        <r>
          <rPr>
            <b/>
            <sz val="11"/>
            <color indexed="81"/>
            <rFont val="Times New Roman"/>
            <family val="1"/>
          </rPr>
          <t>·</t>
        </r>
        <r>
          <rPr>
            <b/>
            <sz val="9.35"/>
            <color indexed="81"/>
            <rFont val="Tahoma"/>
            <family val="2"/>
          </rPr>
          <t>Vo.</t>
        </r>
      </text>
    </comment>
    <comment ref="I37" authorId="0">
      <text>
        <r>
          <rPr>
            <b/>
            <sz val="11"/>
            <color indexed="81"/>
            <rFont val="돋움"/>
            <family val="3"/>
            <charset val="129"/>
          </rPr>
          <t>∆</t>
        </r>
        <r>
          <rPr>
            <b/>
            <sz val="11"/>
            <color indexed="81"/>
            <rFont val="Tahoma"/>
            <family val="2"/>
          </rPr>
          <t>Vsn is generally set around 5% ripple of Vsn.</t>
        </r>
      </text>
    </comment>
  </commentList>
</comments>
</file>

<file path=xl/sharedStrings.xml><?xml version="1.0" encoding="utf-8"?>
<sst xmlns="http://schemas.openxmlformats.org/spreadsheetml/2006/main" count="107" uniqueCount="85">
  <si>
    <t>Np.min</t>
    <phoneticPr fontId="1" type="noConversion"/>
  </si>
  <si>
    <t>Max. Vout</t>
    <phoneticPr fontId="1" type="noConversion"/>
  </si>
  <si>
    <t>V</t>
    <phoneticPr fontId="1" type="noConversion"/>
  </si>
  <si>
    <t>A</t>
    <phoneticPr fontId="1" type="noConversion"/>
  </si>
  <si>
    <t>Input</t>
    <phoneticPr fontId="1" type="noConversion"/>
  </si>
  <si>
    <t>Min. Vin.peak</t>
    <phoneticPr fontId="1" type="noConversion"/>
  </si>
  <si>
    <t>Output</t>
    <phoneticPr fontId="1" type="noConversion"/>
  </si>
  <si>
    <t>Max. Vin.peak</t>
    <phoneticPr fontId="1" type="noConversion"/>
  </si>
  <si>
    <t>Min. Vin</t>
    <phoneticPr fontId="1" type="noConversion"/>
  </si>
  <si>
    <t>Vac</t>
    <phoneticPr fontId="1" type="noConversion"/>
  </si>
  <si>
    <t xml:space="preserve"> Transformer Design</t>
    <phoneticPr fontId="1" type="noConversion"/>
  </si>
  <si>
    <t>Control Circuit Design</t>
    <phoneticPr fontId="1" type="noConversion"/>
  </si>
  <si>
    <t>Max. Vin</t>
    <phoneticPr fontId="1" type="noConversion"/>
  </si>
  <si>
    <t>Max. Duty</t>
    <phoneticPr fontId="1" type="noConversion"/>
  </si>
  <si>
    <t>%</t>
    <phoneticPr fontId="1" type="noConversion"/>
  </si>
  <si>
    <t>Rsense</t>
    <phoneticPr fontId="1" type="noConversion"/>
  </si>
  <si>
    <t>ohm</t>
    <phoneticPr fontId="1" type="noConversion"/>
  </si>
  <si>
    <t>Vout</t>
    <phoneticPr fontId="1" type="noConversion"/>
  </si>
  <si>
    <t>Max. Ton</t>
    <phoneticPr fontId="1" type="noConversion"/>
  </si>
  <si>
    <t>us</t>
    <phoneticPr fontId="1" type="noConversion"/>
  </si>
  <si>
    <t>Vin.bnk</t>
    <phoneticPr fontId="1" type="noConversion"/>
  </si>
  <si>
    <t>Efficiency</t>
    <phoneticPr fontId="1" type="noConversion"/>
  </si>
  <si>
    <t>Vf</t>
    <phoneticPr fontId="1" type="noConversion"/>
  </si>
  <si>
    <t>Iout</t>
    <phoneticPr fontId="1" type="noConversion"/>
  </si>
  <si>
    <t>mA</t>
    <phoneticPr fontId="1" type="noConversion"/>
  </si>
  <si>
    <t>Ae</t>
    <phoneticPr fontId="1" type="noConversion"/>
  </si>
  <si>
    <r>
      <t>mm</t>
    </r>
    <r>
      <rPr>
        <b/>
        <vertAlign val="superscript"/>
        <sz val="10"/>
        <rFont val="Calibri"/>
        <family val="3"/>
        <charset val="129"/>
        <scheme val="minor"/>
      </rPr>
      <t>2</t>
    </r>
    <phoneticPr fontId="1" type="noConversion"/>
  </si>
  <si>
    <t>Rvs1</t>
    <phoneticPr fontId="1" type="noConversion"/>
  </si>
  <si>
    <t>kohm</t>
    <phoneticPr fontId="1" type="noConversion"/>
  </si>
  <si>
    <t>Pout</t>
    <phoneticPr fontId="1" type="noConversion"/>
  </si>
  <si>
    <t>W</t>
    <phoneticPr fontId="1" type="noConversion"/>
  </si>
  <si>
    <t>Bmax</t>
    <phoneticPr fontId="1" type="noConversion"/>
  </si>
  <si>
    <t>Rvs2</t>
    <phoneticPr fontId="1" type="noConversion"/>
  </si>
  <si>
    <t>Lm</t>
    <phoneticPr fontId="1" type="noConversion"/>
  </si>
  <si>
    <t>mH</t>
    <phoneticPr fontId="1" type="noConversion"/>
  </si>
  <si>
    <t>Cvs</t>
    <phoneticPr fontId="1" type="noConversion"/>
  </si>
  <si>
    <t>pF</t>
    <phoneticPr fontId="1" type="noConversion"/>
  </si>
  <si>
    <t>Nps</t>
    <phoneticPr fontId="1" type="noConversion"/>
  </si>
  <si>
    <t>Ccomi</t>
    <phoneticPr fontId="1" type="noConversion"/>
  </si>
  <si>
    <t>uF</t>
    <phoneticPr fontId="1" type="noConversion"/>
  </si>
  <si>
    <t>Nas</t>
    <phoneticPr fontId="1" type="noConversion"/>
  </si>
  <si>
    <t>Cvdd</t>
    <phoneticPr fontId="1" type="noConversion"/>
  </si>
  <si>
    <t>Nap</t>
    <phoneticPr fontId="1" type="noConversion"/>
  </si>
  <si>
    <t>Dvdd Vmax</t>
    <phoneticPr fontId="1" type="noConversion"/>
  </si>
  <si>
    <t>T</t>
    <phoneticPr fontId="1" type="noConversion"/>
  </si>
  <si>
    <t>Rstr</t>
    <phoneticPr fontId="1" type="noConversion"/>
  </si>
  <si>
    <t>Np</t>
    <phoneticPr fontId="1" type="noConversion"/>
  </si>
  <si>
    <t>Power Device Design</t>
    <phoneticPr fontId="1" type="noConversion"/>
  </si>
  <si>
    <t>Ns</t>
    <phoneticPr fontId="1" type="noConversion"/>
  </si>
  <si>
    <t>MOSFET Vmax</t>
    <phoneticPr fontId="1" type="noConversion"/>
  </si>
  <si>
    <t>Na</t>
    <phoneticPr fontId="1" type="noConversion"/>
  </si>
  <si>
    <t>MOSFET Ipk</t>
    <phoneticPr fontId="1" type="noConversion"/>
  </si>
  <si>
    <t>Llk</t>
    <phoneticPr fontId="1" type="noConversion"/>
  </si>
  <si>
    <t>uH</t>
    <phoneticPr fontId="1" type="noConversion"/>
  </si>
  <si>
    <t>MOSFET Isw.rms</t>
    <phoneticPr fontId="1" type="noConversion"/>
  </si>
  <si>
    <t>Snubber Design</t>
    <phoneticPr fontId="1" type="noConversion"/>
  </si>
  <si>
    <t>Vsn</t>
    <phoneticPr fontId="1" type="noConversion"/>
  </si>
  <si>
    <t>Diode Vmax</t>
    <phoneticPr fontId="1" type="noConversion"/>
  </si>
  <si>
    <r>
      <rPr>
        <b/>
        <sz val="10"/>
        <rFont val="맑은 고딕"/>
        <family val="3"/>
        <charset val="129"/>
      </rPr>
      <t>∆</t>
    </r>
    <r>
      <rPr>
        <b/>
        <sz val="10"/>
        <rFont val="Calibri"/>
        <family val="3"/>
        <charset val="129"/>
        <scheme val="minor"/>
      </rPr>
      <t>Vsn</t>
    </r>
    <phoneticPr fontId="1" type="noConversion"/>
  </si>
  <si>
    <t>Diode Ipk</t>
    <phoneticPr fontId="1" type="noConversion"/>
  </si>
  <si>
    <t>Rsn</t>
    <phoneticPr fontId="1" type="noConversion"/>
  </si>
  <si>
    <t>Diode Irms</t>
    <phoneticPr fontId="1" type="noConversion"/>
  </si>
  <si>
    <t>Csn</t>
    <phoneticPr fontId="1" type="noConversion"/>
  </si>
  <si>
    <t>nF</t>
    <phoneticPr fontId="1" type="noConversion"/>
  </si>
  <si>
    <t>Psn</t>
    <phoneticPr fontId="1" type="noConversion"/>
  </si>
  <si>
    <t>Input &amp; Output Spec</t>
    <phoneticPr fontId="1" type="noConversion"/>
  </si>
  <si>
    <t>Flyback Design</t>
    <phoneticPr fontId="1" type="noConversion"/>
  </si>
  <si>
    <t>FL7732 : Single Stage PFC Primary-Side-Regulation off-line LED Driver</t>
    <phoneticPr fontId="1" type="noConversion"/>
  </si>
  <si>
    <t>Fairchild Semiconductor  
2011.11.21 ( Ver 1.0.0 )</t>
    <phoneticPr fontId="1" type="noConversion"/>
  </si>
  <si>
    <t>Dim.</t>
    <phoneticPr fontId="1" type="noConversion"/>
  </si>
  <si>
    <t>Standard</t>
    <phoneticPr fontId="1" type="noConversion"/>
  </si>
  <si>
    <t>Note</t>
    <phoneticPr fontId="1" type="noConversion"/>
  </si>
  <si>
    <t>Internally determined &amp; Hidden values</t>
    <phoneticPr fontId="1" type="noConversion"/>
  </si>
  <si>
    <t>Frequency</t>
    <phoneticPr fontId="1" type="noConversion"/>
  </si>
  <si>
    <t>kHz</t>
    <phoneticPr fontId="1" type="noConversion"/>
  </si>
  <si>
    <t>Ts</t>
    <phoneticPr fontId="1" type="noConversion"/>
  </si>
  <si>
    <t>k</t>
    <phoneticPr fontId="1" type="noConversion"/>
  </si>
  <si>
    <t>Ivs.bnk</t>
    <phoneticPr fontId="1" type="noConversion"/>
  </si>
  <si>
    <t>uA</t>
    <phoneticPr fontId="1" type="noConversion"/>
  </si>
  <si>
    <t>Vvs.bnk</t>
    <phoneticPr fontId="1" type="noConversion"/>
  </si>
  <si>
    <t>V</t>
    <phoneticPr fontId="1" type="noConversion"/>
  </si>
  <si>
    <t>Vvs.max</t>
    <phoneticPr fontId="1" type="noConversion"/>
  </si>
  <si>
    <t>rvs</t>
    <phoneticPr fontId="1" type="noConversion"/>
  </si>
  <si>
    <t>Iin.pk</t>
    <phoneticPr fontId="1" type="noConversion"/>
  </si>
  <si>
    <t>A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</si>
</sst>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0_ "/>
  </numFmts>
  <fonts count="27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0"/>
      <name val="Calibri"/>
      <family val="3"/>
      <charset val="129"/>
      <scheme val="minor"/>
    </font>
    <font>
      <b/>
      <sz val="11"/>
      <color indexed="81"/>
      <name val="Tahoma"/>
      <family val="2"/>
    </font>
    <font>
      <b/>
      <sz val="11"/>
      <color indexed="81"/>
      <name val="Times New Roman"/>
      <family val="1"/>
    </font>
    <font>
      <b/>
      <sz val="9.35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2"/>
      <color theme="0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sz val="10"/>
      <name val="Calibri"/>
      <family val="2"/>
      <charset val="129"/>
      <scheme val="minor"/>
    </font>
    <font>
      <b/>
      <sz val="11"/>
      <name val="Calibri"/>
      <family val="2"/>
      <charset val="129"/>
      <scheme val="minor"/>
    </font>
    <font>
      <sz val="11"/>
      <name val="Calibri"/>
      <family val="2"/>
      <charset val="129"/>
      <scheme val="minor"/>
    </font>
    <font>
      <b/>
      <sz val="11"/>
      <name val="Calibri"/>
      <family val="3"/>
      <charset val="129"/>
      <scheme val="minor"/>
    </font>
    <font>
      <sz val="1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b/>
      <vertAlign val="superscript"/>
      <sz val="10"/>
      <name val="Calibri"/>
      <family val="3"/>
      <charset val="129"/>
      <scheme val="minor"/>
    </font>
    <font>
      <b/>
      <sz val="10"/>
      <name val="맑은 고딕"/>
      <family val="3"/>
      <charset val="129"/>
    </font>
    <font>
      <b/>
      <sz val="11"/>
      <color theme="0"/>
      <name val="Calibri"/>
      <family val="3"/>
      <charset val="129"/>
      <scheme val="minor"/>
    </font>
    <font>
      <sz val="10"/>
      <color theme="0"/>
      <name val="Calibri"/>
      <family val="3"/>
      <charset val="129"/>
      <scheme val="minor"/>
    </font>
    <font>
      <b/>
      <i/>
      <sz val="10"/>
      <name val="Calibri"/>
      <family val="3"/>
      <charset val="129"/>
      <scheme val="minor"/>
    </font>
    <font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sz val="10"/>
      <color rgb="FFFF0000"/>
      <name val="Calibri"/>
      <family val="2"/>
      <charset val="129"/>
      <scheme val="minor"/>
    </font>
    <font>
      <b/>
      <sz val="11"/>
      <color rgb="FFFF0000"/>
      <name val="Calibri"/>
      <family val="2"/>
      <charset val="129"/>
      <scheme val="minor"/>
    </font>
    <font>
      <b/>
      <sz val="11"/>
      <color rgb="FFFF0000"/>
      <name val="Calibri"/>
      <family val="3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0"/>
      <color rgb="FFFF0000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5" borderId="1" xfId="0" applyFont="1" applyFill="1" applyBorder="1" applyAlignment="1" applyProtection="1">
      <alignment horizontal="left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>
      <alignment vertical="center"/>
    </xf>
    <xf numFmtId="0" fontId="13" fillId="0" borderId="0" xfId="0" applyFo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hidden="1"/>
    </xf>
    <xf numFmtId="164" fontId="8" fillId="3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18" fillId="5" borderId="1" xfId="0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left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left" vertical="center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left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left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9" fillId="0" borderId="10" xfId="0" applyFont="1" applyBorder="1" applyAlignment="1" applyProtection="1">
      <alignment horizontal="left" vertical="center" wrapText="1"/>
      <protection hidden="1"/>
    </xf>
    <xf numFmtId="0" fontId="19" fillId="0" borderId="11" xfId="0" applyFont="1" applyBorder="1" applyAlignment="1" applyProtection="1">
      <alignment horizontal="left" vertical="center"/>
      <protection hidden="1"/>
    </xf>
    <xf numFmtId="0" fontId="19" fillId="0" borderId="12" xfId="0" applyFont="1" applyBorder="1" applyAlignment="1" applyProtection="1">
      <alignment horizontal="left" vertical="center"/>
      <protection hidden="1"/>
    </xf>
    <xf numFmtId="0" fontId="19" fillId="0" borderId="13" xfId="0" applyFont="1" applyBorder="1" applyAlignment="1" applyProtection="1">
      <alignment horizontal="left" vertical="center"/>
      <protection hidden="1"/>
    </xf>
    <xf numFmtId="0" fontId="19" fillId="0" borderId="7" xfId="0" applyFont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3300"/>
      <color rgb="FF00CCFF"/>
      <color rgb="FFFF7C80"/>
      <color rgb="FF0080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3"/>
  <sheetViews>
    <sheetView tabSelected="1" zoomScale="85" zoomScaleNormal="85" workbookViewId="0">
      <selection activeCell="O22" sqref="O22"/>
    </sheetView>
  </sheetViews>
  <sheetFormatPr defaultColWidth="9" defaultRowHeight="15"/>
  <cols>
    <col min="1" max="1" width="6.42578125" style="9" customWidth="1"/>
    <col min="2" max="2" width="0.5703125" style="9" customWidth="1"/>
    <col min="3" max="3" width="15.42578125" style="9" bestFit="1" customWidth="1"/>
    <col min="4" max="4" width="11" style="10" customWidth="1"/>
    <col min="5" max="5" width="8.28515625" style="11" customWidth="1"/>
    <col min="6" max="6" width="0.85546875" style="9" customWidth="1"/>
    <col min="7" max="7" width="1.28515625" style="12" customWidth="1"/>
    <col min="8" max="8" width="0.85546875" style="12" customWidth="1"/>
    <col min="9" max="9" width="14.5703125" style="9" customWidth="1"/>
    <col min="10" max="10" width="10.28515625" style="10" customWidth="1"/>
    <col min="11" max="11" width="9.42578125" style="11" customWidth="1"/>
    <col min="12" max="12" width="0.5703125" style="3" customWidth="1"/>
    <col min="13" max="13" width="0.42578125" style="12" customWidth="1"/>
    <col min="14" max="14" width="14.42578125" style="9" customWidth="1"/>
    <col min="15" max="15" width="9.28515625" style="9" customWidth="1"/>
    <col min="16" max="16" width="9" style="9"/>
    <col min="17" max="17" width="0.5703125" style="9" customWidth="1"/>
    <col min="18" max="18" width="11.140625" style="9" customWidth="1"/>
    <col min="19" max="19" width="9.140625" style="9" customWidth="1"/>
    <col min="20" max="20" width="9.7109375" style="9" customWidth="1"/>
    <col min="21" max="21" width="9" style="10"/>
    <col min="22" max="22" width="9" style="9"/>
    <col min="23" max="23" width="8.85546875" style="9" customWidth="1"/>
    <col min="24" max="24" width="9.85546875" style="9" customWidth="1"/>
    <col min="25" max="16384" width="9" style="9"/>
  </cols>
  <sheetData>
    <row r="1" spans="3:22" s="6" customFormat="1">
      <c r="D1" s="4"/>
      <c r="E1" s="5"/>
      <c r="G1" s="7"/>
      <c r="H1" s="7"/>
      <c r="J1" s="4"/>
      <c r="K1" s="5"/>
      <c r="L1" s="34"/>
      <c r="M1" s="7"/>
      <c r="U1" s="4"/>
    </row>
    <row r="2" spans="3:22" s="6" customFormat="1">
      <c r="D2" s="4"/>
      <c r="E2" s="5"/>
      <c r="G2" s="7"/>
      <c r="H2" s="7"/>
      <c r="J2" s="4"/>
      <c r="K2" s="5"/>
      <c r="L2" s="34"/>
      <c r="M2" s="7"/>
      <c r="U2" s="4"/>
    </row>
    <row r="3" spans="3:22" s="6" customFormat="1">
      <c r="D3" s="4"/>
      <c r="E3" s="5"/>
      <c r="G3" s="7"/>
      <c r="H3" s="7"/>
      <c r="J3" s="4"/>
      <c r="K3" s="5"/>
      <c r="L3" s="34"/>
      <c r="M3" s="7"/>
      <c r="U3" s="4"/>
    </row>
    <row r="4" spans="3:22" s="6" customFormat="1">
      <c r="D4" s="4"/>
      <c r="E4" s="5"/>
      <c r="G4" s="7"/>
      <c r="H4" s="7"/>
      <c r="I4" s="35"/>
      <c r="J4" s="36"/>
      <c r="K4" s="37"/>
      <c r="L4" s="35"/>
      <c r="M4" s="38"/>
      <c r="N4" s="35"/>
      <c r="U4" s="4"/>
    </row>
    <row r="5" spans="3:22">
      <c r="D5" s="4"/>
      <c r="E5" s="5"/>
      <c r="F5" s="6"/>
      <c r="G5" s="7"/>
      <c r="H5" s="33"/>
      <c r="I5" s="39"/>
      <c r="J5" s="40"/>
      <c r="K5" s="40" t="s">
        <v>69</v>
      </c>
      <c r="L5" s="41" t="s">
        <v>70</v>
      </c>
      <c r="M5" s="42" t="s">
        <v>71</v>
      </c>
      <c r="N5" s="43"/>
      <c r="O5" s="1"/>
      <c r="P5" s="1"/>
    </row>
    <row r="6" spans="3:22">
      <c r="H6" s="13"/>
      <c r="I6" s="46" t="s">
        <v>72</v>
      </c>
      <c r="J6" s="46"/>
      <c r="K6" s="46"/>
      <c r="L6" s="46"/>
      <c r="M6" s="46"/>
      <c r="N6" s="46"/>
      <c r="O6" s="1"/>
      <c r="P6" s="1"/>
    </row>
    <row r="7" spans="3:22">
      <c r="H7" s="13"/>
      <c r="I7" s="44" t="s">
        <v>73</v>
      </c>
      <c r="J7" s="42">
        <v>65</v>
      </c>
      <c r="K7" s="43" t="s">
        <v>74</v>
      </c>
      <c r="L7" s="45">
        <f>J7*1000</f>
        <v>65000</v>
      </c>
      <c r="M7" s="43" t="s">
        <v>75</v>
      </c>
      <c r="N7" s="43">
        <f>1/L7</f>
        <v>1.5384615384615384E-5</v>
      </c>
      <c r="O7" s="1"/>
      <c r="P7" s="1"/>
      <c r="U7" s="16"/>
      <c r="V7" s="16"/>
    </row>
    <row r="8" spans="3:22">
      <c r="H8" s="13"/>
      <c r="I8" s="44" t="s">
        <v>76</v>
      </c>
      <c r="J8" s="42">
        <v>9.5000000000000001E-2</v>
      </c>
      <c r="K8" s="43"/>
      <c r="L8" s="45"/>
      <c r="M8" s="43"/>
      <c r="N8" s="43"/>
      <c r="O8" s="1"/>
      <c r="P8" s="1"/>
      <c r="T8" s="16"/>
      <c r="U8" s="16"/>
      <c r="V8" s="16"/>
    </row>
    <row r="9" spans="3:22">
      <c r="H9" s="13"/>
      <c r="I9" s="44" t="s">
        <v>77</v>
      </c>
      <c r="J9" s="42">
        <v>100</v>
      </c>
      <c r="K9" s="43" t="s">
        <v>78</v>
      </c>
      <c r="L9" s="45">
        <f>J9*10^-6</f>
        <v>9.9999999999999991E-5</v>
      </c>
      <c r="M9" s="43"/>
      <c r="N9" s="43"/>
      <c r="O9" s="1"/>
      <c r="P9" s="1"/>
      <c r="T9" s="16"/>
      <c r="U9" s="16"/>
      <c r="V9" s="16"/>
    </row>
    <row r="10" spans="3:22">
      <c r="H10" s="13"/>
      <c r="I10" s="44" t="s">
        <v>79</v>
      </c>
      <c r="J10" s="42">
        <v>0.54500000000000004</v>
      </c>
      <c r="K10" s="43" t="s">
        <v>80</v>
      </c>
      <c r="L10" s="45"/>
      <c r="M10" s="43"/>
      <c r="N10" s="43"/>
      <c r="O10" s="1"/>
      <c r="P10" s="1"/>
      <c r="T10" s="16"/>
      <c r="U10" s="16"/>
      <c r="V10" s="16"/>
    </row>
    <row r="11" spans="3:22">
      <c r="H11" s="13"/>
      <c r="I11" s="44" t="s">
        <v>81</v>
      </c>
      <c r="J11" s="42">
        <v>2.35</v>
      </c>
      <c r="K11" s="43" t="s">
        <v>80</v>
      </c>
      <c r="L11" s="45"/>
      <c r="M11" s="43"/>
      <c r="N11" s="43"/>
      <c r="O11" s="1"/>
      <c r="P11" s="1"/>
    </row>
    <row r="12" spans="3:22">
      <c r="H12" s="13"/>
      <c r="I12" s="44" t="s">
        <v>82</v>
      </c>
      <c r="J12" s="42">
        <f>((Vout+O23)*J28-J11)/J11</f>
        <v>7.0581560283687939</v>
      </c>
      <c r="K12" s="43"/>
      <c r="L12" s="45"/>
      <c r="M12" s="43"/>
      <c r="N12" s="43"/>
      <c r="O12" s="1"/>
      <c r="P12" s="1"/>
    </row>
    <row r="13" spans="3:22">
      <c r="H13" s="13"/>
      <c r="I13" s="44"/>
      <c r="J13" s="42"/>
      <c r="K13" s="43"/>
      <c r="L13" s="45"/>
      <c r="M13" s="43"/>
      <c r="N13" s="43"/>
      <c r="O13" s="1"/>
      <c r="P13" s="1"/>
    </row>
    <row r="14" spans="3:22">
      <c r="H14" s="13"/>
      <c r="I14" s="44"/>
      <c r="J14" s="42"/>
      <c r="K14" s="43"/>
      <c r="L14" s="45"/>
      <c r="M14" s="43"/>
      <c r="N14" s="43"/>
      <c r="O14" s="1"/>
      <c r="P14" s="1"/>
    </row>
    <row r="15" spans="3:22" ht="16.5" customHeight="1">
      <c r="H15" s="13"/>
      <c r="I15" s="44" t="s">
        <v>83</v>
      </c>
      <c r="J15" s="42">
        <f>L16*L22/L26</f>
        <v>1.2643033124663687</v>
      </c>
      <c r="K15" s="43" t="s">
        <v>84</v>
      </c>
      <c r="L15" s="45"/>
      <c r="M15" s="43"/>
      <c r="N15" s="43"/>
      <c r="O15" s="1"/>
      <c r="P15" s="1"/>
    </row>
    <row r="16" spans="3:22">
      <c r="C16" s="17" t="s">
        <v>4</v>
      </c>
      <c r="H16" s="13"/>
      <c r="I16" s="32"/>
      <c r="J16" s="30"/>
      <c r="K16" s="1" t="s">
        <v>5</v>
      </c>
      <c r="L16" s="31">
        <f>D20*2^0.5</f>
        <v>127.27922061357856</v>
      </c>
      <c r="M16" s="1"/>
      <c r="N16" s="1"/>
      <c r="O16" s="1"/>
      <c r="P16" s="1"/>
    </row>
    <row r="17" spans="2:22">
      <c r="C17" s="18" t="s">
        <v>6</v>
      </c>
      <c r="H17" s="13"/>
      <c r="I17" s="32"/>
      <c r="J17" s="30"/>
      <c r="K17" s="1" t="s">
        <v>7</v>
      </c>
      <c r="L17" s="31">
        <f>D21*2^0.5</f>
        <v>374.7665940288702</v>
      </c>
      <c r="M17" s="1"/>
      <c r="N17" s="1"/>
      <c r="O17" s="1"/>
      <c r="P17" s="1"/>
    </row>
    <row r="18" spans="2:22" ht="6" customHeight="1">
      <c r="C18" s="12"/>
      <c r="F18" s="11"/>
      <c r="H18" s="13"/>
      <c r="I18" s="8"/>
      <c r="J18" s="14"/>
      <c r="K18" s="15"/>
      <c r="L18" s="1"/>
      <c r="M18" s="13"/>
      <c r="N18" s="8"/>
      <c r="O18" s="8"/>
      <c r="P18" s="8"/>
    </row>
    <row r="19" spans="2:22" ht="28.5" customHeight="1">
      <c r="B19" s="59" t="s">
        <v>65</v>
      </c>
      <c r="C19" s="60"/>
      <c r="D19" s="60"/>
      <c r="E19" s="60"/>
      <c r="F19" s="61"/>
      <c r="G19" s="3"/>
      <c r="H19" s="59" t="s">
        <v>66</v>
      </c>
      <c r="I19" s="62"/>
      <c r="J19" s="62"/>
      <c r="K19" s="62"/>
      <c r="L19" s="62"/>
      <c r="M19" s="62"/>
      <c r="N19" s="62"/>
      <c r="O19" s="62"/>
      <c r="P19" s="62"/>
      <c r="Q19" s="63"/>
      <c r="R19" s="19"/>
      <c r="V19" s="20"/>
    </row>
    <row r="20" spans="2:22">
      <c r="C20" s="2" t="s">
        <v>8</v>
      </c>
      <c r="D20" s="21">
        <v>90</v>
      </c>
      <c r="E20" s="2" t="s">
        <v>9</v>
      </c>
      <c r="F20" s="8"/>
      <c r="I20" s="47" t="s">
        <v>10</v>
      </c>
      <c r="J20" s="48"/>
      <c r="K20" s="49"/>
      <c r="N20" s="47" t="s">
        <v>11</v>
      </c>
      <c r="O20" s="48"/>
      <c r="P20" s="49"/>
    </row>
    <row r="21" spans="2:22">
      <c r="C21" s="2" t="s">
        <v>12</v>
      </c>
      <c r="D21" s="21">
        <v>265</v>
      </c>
      <c r="E21" s="2" t="s">
        <v>9</v>
      </c>
      <c r="F21" s="8"/>
      <c r="I21" s="2" t="s">
        <v>13</v>
      </c>
      <c r="J21" s="21">
        <v>48</v>
      </c>
      <c r="K21" s="2" t="s">
        <v>14</v>
      </c>
      <c r="L21" s="1">
        <f>J21*0.01</f>
        <v>0.48</v>
      </c>
      <c r="N21" s="22" t="s">
        <v>15</v>
      </c>
      <c r="O21" s="23">
        <f>J8*Nps/F24</f>
        <v>0.39547472119219046</v>
      </c>
      <c r="P21" s="22" t="s">
        <v>16</v>
      </c>
      <c r="Q21" s="8">
        <f>0.5*(Np/Ns)*(1/F24)*0.1905</f>
        <v>0.39651544414269629</v>
      </c>
      <c r="R21" s="8"/>
    </row>
    <row r="22" spans="2:22">
      <c r="C22" s="2" t="s">
        <v>17</v>
      </c>
      <c r="D22" s="21">
        <v>24</v>
      </c>
      <c r="E22" s="2" t="s">
        <v>2</v>
      </c>
      <c r="F22" s="8"/>
      <c r="I22" s="22" t="s">
        <v>18</v>
      </c>
      <c r="J22" s="23">
        <f>L21*N7*10^6</f>
        <v>7.3846153846153841</v>
      </c>
      <c r="K22" s="22" t="s">
        <v>19</v>
      </c>
      <c r="L22" s="1">
        <f>J22*10^-6</f>
        <v>7.3846153846153842E-6</v>
      </c>
      <c r="N22" s="2" t="s">
        <v>20</v>
      </c>
      <c r="O22" s="21">
        <v>50</v>
      </c>
      <c r="P22" s="2" t="s">
        <v>2</v>
      </c>
      <c r="Q22" s="8"/>
      <c r="R22" s="8"/>
    </row>
    <row r="23" spans="2:22">
      <c r="C23" s="2" t="s">
        <v>1</v>
      </c>
      <c r="D23" s="21">
        <v>30</v>
      </c>
      <c r="E23" s="2" t="s">
        <v>2</v>
      </c>
      <c r="F23" s="8"/>
      <c r="I23" s="2" t="s">
        <v>21</v>
      </c>
      <c r="J23" s="21">
        <v>87</v>
      </c>
      <c r="K23" s="2" t="s">
        <v>14</v>
      </c>
      <c r="L23" s="1">
        <f>J23*0.01</f>
        <v>0.87</v>
      </c>
      <c r="N23" s="2" t="s">
        <v>22</v>
      </c>
      <c r="O23" s="21">
        <v>0.7</v>
      </c>
      <c r="P23" s="2" t="s">
        <v>2</v>
      </c>
      <c r="Q23" s="8"/>
      <c r="R23" s="8"/>
    </row>
    <row r="24" spans="2:22">
      <c r="C24" s="2" t="s">
        <v>23</v>
      </c>
      <c r="D24" s="21">
        <v>700</v>
      </c>
      <c r="E24" s="2" t="s">
        <v>24</v>
      </c>
      <c r="F24" s="8">
        <f>D24*0.001</f>
        <v>0.70000000000000007</v>
      </c>
      <c r="I24" s="2" t="s">
        <v>25</v>
      </c>
      <c r="J24" s="21">
        <v>64</v>
      </c>
      <c r="K24" s="2" t="s">
        <v>26</v>
      </c>
      <c r="L24" s="1">
        <f>J24*10^-6</f>
        <v>6.3999999999999997E-5</v>
      </c>
      <c r="N24" s="22" t="s">
        <v>27</v>
      </c>
      <c r="O24" s="23">
        <f>O25*J12</f>
        <v>175.46469977075353</v>
      </c>
      <c r="P24" s="22" t="s">
        <v>28</v>
      </c>
      <c r="Q24" s="8"/>
      <c r="R24" s="8"/>
    </row>
    <row r="25" spans="2:22">
      <c r="C25" s="22" t="s">
        <v>29</v>
      </c>
      <c r="D25" s="23">
        <f>D22*F24</f>
        <v>16.8</v>
      </c>
      <c r="E25" s="22" t="s">
        <v>30</v>
      </c>
      <c r="F25" s="8"/>
      <c r="I25" s="2" t="s">
        <v>31</v>
      </c>
      <c r="J25" s="21">
        <v>0.27</v>
      </c>
      <c r="K25" s="2"/>
      <c r="L25" s="1"/>
      <c r="N25" s="22" t="s">
        <v>32</v>
      </c>
      <c r="O25" s="23">
        <f>1/L9*(J10+(J10+O22*J29)/J12)/1000</f>
        <v>24.859849947423882</v>
      </c>
      <c r="P25" s="22" t="s">
        <v>28</v>
      </c>
      <c r="Q25" s="8">
        <f>O24*1000</f>
        <v>175464.69977075353</v>
      </c>
      <c r="R25" s="8"/>
    </row>
    <row r="26" spans="2:22">
      <c r="C26" s="24"/>
      <c r="D26" s="25"/>
      <c r="E26" s="24"/>
      <c r="F26" s="26"/>
      <c r="I26" s="22" t="s">
        <v>33</v>
      </c>
      <c r="J26" s="23">
        <f>L23*(D20^2)*L7*(L22^2)/(2*D25)*10^3</f>
        <v>0.74341978021978006</v>
      </c>
      <c r="K26" s="22" t="s">
        <v>34</v>
      </c>
      <c r="L26" s="1">
        <f>L23*(D20^2)*L7*(L22^2)/(2*D25)</f>
        <v>7.4341978021978011E-4</v>
      </c>
      <c r="N26" s="2" t="s">
        <v>35</v>
      </c>
      <c r="O26" s="21">
        <v>20</v>
      </c>
      <c r="P26" s="2" t="s">
        <v>36</v>
      </c>
      <c r="Q26" s="8">
        <f>1/L9*(J10+(J10+O22*J29)/J12)</f>
        <v>24859.849947423882</v>
      </c>
      <c r="R26" s="8"/>
    </row>
    <row r="27" spans="2:22">
      <c r="I27" s="22" t="s">
        <v>37</v>
      </c>
      <c r="J27" s="23">
        <f>0.5*L26*F24/(J8*L16*L22)</f>
        <v>2.9140242614161407</v>
      </c>
      <c r="K27" s="22"/>
      <c r="L27" s="1"/>
      <c r="N27" s="2" t="s">
        <v>38</v>
      </c>
      <c r="O27" s="21">
        <v>1</v>
      </c>
      <c r="P27" s="2" t="s">
        <v>39</v>
      </c>
      <c r="Q27" s="8"/>
      <c r="R27" s="8"/>
    </row>
    <row r="28" spans="2:22">
      <c r="C28" s="50" t="s">
        <v>67</v>
      </c>
      <c r="D28" s="51"/>
      <c r="E28" s="52"/>
      <c r="I28" s="22" t="s">
        <v>40</v>
      </c>
      <c r="J28" s="23">
        <f>23/D23</f>
        <v>0.76666666666666672</v>
      </c>
      <c r="K28" s="22"/>
      <c r="L28" s="1"/>
      <c r="N28" s="2" t="s">
        <v>41</v>
      </c>
      <c r="O28" s="21">
        <v>22</v>
      </c>
      <c r="P28" s="2" t="s">
        <v>39</v>
      </c>
      <c r="Q28" s="8"/>
      <c r="R28" s="8"/>
    </row>
    <row r="29" spans="2:22" ht="16.5" customHeight="1">
      <c r="C29" s="53"/>
      <c r="D29" s="54"/>
      <c r="E29" s="55"/>
      <c r="I29" s="22" t="s">
        <v>42</v>
      </c>
      <c r="J29" s="23">
        <f>J28/J27</f>
        <v>0.26309549883228717</v>
      </c>
      <c r="K29" s="22"/>
      <c r="L29" s="1"/>
      <c r="N29" s="22" t="s">
        <v>43</v>
      </c>
      <c r="O29" s="23">
        <f>23.5+Vin.max*(2^0.5)*Nap</f>
        <v>122.09940400170287</v>
      </c>
      <c r="P29" s="22" t="s">
        <v>2</v>
      </c>
      <c r="Q29" s="8"/>
      <c r="R29" s="8"/>
    </row>
    <row r="30" spans="2:22">
      <c r="C30" s="56"/>
      <c r="D30" s="57"/>
      <c r="E30" s="58"/>
      <c r="I30" s="22" t="s">
        <v>0</v>
      </c>
      <c r="J30" s="23">
        <f>L16*L22/(J25*L24)</f>
        <v>54.392829322042118</v>
      </c>
      <c r="K30" s="22" t="s">
        <v>44</v>
      </c>
      <c r="L30" s="1"/>
      <c r="N30" s="22" t="s">
        <v>45</v>
      </c>
      <c r="O30" s="23">
        <f>Vin.min/(O28*10^-6*17.5)/1000</f>
        <v>233.76623376623377</v>
      </c>
      <c r="P30" s="22" t="s">
        <v>28</v>
      </c>
      <c r="Q30" s="8"/>
      <c r="R30" s="8"/>
    </row>
    <row r="31" spans="2:22">
      <c r="C31" s="64" t="s">
        <v>68</v>
      </c>
      <c r="D31" s="65"/>
      <c r="E31" s="66"/>
      <c r="I31" s="2" t="s">
        <v>46</v>
      </c>
      <c r="J31" s="21">
        <v>60</v>
      </c>
      <c r="K31" s="2" t="s">
        <v>44</v>
      </c>
      <c r="L31" s="1"/>
      <c r="N31" s="47" t="s">
        <v>47</v>
      </c>
      <c r="O31" s="48"/>
      <c r="P31" s="49"/>
      <c r="Q31" s="8"/>
      <c r="R31" s="8"/>
    </row>
    <row r="32" spans="2:22">
      <c r="C32" s="67"/>
      <c r="D32" s="68"/>
      <c r="E32" s="69"/>
      <c r="I32" s="27" t="s">
        <v>48</v>
      </c>
      <c r="J32" s="23">
        <f>J31/J27</f>
        <v>20.59008251730943</v>
      </c>
      <c r="K32" s="27" t="s">
        <v>44</v>
      </c>
      <c r="L32" s="1"/>
      <c r="N32" s="22" t="s">
        <v>49</v>
      </c>
      <c r="O32" s="23">
        <f>L17+J36</f>
        <v>524.76659402887026</v>
      </c>
      <c r="P32" s="22" t="s">
        <v>2</v>
      </c>
    </row>
    <row r="33" spans="9:21">
      <c r="I33" s="27" t="s">
        <v>50</v>
      </c>
      <c r="J33" s="23">
        <f>J32*J28</f>
        <v>15.785729929937231</v>
      </c>
      <c r="K33" s="27" t="s">
        <v>44</v>
      </c>
      <c r="L33" s="1"/>
      <c r="N33" s="22" t="s">
        <v>51</v>
      </c>
      <c r="O33" s="23">
        <f>L22*Vin.min*2^0.5/L26</f>
        <v>1.2643033124663687</v>
      </c>
      <c r="P33" s="22" t="s">
        <v>3</v>
      </c>
      <c r="Q33" s="8"/>
      <c r="R33" s="8"/>
    </row>
    <row r="34" spans="9:21">
      <c r="I34" s="2" t="s">
        <v>52</v>
      </c>
      <c r="J34" s="21">
        <v>10</v>
      </c>
      <c r="K34" s="2" t="s">
        <v>53</v>
      </c>
      <c r="L34" s="1">
        <f>J34*10^-6</f>
        <v>9.9999999999999991E-6</v>
      </c>
      <c r="N34" s="22" t="s">
        <v>54</v>
      </c>
      <c r="O34" s="23">
        <f>O33*(SQRT((L22*L7)/6))</f>
        <v>0.35759897828863352</v>
      </c>
      <c r="P34" s="22" t="s">
        <v>3</v>
      </c>
      <c r="Q34" s="8"/>
      <c r="R34" s="8"/>
    </row>
    <row r="35" spans="9:21">
      <c r="I35" s="47" t="s">
        <v>55</v>
      </c>
      <c r="J35" s="48"/>
      <c r="K35" s="49"/>
      <c r="N35" s="22" t="s">
        <v>57</v>
      </c>
      <c r="O35" s="23">
        <f>Vout+L17/J27</f>
        <v>152.60791826309068</v>
      </c>
      <c r="P35" s="22" t="s">
        <v>2</v>
      </c>
      <c r="Q35" s="8"/>
      <c r="R35" s="8"/>
      <c r="S35" s="28"/>
      <c r="T35" s="28"/>
      <c r="U35" s="29"/>
    </row>
    <row r="36" spans="9:21">
      <c r="I36" s="2" t="s">
        <v>56</v>
      </c>
      <c r="J36" s="21">
        <v>150</v>
      </c>
      <c r="K36" s="2" t="s">
        <v>2</v>
      </c>
      <c r="L36" s="1"/>
      <c r="N36" s="22" t="s">
        <v>59</v>
      </c>
      <c r="O36" s="23">
        <f>O33*Nps</f>
        <v>3.6842105263157903</v>
      </c>
      <c r="P36" s="22" t="s">
        <v>3</v>
      </c>
      <c r="Q36" s="8"/>
      <c r="R36" s="8"/>
    </row>
    <row r="37" spans="9:21">
      <c r="I37" s="2" t="s">
        <v>58</v>
      </c>
      <c r="J37" s="21">
        <v>10.5</v>
      </c>
      <c r="K37" s="2" t="s">
        <v>2</v>
      </c>
      <c r="L37" s="1"/>
      <c r="N37" s="22" t="s">
        <v>61</v>
      </c>
      <c r="O37" s="23">
        <f>O34*Nps*(SQRT(L16/(2*Nps*(Vout+O23))))</f>
        <v>0.9798466904827221</v>
      </c>
      <c r="P37" s="22" t="s">
        <v>3</v>
      </c>
    </row>
    <row r="38" spans="9:21">
      <c r="I38" s="22" t="s">
        <v>60</v>
      </c>
      <c r="J38" s="23">
        <f>J36^2/(J36*L34*L7*J15^2/2/(J36-J27*(D22+O23)))*10^-3</f>
        <v>22.52845118803997</v>
      </c>
      <c r="K38" s="22" t="s">
        <v>28</v>
      </c>
      <c r="L38" s="1">
        <f>J36^2/(J36*L34*L7*J15^2/2/(J36-Nps*(D22+O23)))</f>
        <v>22528.45118803997</v>
      </c>
    </row>
    <row r="39" spans="9:21">
      <c r="I39" s="22" t="s">
        <v>62</v>
      </c>
      <c r="J39" s="23">
        <f>J36*N7/J37/L38*10^9</f>
        <v>9.7556737454236497</v>
      </c>
      <c r="K39" s="22" t="s">
        <v>63</v>
      </c>
      <c r="L39" s="1">
        <f>J36*N7/J37/L38</f>
        <v>9.7556737454236489E-9</v>
      </c>
      <c r="M39" s="9"/>
    </row>
    <row r="40" spans="9:21">
      <c r="I40" s="22" t="s">
        <v>64</v>
      </c>
      <c r="J40" s="23">
        <f>(J36*L34*L7*J15^2/2/(J36-Nps*(D22+O23)))</f>
        <v>0.99873709968774627</v>
      </c>
      <c r="K40" s="22" t="s">
        <v>30</v>
      </c>
      <c r="L40" s="3">
        <f>(J36*L34*L7*J15^2/2/(J36-Nps*(D22+O23)))</f>
        <v>0.99873709968774627</v>
      </c>
      <c r="M40" s="9"/>
    </row>
    <row r="41" spans="9:21">
      <c r="M41" s="9"/>
    </row>
    <row r="42" spans="9:21">
      <c r="M42" s="9"/>
    </row>
    <row r="43" spans="9:21">
      <c r="M43" s="9"/>
    </row>
  </sheetData>
  <sheetProtection password="8E9D" sheet="1" objects="1" scenarios="1" selectLockedCells="1"/>
  <mergeCells count="9">
    <mergeCell ref="I6:N6"/>
    <mergeCell ref="I35:K35"/>
    <mergeCell ref="C28:E30"/>
    <mergeCell ref="B19:F19"/>
    <mergeCell ref="H19:Q19"/>
    <mergeCell ref="N20:P20"/>
    <mergeCell ref="N31:P31"/>
    <mergeCell ref="I20:K20"/>
    <mergeCell ref="C31:E32"/>
  </mergeCells>
  <phoneticPr fontId="1" type="noConversion"/>
  <pageMargins left="0.7" right="0.7" top="0.75" bottom="0.75" header="0.3" footer="0.3"/>
  <pageSetup paperSize="9" orientation="portrait" r:id="rId1"/>
  <legacyDrawing r:id="rId2"/>
  <oleObjects>
    <oleObject progId="Visio.Drawing.11" shapeId="104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0" zoomScaleNormal="70"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Sheet1</vt:lpstr>
      <vt:lpstr>Sheet2</vt:lpstr>
      <vt:lpstr>Sheet3</vt:lpstr>
      <vt:lpstr>Ae</vt:lpstr>
      <vt:lpstr>Bmax</vt:lpstr>
      <vt:lpstr>Duty.max</vt:lpstr>
      <vt:lpstr>Eff</vt:lpstr>
      <vt:lpstr>Iout</vt:lpstr>
      <vt:lpstr>Llk</vt:lpstr>
      <vt:lpstr>Lm</vt:lpstr>
      <vt:lpstr>Na</vt:lpstr>
      <vt:lpstr>Nap</vt:lpstr>
      <vt:lpstr>Nas</vt:lpstr>
      <vt:lpstr>Np</vt:lpstr>
      <vt:lpstr>Np.min</vt:lpstr>
      <vt:lpstr>Nps</vt:lpstr>
      <vt:lpstr>Ns</vt:lpstr>
      <vt:lpstr>Pout</vt:lpstr>
      <vt:lpstr>Ton.max</vt:lpstr>
      <vt:lpstr>Vin.max</vt:lpstr>
      <vt:lpstr>Vin.min</vt:lpstr>
      <vt:lpstr>Vout</vt:lpstr>
      <vt:lpstr>Vout.max</vt:lpstr>
      <vt:lpstr>Vsn</vt:lpstr>
      <vt:lpstr>Vsn.r</vt:lpstr>
    </vt:vector>
  </TitlesOfParts>
  <Company>Fairchild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Windows User</cp:lastModifiedBy>
  <dcterms:created xsi:type="dcterms:W3CDTF">2011-11-09T23:25:24Z</dcterms:created>
  <dcterms:modified xsi:type="dcterms:W3CDTF">2013-04-18T14:41:54Z</dcterms:modified>
</cp:coreProperties>
</file>