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3260" windowHeight="8775" activeTab="0"/>
  </bookViews>
  <sheets>
    <sheet name="Important_Notice_NCL2801" sheetId="1" r:id="rId1"/>
    <sheet name="Application Schematic" sheetId="2" r:id="rId2"/>
    <sheet name="NCL2801_calc_sheet" sheetId="3" r:id="rId3"/>
    <sheet name="Bode_Plots" sheetId="4" r:id="rId4"/>
    <sheet name="Internal_params" sheetId="5" r:id="rId5"/>
  </sheets>
  <definedNames>
    <definedName name="_G_0_LL_min">'Bode_Plots'!$J$10</definedName>
    <definedName name="Brownout">'NCL2801_calc_sheet'!$D$5</definedName>
    <definedName name="C_bulk">'NCL2801_calc_sheet'!$D$31</definedName>
    <definedName name="C_p">'NCL2801_calc_sheet'!$D$71</definedName>
    <definedName name="C_z">'NCL2801_calc_sheet'!$D$70</definedName>
    <definedName name="C_z_calc">'NCL2801_calc_sheet'!$D$67</definedName>
    <definedName name="Cbo">#REF!</definedName>
    <definedName name="Cbo_calc">#REF!</definedName>
    <definedName name="Cbulk">#REF!</definedName>
    <definedName name="DV_pk_pk">'NCL2801_calc_sheet'!$D$22</definedName>
    <definedName name="EFF">#REF!</definedName>
    <definedName name="F_ac">'NCL2801_calc_sheet'!$D$13</definedName>
    <definedName name="F_c">'NCL2801_calc_sheet'!$D$23</definedName>
    <definedName name="F_co_max">'NCL2801_calc_sheet'!$D$23</definedName>
    <definedName name="f_p">'NCL2801_calc_sheet'!$D$77</definedName>
    <definedName name="f_p_0">'NCL2801_calc_sheet'!$D$75</definedName>
    <definedName name="f_plant">'NCL2801_calc_sheet'!$D$74</definedName>
    <definedName name="f_z">'NCL2801_calc_sheet'!$D$76</definedName>
    <definedName name="Fac">#REF!</definedName>
    <definedName name="Fbo">#REF!</definedName>
    <definedName name="Fc">#REF!</definedName>
    <definedName name="Fc_final_HL_max">'Bode_Plots'!$J$11</definedName>
    <definedName name="Fc_final_LL_min">'Bode_Plots'!$J$13</definedName>
    <definedName name="fp">#REF!</definedName>
    <definedName name="fp0">#REF!</definedName>
    <definedName name="fz">#REF!</definedName>
    <definedName name="G_0">'NCL2801_calc_sheet'!$D$62</definedName>
    <definedName name="G_0_HL_max">'Bode_Plots'!$J$9</definedName>
    <definedName name="G_plant_fco_max">'NCL2801_calc_sheet'!$D$63</definedName>
    <definedName name="G0">#REF!</definedName>
    <definedName name="IBO">#REF!</definedName>
    <definedName name="ILmax">#REF!</definedName>
    <definedName name="K_factor">'NCL2801_calc_sheet'!$D$65</definedName>
    <definedName name="K_m">'NCL2801_calc_sheet'!$D$49</definedName>
    <definedName name="K_mult_HL_max">'Internal_params'!$B$9</definedName>
    <definedName name="K_mult_HL_min">'Internal_params'!$B$7</definedName>
    <definedName name="K_mult_HL_typ">'Internal_params'!$B$8</definedName>
    <definedName name="K_mult_LL_max">'Internal_params'!$B$13</definedName>
    <definedName name="K_mult_LL_min">'Internal_params'!$B$11</definedName>
    <definedName name="K_mult_LL_typ">'Internal_params'!$B$12</definedName>
    <definedName name="K_mult_max">'Internal_params'!$B$5</definedName>
    <definedName name="K_mult_min">'Internal_params'!$B$3</definedName>
    <definedName name="K_mult_typ">'Internal_params'!$B$4</definedName>
    <definedName name="K_mult_x_HL">'NCL2801_calc_sheet'!$D$8</definedName>
    <definedName name="K_mult_x_LL">'NCL2801_calc_sheet'!$D$9</definedName>
    <definedName name="K_offset_100">'Internal_params'!$O$16</definedName>
    <definedName name="K_offset_180">'Internal_params'!$O$13</definedName>
    <definedName name="K_offset_x">'NCL2801_calc_sheet'!$D$10</definedName>
    <definedName name="Kbo">#REF!</definedName>
    <definedName name="L">#REF!</definedName>
    <definedName name="L_boost">'NCL2801_calc_sheet'!$D$34</definedName>
    <definedName name="Line_Det">'NCL2801_calc_sheet'!$D$4</definedName>
    <definedName name="N">#REF!</definedName>
    <definedName name="OPTN" localSheetId="2">'NCL2801_calc_sheet'!$T$73:$T$78</definedName>
    <definedName name="OPTN">#REF!</definedName>
    <definedName name="P_eff">'NCL2801_calc_sheet'!$D$17</definedName>
    <definedName name="P_out">'NCL2801_calc_sheet'!$D$18</definedName>
    <definedName name="Phi_m">'NCL2801_calc_sheet'!$D$24</definedName>
    <definedName name="Phi_plant_fco_max">'NCL2801_calc_sheet'!$D$64</definedName>
    <definedName name="Pout">#REF!</definedName>
    <definedName name="_xlnm.Print_Area" localSheetId="0">'Important_Notice_NCL2801'!$B$1:$X$55</definedName>
    <definedName name="_xlnm.Print_Area" localSheetId="2">'NCL2801_calc_sheet'!$A$1:$AH$115</definedName>
    <definedName name="R_cs">'NCL2801_calc_sheet'!$D$92</definedName>
    <definedName name="R_fb_1">'NCL2801_calc_sheet'!$D$43</definedName>
    <definedName name="R_fb_2">'NCL2801_calc_sheet'!$D$41</definedName>
    <definedName name="R_load_min">'NCL2801_calc_sheet'!$D$61</definedName>
    <definedName name="R_mult_bot">'NCL2801_calc_sheet'!$D$47</definedName>
    <definedName name="R_mult_top">'NCL2801_calc_sheet'!$D$48</definedName>
    <definedName name="R_sense">'NCL2801_calc_sheet'!$D$54</definedName>
    <definedName name="R_z">'NCL2801_calc_sheet'!$D$69</definedName>
    <definedName name="R_z_calc">'NCL2801_calc_sheet'!$D$66</definedName>
    <definedName name="Rbo_calc">#REF!</definedName>
    <definedName name="Rbo1">#REF!</definedName>
    <definedName name="Rbo2">#REF!</definedName>
    <definedName name="Rbo2cal">#REF!</definedName>
    <definedName name="Rbo2calc">#REF!</definedName>
    <definedName name="Rds_on">'NCL2801_calc_sheet'!$D$19</definedName>
    <definedName name="RdsON">#REF!</definedName>
    <definedName name="Rfb1">#REF!</definedName>
    <definedName name="Rfb2">#REF!</definedName>
    <definedName name="Rt">#REF!</definedName>
    <definedName name="T_hold_up">'NCL2801_calc_sheet'!$D$20</definedName>
    <definedName name="t_on_max">'NCL2801_calc_sheet'!$D$26</definedName>
    <definedName name="t_on_max_A2_max">'Internal_params'!$P$9</definedName>
    <definedName name="t_on_max_A2_min">'Internal_params'!$P$3</definedName>
    <definedName name="t_on_max_A2_typ">'Internal_params'!$P$4</definedName>
    <definedName name="ton_on_max_A2_min">'Internal_params'!$P$3</definedName>
    <definedName name="V_boh_max">'Internal_params'!$H$5</definedName>
    <definedName name="V_boh_min">'Internal_params'!$H$3</definedName>
    <definedName name="V_boh_typ">'Internal_params'!$H$4</definedName>
    <definedName name="V_bol_max">'Internal_params'!$H$9</definedName>
    <definedName name="V_bol_min">'Internal_params'!$H$7</definedName>
    <definedName name="V_bol_typ">'Internal_params'!$H$8</definedName>
    <definedName name="V_bulk_nom_verif">'NCL2801_calc_sheet'!$D$44</definedName>
    <definedName name="V_cs_ocp_HL_max">'Internal_params'!$E$9</definedName>
    <definedName name="V_cs_ocp_HL_min">'Internal_params'!$E$7</definedName>
    <definedName name="V_cs_ocp_HL_typ">'Internal_params'!$E$8</definedName>
    <definedName name="V_cs_ocp_LL_max">'Internal_params'!$E$13</definedName>
    <definedName name="V_cs_ocp_LL_min">'Internal_params'!$E$11</definedName>
    <definedName name="V_cs_ocp_LL_typ">'Internal_params'!$E$12</definedName>
    <definedName name="V_cs_ocp_max">'Internal_params'!$E$5</definedName>
    <definedName name="V_cs_ocp_min">'Internal_params'!$E$3</definedName>
    <definedName name="V_cs_ocp_typ">'Internal_params'!$E$4</definedName>
    <definedName name="V_hl_max">'Internal_params'!$K$5</definedName>
    <definedName name="V_hl_min">'Internal_params'!$K$3</definedName>
    <definedName name="V_hl_typ">'Internal_params'!$K$4</definedName>
    <definedName name="V_ll_max">'Internal_params'!$K$9</definedName>
    <definedName name="V_ll_min">'Internal_params'!$K$7</definedName>
    <definedName name="V_ll_typ">'Internal_params'!$K$8</definedName>
    <definedName name="V_out_min">'NCL2801_calc_sheet'!$D$21</definedName>
    <definedName name="V_out_nom">'NCL2801_calc_sheet'!$D$16</definedName>
    <definedName name="V_rms_HL">'NCL2801_calc_sheet'!$D$15</definedName>
    <definedName name="V_rms_LL">'NCL2801_calc_sheet'!$D$14</definedName>
    <definedName name="V_ton_pk">'Internal_params'!$O$10</definedName>
    <definedName name="VacBO">#REF!</definedName>
    <definedName name="VacBOH">#REF!</definedName>
    <definedName name="VacBOL">#REF!</definedName>
    <definedName name="VacHL">#REF!</definedName>
    <definedName name="VacLL">#REF!</definedName>
    <definedName name="VoutNOM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<sst xmlns="http://schemas.openxmlformats.org/spreadsheetml/2006/main" count="323" uniqueCount="265">
  <si>
    <t>Please enter your specification</t>
  </si>
  <si>
    <t>eff</t>
  </si>
  <si>
    <t>Maximum output power</t>
  </si>
  <si>
    <t>(V)</t>
  </si>
  <si>
    <t>(%)</t>
  </si>
  <si>
    <t>(W)</t>
  </si>
  <si>
    <t>(A)</t>
  </si>
  <si>
    <t>(nF)</t>
  </si>
  <si>
    <t>(ms)</t>
  </si>
  <si>
    <t>(Hz)</t>
  </si>
  <si>
    <t>(kHz)</t>
  </si>
  <si>
    <t>(mW)</t>
  </si>
  <si>
    <t>(°)</t>
  </si>
  <si>
    <t>Hold-up time. Put 0 if no hold-up time is specified or if you don't know</t>
  </si>
  <si>
    <t>Minimum output voltage you can accept at the end of the hold-up time - Don't fill this cell or put any value if no hold-up time is specified</t>
  </si>
  <si>
    <t>Bulk Capacitor  and Inductor</t>
  </si>
  <si>
    <t>L</t>
  </si>
  <si>
    <t>( - )</t>
  </si>
  <si>
    <t>Maximum current flowing through L</t>
  </si>
  <si>
    <t>Maximum rms current through L</t>
  </si>
  <si>
    <t xml:space="preserve">Feedback resistors </t>
  </si>
  <si>
    <t>E</t>
  </si>
  <si>
    <t>D</t>
  </si>
  <si>
    <t>F</t>
  </si>
  <si>
    <t>G</t>
  </si>
  <si>
    <t>H</t>
  </si>
  <si>
    <t>( ° )</t>
  </si>
  <si>
    <r>
      <t>Typical under-voltage protection on bulk capacitor voltage (V</t>
    </r>
    <r>
      <rPr>
        <b/>
        <vertAlign val="subscript"/>
        <sz val="11"/>
        <rFont val="Arial"/>
        <family val="2"/>
      </rPr>
      <t>bulk</t>
    </r>
    <r>
      <rPr>
        <b/>
        <sz val="11"/>
        <rFont val="Arial"/>
        <family val="2"/>
      </rPr>
      <t xml:space="preserve"> rising)</t>
    </r>
  </si>
  <si>
    <r>
      <t>Typical under-voltage protection on bulk capacitor voltage (V</t>
    </r>
    <r>
      <rPr>
        <b/>
        <vertAlign val="subscript"/>
        <sz val="11"/>
        <rFont val="Arial"/>
        <family val="2"/>
      </rPr>
      <t>bulk</t>
    </r>
    <r>
      <rPr>
        <b/>
        <sz val="11"/>
        <rFont val="Arial"/>
        <family val="2"/>
      </rPr>
      <t xml:space="preserve"> falling)</t>
    </r>
  </si>
  <si>
    <t>Application  schematic</t>
  </si>
  <si>
    <r>
      <t>f</t>
    </r>
    <r>
      <rPr>
        <vertAlign val="subscript"/>
        <sz val="18"/>
        <rFont val="Arial"/>
        <family val="2"/>
      </rPr>
      <t>ac</t>
    </r>
  </si>
  <si>
    <r>
      <t>V</t>
    </r>
    <r>
      <rPr>
        <vertAlign val="subscript"/>
        <sz val="18"/>
        <rFont val="Arial"/>
        <family val="2"/>
      </rPr>
      <t>out,nom</t>
    </r>
  </si>
  <si>
    <r>
      <t>P</t>
    </r>
    <r>
      <rPr>
        <vertAlign val="subscript"/>
        <sz val="18"/>
        <rFont val="Arial"/>
        <family val="2"/>
      </rPr>
      <t>out</t>
    </r>
  </si>
  <si>
    <r>
      <t>R</t>
    </r>
    <r>
      <rPr>
        <vertAlign val="subscript"/>
        <sz val="18"/>
        <rFont val="Arial"/>
        <family val="2"/>
      </rPr>
      <t>DS(on)</t>
    </r>
  </si>
  <si>
    <r>
      <t>T</t>
    </r>
    <r>
      <rPr>
        <vertAlign val="subscript"/>
        <sz val="18"/>
        <rFont val="Arial"/>
        <family val="2"/>
      </rPr>
      <t>hold-up</t>
    </r>
  </si>
  <si>
    <r>
      <t>V</t>
    </r>
    <r>
      <rPr>
        <vertAlign val="subscript"/>
        <sz val="18"/>
        <rFont val="Arial"/>
        <family val="2"/>
      </rPr>
      <t>out,min</t>
    </r>
  </si>
  <si>
    <r>
      <rPr>
        <sz val="18"/>
        <rFont val="Calibri"/>
        <family val="2"/>
      </rPr>
      <t>Δ</t>
    </r>
    <r>
      <rPr>
        <sz val="18"/>
        <rFont val="Arial"/>
        <family val="2"/>
      </rPr>
      <t>V</t>
    </r>
    <r>
      <rPr>
        <vertAlign val="subscript"/>
        <sz val="18"/>
        <rFont val="Arial"/>
        <family val="2"/>
      </rPr>
      <t>pk-pk</t>
    </r>
  </si>
  <si>
    <r>
      <t>F</t>
    </r>
    <r>
      <rPr>
        <vertAlign val="subscript"/>
        <sz val="18"/>
        <rFont val="Arial"/>
        <family val="2"/>
      </rPr>
      <t>c</t>
    </r>
  </si>
  <si>
    <r>
      <rPr>
        <sz val="18"/>
        <rFont val="Calibri"/>
        <family val="2"/>
      </rPr>
      <t>ф</t>
    </r>
    <r>
      <rPr>
        <b/>
        <vertAlign val="subscript"/>
        <sz val="18"/>
        <rFont val="Calibri"/>
        <family val="2"/>
      </rPr>
      <t>m</t>
    </r>
  </si>
  <si>
    <r>
      <t>t</t>
    </r>
    <r>
      <rPr>
        <vertAlign val="subscript"/>
        <sz val="18"/>
        <rFont val="Arial"/>
        <family val="2"/>
      </rPr>
      <t>ON,max</t>
    </r>
  </si>
  <si>
    <r>
      <t>C</t>
    </r>
    <r>
      <rPr>
        <vertAlign val="subscript"/>
        <sz val="18"/>
        <rFont val="Arial"/>
        <family val="2"/>
      </rPr>
      <t>bulk</t>
    </r>
  </si>
  <si>
    <r>
      <t>I</t>
    </r>
    <r>
      <rPr>
        <vertAlign val="subscript"/>
        <sz val="18"/>
        <rFont val="Arial"/>
        <family val="2"/>
      </rPr>
      <t>L,max</t>
    </r>
  </si>
  <si>
    <r>
      <t>I</t>
    </r>
    <r>
      <rPr>
        <vertAlign val="subscript"/>
        <sz val="18"/>
        <rFont val="Arial"/>
        <family val="2"/>
      </rPr>
      <t>L,rms</t>
    </r>
  </si>
  <si>
    <r>
      <t>F</t>
    </r>
    <r>
      <rPr>
        <vertAlign val="subscript"/>
        <sz val="18"/>
        <rFont val="Arial"/>
        <family val="2"/>
      </rPr>
      <t>sw,max</t>
    </r>
  </si>
  <si>
    <r>
      <t>R</t>
    </r>
    <r>
      <rPr>
        <vertAlign val="subscript"/>
        <sz val="18"/>
        <rFont val="Arial"/>
        <family val="2"/>
      </rPr>
      <t>fb2</t>
    </r>
  </si>
  <si>
    <r>
      <t>R</t>
    </r>
    <r>
      <rPr>
        <vertAlign val="subscript"/>
        <sz val="18"/>
        <rFont val="Arial"/>
        <family val="2"/>
      </rPr>
      <t>fb1,calc</t>
    </r>
  </si>
  <si>
    <r>
      <t>R</t>
    </r>
    <r>
      <rPr>
        <vertAlign val="subscript"/>
        <sz val="18"/>
        <rFont val="Arial"/>
        <family val="2"/>
      </rPr>
      <t>fb1</t>
    </r>
  </si>
  <si>
    <r>
      <t>C</t>
    </r>
    <r>
      <rPr>
        <vertAlign val="subscript"/>
        <sz val="18"/>
        <rFont val="Arial"/>
        <family val="2"/>
      </rPr>
      <t>p,calc</t>
    </r>
  </si>
  <si>
    <r>
      <t>C</t>
    </r>
    <r>
      <rPr>
        <vertAlign val="subscript"/>
        <sz val="18"/>
        <rFont val="Arial"/>
        <family val="2"/>
      </rPr>
      <t>p</t>
    </r>
  </si>
  <si>
    <r>
      <t>C</t>
    </r>
    <r>
      <rPr>
        <vertAlign val="subscript"/>
        <sz val="18"/>
        <rFont val="Arial"/>
        <family val="2"/>
      </rPr>
      <t>z,calc</t>
    </r>
  </si>
  <si>
    <r>
      <t>C</t>
    </r>
    <r>
      <rPr>
        <vertAlign val="subscript"/>
        <sz val="18"/>
        <rFont val="Arial"/>
        <family val="2"/>
      </rPr>
      <t>z</t>
    </r>
  </si>
  <si>
    <r>
      <t>R</t>
    </r>
    <r>
      <rPr>
        <vertAlign val="subscript"/>
        <sz val="18"/>
        <rFont val="Arial"/>
        <family val="2"/>
      </rPr>
      <t>z,calc</t>
    </r>
  </si>
  <si>
    <r>
      <t>R</t>
    </r>
    <r>
      <rPr>
        <vertAlign val="subscript"/>
        <sz val="18"/>
        <rFont val="Arial"/>
        <family val="2"/>
      </rPr>
      <t>z</t>
    </r>
  </si>
  <si>
    <r>
      <t>f</t>
    </r>
    <r>
      <rPr>
        <vertAlign val="subscript"/>
        <sz val="18"/>
        <rFont val="Arial"/>
        <family val="2"/>
      </rPr>
      <t>p0</t>
    </r>
  </si>
  <si>
    <r>
      <t>f</t>
    </r>
    <r>
      <rPr>
        <vertAlign val="subscript"/>
        <sz val="18"/>
        <rFont val="Arial"/>
        <family val="2"/>
      </rPr>
      <t>z</t>
    </r>
  </si>
  <si>
    <r>
      <t>f</t>
    </r>
    <r>
      <rPr>
        <vertAlign val="subscript"/>
        <sz val="18"/>
        <rFont val="Arial"/>
        <family val="2"/>
      </rPr>
      <t>p</t>
    </r>
  </si>
  <si>
    <r>
      <t>G</t>
    </r>
    <r>
      <rPr>
        <vertAlign val="subscript"/>
        <sz val="18"/>
        <rFont val="Arial"/>
        <family val="2"/>
      </rPr>
      <t>0</t>
    </r>
  </si>
  <si>
    <r>
      <t>V</t>
    </r>
    <r>
      <rPr>
        <vertAlign val="subscript"/>
        <sz val="18"/>
        <rFont val="Arial"/>
        <family val="2"/>
      </rPr>
      <t>bulk,UVP,H</t>
    </r>
  </si>
  <si>
    <r>
      <t>V</t>
    </r>
    <r>
      <rPr>
        <vertAlign val="subscript"/>
        <sz val="18"/>
        <rFont val="Arial"/>
        <family val="2"/>
      </rPr>
      <t>bulk,UVP,L</t>
    </r>
  </si>
  <si>
    <r>
      <t>R</t>
    </r>
    <r>
      <rPr>
        <vertAlign val="subscript"/>
        <sz val="18"/>
        <rFont val="Arial"/>
        <family val="2"/>
      </rPr>
      <t>sense</t>
    </r>
  </si>
  <si>
    <r>
      <t>(</t>
    </r>
    <r>
      <rPr>
        <sz val="18"/>
        <rFont val="Calibri"/>
        <family val="2"/>
      </rPr>
      <t>Ω)</t>
    </r>
  </si>
  <si>
    <r>
      <t>(</t>
    </r>
    <r>
      <rPr>
        <sz val="18"/>
        <rFont val="Calibri"/>
        <family val="2"/>
      </rPr>
      <t>μ</t>
    </r>
    <r>
      <rPr>
        <sz val="18"/>
        <rFont val="Arial"/>
        <family val="2"/>
      </rPr>
      <t>s)</t>
    </r>
  </si>
  <si>
    <r>
      <t>(</t>
    </r>
    <r>
      <rPr>
        <sz val="18"/>
        <rFont val="Calibri"/>
        <family val="2"/>
      </rPr>
      <t>μ</t>
    </r>
    <r>
      <rPr>
        <sz val="18"/>
        <rFont val="Arial"/>
        <family val="2"/>
      </rPr>
      <t>F)</t>
    </r>
  </si>
  <si>
    <r>
      <t>(</t>
    </r>
    <r>
      <rPr>
        <sz val="18"/>
        <rFont val="Calibri"/>
        <family val="2"/>
      </rPr>
      <t>μ</t>
    </r>
    <r>
      <rPr>
        <sz val="18"/>
        <rFont val="Arial"/>
        <family val="2"/>
      </rPr>
      <t>H)</t>
    </r>
  </si>
  <si>
    <r>
      <t>(k</t>
    </r>
    <r>
      <rPr>
        <sz val="18"/>
        <rFont val="Calibri"/>
        <family val="2"/>
      </rPr>
      <t>Ω)</t>
    </r>
  </si>
  <si>
    <r>
      <t>(m</t>
    </r>
    <r>
      <rPr>
        <sz val="18"/>
        <rFont val="Calibri"/>
        <family val="2"/>
      </rPr>
      <t>Ω)</t>
    </r>
  </si>
  <si>
    <r>
      <t>P</t>
    </r>
    <r>
      <rPr>
        <vertAlign val="subscript"/>
        <sz val="18"/>
        <rFont val="Arial"/>
        <family val="2"/>
      </rPr>
      <t>bridge</t>
    </r>
  </si>
  <si>
    <r>
      <t>P</t>
    </r>
    <r>
      <rPr>
        <vertAlign val="subscript"/>
        <sz val="18"/>
        <rFont val="Arial"/>
        <family val="2"/>
      </rPr>
      <t>on,Q1</t>
    </r>
  </si>
  <si>
    <r>
      <t>P</t>
    </r>
    <r>
      <rPr>
        <vertAlign val="subscript"/>
        <sz val="18"/>
        <rFont val="Arial"/>
        <family val="2"/>
      </rPr>
      <t>D1</t>
    </r>
  </si>
  <si>
    <t>Losses in boost diode D1 assuming a 1-V forward voltage</t>
  </si>
  <si>
    <r>
      <t>P</t>
    </r>
    <r>
      <rPr>
        <vertAlign val="subscript"/>
        <sz val="18"/>
        <rFont val="Arial"/>
        <family val="2"/>
      </rPr>
      <t>Rsense</t>
    </r>
  </si>
  <si>
    <t xml:space="preserve">Rsense conduction losses </t>
  </si>
  <si>
    <r>
      <t>I</t>
    </r>
    <r>
      <rPr>
        <vertAlign val="subscript"/>
        <sz val="18"/>
        <rFont val="Arial"/>
        <family val="2"/>
      </rPr>
      <t>Cbulk,rms,max</t>
    </r>
  </si>
  <si>
    <t>Ac line rms lowest level (generally 85 V or 90 V in wide mains application)</t>
  </si>
  <si>
    <t>MOSFET on-time resistance @25 °C</t>
  </si>
  <si>
    <r>
      <t>Your inductance choice. It is recommended to select it at least  25 % lower than L</t>
    </r>
    <r>
      <rPr>
        <b/>
        <i/>
        <vertAlign val="subscript"/>
        <sz val="11"/>
        <rFont val="Arial"/>
        <family val="2"/>
      </rPr>
      <t>calc</t>
    </r>
    <r>
      <rPr>
        <b/>
        <i/>
        <sz val="11"/>
        <rFont val="Arial"/>
        <family val="2"/>
      </rPr>
      <t xml:space="preserve"> for an healthy margin</t>
    </r>
  </si>
  <si>
    <r>
      <t>Your selection of  feedback resistor value  connected between FB pin and GND pin  (Maximum value allowed is 50 k</t>
    </r>
    <r>
      <rPr>
        <b/>
        <sz val="11"/>
        <rFont val="Calibri"/>
        <family val="2"/>
      </rPr>
      <t>Ω</t>
    </r>
    <r>
      <rPr>
        <b/>
        <i/>
        <sz val="11"/>
        <rFont val="Arial"/>
        <family val="2"/>
      </rPr>
      <t>)</t>
    </r>
  </si>
  <si>
    <r>
      <t>Calculated value of feedbcak resistor placed between  FB pin and C</t>
    </r>
    <r>
      <rPr>
        <b/>
        <vertAlign val="subscript"/>
        <sz val="11"/>
        <rFont val="Arial"/>
        <family val="2"/>
      </rPr>
      <t>bulk</t>
    </r>
    <r>
      <rPr>
        <b/>
        <sz val="11"/>
        <rFont val="Arial"/>
        <family val="2"/>
      </rPr>
      <t xml:space="preserve"> positive pin.</t>
    </r>
  </si>
  <si>
    <r>
      <t>Your selection  value of feedbcak resistor placed between  FB pin and C</t>
    </r>
    <r>
      <rPr>
        <b/>
        <vertAlign val="subscript"/>
        <sz val="11"/>
        <rFont val="Arial"/>
        <family val="2"/>
      </rPr>
      <t>bulk</t>
    </r>
    <r>
      <rPr>
        <b/>
        <sz val="11"/>
        <rFont val="Arial"/>
        <family val="2"/>
      </rPr>
      <t xml:space="preserve"> positive pin.</t>
    </r>
  </si>
  <si>
    <r>
      <t>V</t>
    </r>
    <r>
      <rPr>
        <vertAlign val="subscript"/>
        <sz val="18"/>
        <rFont val="Arial"/>
        <family val="2"/>
      </rPr>
      <t>rms,LL</t>
    </r>
  </si>
  <si>
    <r>
      <t>V</t>
    </r>
    <r>
      <rPr>
        <vertAlign val="subscript"/>
        <sz val="18"/>
        <rFont val="Arial"/>
        <family val="2"/>
      </rPr>
      <t>rms,HL</t>
    </r>
  </si>
  <si>
    <r>
      <t>V</t>
    </r>
    <r>
      <rPr>
        <vertAlign val="subscript"/>
        <sz val="18"/>
        <rFont val="Arial"/>
        <family val="2"/>
      </rPr>
      <t>rms,LL,th</t>
    </r>
  </si>
  <si>
    <r>
      <t>V</t>
    </r>
    <r>
      <rPr>
        <vertAlign val="subscript"/>
        <sz val="18"/>
        <rFont val="Arial"/>
        <family val="2"/>
      </rPr>
      <t>rms,HL,th</t>
    </r>
  </si>
  <si>
    <r>
      <t>V</t>
    </r>
    <r>
      <rPr>
        <vertAlign val="subscript"/>
        <sz val="18"/>
        <rFont val="Arial"/>
        <family val="2"/>
      </rPr>
      <t>rms,boH,th</t>
    </r>
  </si>
  <si>
    <r>
      <t>V</t>
    </r>
    <r>
      <rPr>
        <vertAlign val="subscript"/>
        <sz val="18"/>
        <rFont val="Arial"/>
        <family val="2"/>
      </rPr>
      <t>rms,boL,th</t>
    </r>
  </si>
  <si>
    <t>Freq</t>
  </si>
  <si>
    <t>Compensator_dB</t>
  </si>
  <si>
    <t>Compensator_deg</t>
  </si>
  <si>
    <r>
      <t>Please check that the maximum rms current value of the selected C</t>
    </r>
    <r>
      <rPr>
        <b/>
        <i/>
        <vertAlign val="subscript"/>
        <sz val="11"/>
        <rFont val="Arial"/>
        <family val="2"/>
      </rPr>
      <t xml:space="preserve">bulk </t>
    </r>
    <r>
      <rPr>
        <b/>
        <i/>
        <sz val="11"/>
        <rFont val="Arial"/>
        <family val="2"/>
      </rPr>
      <t>datasheet</t>
    </r>
    <r>
      <rPr>
        <b/>
        <i/>
        <vertAlign val="subscript"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exceeds this value (calculated with V</t>
    </r>
    <r>
      <rPr>
        <b/>
        <i/>
        <vertAlign val="subscript"/>
        <sz val="11"/>
        <rFont val="Arial"/>
        <family val="2"/>
      </rPr>
      <t xml:space="preserve">Cbulk </t>
    </r>
    <r>
      <rPr>
        <b/>
        <i/>
        <sz val="11"/>
        <rFont val="Arial"/>
        <family val="2"/>
      </rPr>
      <t>ripple at  2*f</t>
    </r>
    <r>
      <rPr>
        <b/>
        <i/>
        <vertAlign val="subscript"/>
        <sz val="11"/>
        <rFont val="Arial"/>
        <family val="2"/>
      </rPr>
      <t>ac</t>
    </r>
    <r>
      <rPr>
        <b/>
        <i/>
        <sz val="11"/>
        <rFont val="Arial"/>
        <family val="2"/>
      </rPr>
      <t xml:space="preserve"> frequency)</t>
    </r>
  </si>
  <si>
    <r>
      <t>f</t>
    </r>
    <r>
      <rPr>
        <vertAlign val="subscript"/>
        <sz val="18"/>
        <rFont val="Arial"/>
        <family val="2"/>
      </rPr>
      <t>plant</t>
    </r>
  </si>
  <si>
    <t xml:space="preserve">Calculated value of compensation capacitor placed between VCTRL pin and GND </t>
  </si>
  <si>
    <t>Calculated value of compensation capacitor placed between VCTRL pin and GND and in series with Rz</t>
  </si>
  <si>
    <t>Calculated value of compensation resistor placed between VCTRL pin and GND and in series with Cz</t>
  </si>
  <si>
    <r>
      <t>Nomalized values of C</t>
    </r>
    <r>
      <rPr>
        <b/>
        <vertAlign val="subscript"/>
        <sz val="16"/>
        <color indexed="9"/>
        <rFont val="Cambria"/>
        <family val="1"/>
      </rPr>
      <t>bulk</t>
    </r>
    <r>
      <rPr>
        <b/>
        <sz val="16"/>
        <color indexed="9"/>
        <rFont val="Cambria"/>
        <family val="1"/>
      </rPr>
      <t xml:space="preserve"> (in μF) for the drop down menu of the above sheet (do not modify)</t>
    </r>
  </si>
  <si>
    <t>Targeted regulation level for the output voltage (generally 390 V or 400 V or 450V when Vmains=305V in wide mains apps)</t>
  </si>
  <si>
    <t>Ac line rms highest level (generally 265 V  in wide or European  mains application or 305V for some lighting applications)</t>
  </si>
  <si>
    <r>
      <t>Peak to peak low frequency ripple acceptable across the bulk capacitor as a percentage of V</t>
    </r>
    <r>
      <rPr>
        <b/>
        <i/>
        <vertAlign val="subscript"/>
        <sz val="11"/>
        <rFont val="Arial"/>
        <family val="2"/>
      </rPr>
      <t>out,nom</t>
    </r>
    <r>
      <rPr>
        <b/>
        <i/>
        <sz val="11"/>
        <rFont val="Arial"/>
        <family val="2"/>
      </rPr>
      <t>. Choose 8 % if you don't know.</t>
    </r>
  </si>
  <si>
    <r>
      <t>Minimum C</t>
    </r>
    <r>
      <rPr>
        <b/>
        <i/>
        <vertAlign val="subscript"/>
        <sz val="11"/>
        <rFont val="Arial"/>
        <family val="2"/>
      </rPr>
      <t>bulk</t>
    </r>
    <r>
      <rPr>
        <b/>
        <i/>
        <sz val="11"/>
        <rFont val="Arial"/>
        <family val="2"/>
      </rPr>
      <t xml:space="preserve"> capacitance meeting the low frequency  ripple constraint</t>
    </r>
  </si>
  <si>
    <t>minimum Ac line frequency</t>
  </si>
  <si>
    <r>
      <t>C</t>
    </r>
    <r>
      <rPr>
        <vertAlign val="subscript"/>
        <sz val="18"/>
        <rFont val="Arial"/>
        <family val="2"/>
      </rPr>
      <t>bulk,min,1</t>
    </r>
  </si>
  <si>
    <r>
      <t>C</t>
    </r>
    <r>
      <rPr>
        <vertAlign val="subscript"/>
        <sz val="18"/>
        <rFont val="Arial"/>
        <family val="2"/>
      </rPr>
      <t>bulk,min,2</t>
    </r>
  </si>
  <si>
    <r>
      <t>Minimum C</t>
    </r>
    <r>
      <rPr>
        <b/>
        <i/>
        <vertAlign val="subscript"/>
        <sz val="11"/>
        <rFont val="Arial"/>
        <family val="2"/>
      </rPr>
      <t>bulk</t>
    </r>
    <r>
      <rPr>
        <b/>
        <i/>
        <sz val="11"/>
        <rFont val="Arial"/>
        <family val="2"/>
      </rPr>
      <t xml:space="preserve"> capacitance meeting the hold-up time</t>
    </r>
  </si>
  <si>
    <r>
      <t>Your C</t>
    </r>
    <r>
      <rPr>
        <b/>
        <i/>
        <vertAlign val="subscript"/>
        <sz val="11"/>
        <rFont val="Arial"/>
        <family val="2"/>
      </rPr>
      <t>bulk</t>
    </r>
    <r>
      <rPr>
        <b/>
        <i/>
        <sz val="11"/>
        <rFont val="Arial"/>
        <family val="2"/>
      </rPr>
      <t xml:space="preserve"> selection choosen using normalized values so it is greater than Cbulk,min,1 and Cbulk,min,2</t>
    </r>
  </si>
  <si>
    <t>Expected efficiency at low line, full load - use 95 % as a default value if you don't know</t>
  </si>
  <si>
    <r>
      <t>L</t>
    </r>
    <r>
      <rPr>
        <vertAlign val="subscript"/>
        <sz val="18"/>
        <rFont val="Arial"/>
        <family val="2"/>
      </rPr>
      <t>calc,1</t>
    </r>
  </si>
  <si>
    <t>Calculated maximum  L inductance allowing the full power delivery at min low line  voltage and maximum on-time (maximum inductance value)</t>
  </si>
  <si>
    <t>Switching frequency at low line, full load (top of the sinusoid) .. You can play with L value to modify Fsw,max</t>
  </si>
  <si>
    <r>
      <t>V</t>
    </r>
    <r>
      <rPr>
        <vertAlign val="subscript"/>
        <sz val="18"/>
        <rFont val="Arial"/>
        <family val="2"/>
      </rPr>
      <t>out,nom,verif</t>
    </r>
  </si>
  <si>
    <t>Vbulk nominal re-calculated versus selected feedback resistors values</t>
  </si>
  <si>
    <r>
      <t>R</t>
    </r>
    <r>
      <rPr>
        <vertAlign val="subscript"/>
        <sz val="18"/>
        <rFont val="Arial"/>
        <family val="2"/>
      </rPr>
      <t>load,min</t>
    </r>
  </si>
  <si>
    <t xml:space="preserve">MULT_pin  resistors </t>
  </si>
  <si>
    <r>
      <t>R</t>
    </r>
    <r>
      <rPr>
        <vertAlign val="subscript"/>
        <sz val="18"/>
        <rFont val="Arial"/>
        <family val="2"/>
      </rPr>
      <t>mult_bot</t>
    </r>
  </si>
  <si>
    <r>
      <t>R</t>
    </r>
    <r>
      <rPr>
        <vertAlign val="subscript"/>
        <sz val="18"/>
        <rFont val="Arial"/>
        <family val="2"/>
      </rPr>
      <t>mult_top</t>
    </r>
  </si>
  <si>
    <t>Resistor connected between MULT-pin and GND (recommended value)</t>
  </si>
  <si>
    <t>Total resistance value of series resistors connected between MULT-pin and rectified mains voltage</t>
  </si>
  <si>
    <r>
      <t>K</t>
    </r>
    <r>
      <rPr>
        <vertAlign val="subscript"/>
        <sz val="18"/>
        <rFont val="Arial"/>
        <family val="2"/>
      </rPr>
      <t>m</t>
    </r>
  </si>
  <si>
    <r>
      <t>(-</t>
    </r>
    <r>
      <rPr>
        <sz val="18"/>
        <rFont val="Calibri"/>
        <family val="2"/>
      </rPr>
      <t>)</t>
    </r>
  </si>
  <si>
    <t>Multiplying factor between Vin (mains rectified voltage) and MULT-pin voltage</t>
  </si>
  <si>
    <t>DC gain of the Control To Output transfer function (Plant) at Maximum Line voltage V_rms_HL</t>
  </si>
  <si>
    <t>Rsense  resistor</t>
  </si>
  <si>
    <t>AC load resistance at full load</t>
  </si>
  <si>
    <r>
      <t>G</t>
    </r>
    <r>
      <rPr>
        <vertAlign val="subscript"/>
        <sz val="18"/>
        <rFont val="Arial"/>
        <family val="2"/>
      </rPr>
      <t>plant_fco_max</t>
    </r>
  </si>
  <si>
    <t>( dB )</t>
  </si>
  <si>
    <t>Gplant,fco,max is the plant Gain in dB at the  maximum open-loop cross-over frequency fco,max which happens at maximum high line voltage</t>
  </si>
  <si>
    <r>
      <t xml:space="preserve">Calculating the Compensation  Network component values </t>
    </r>
    <r>
      <rPr>
        <b/>
        <sz val="12"/>
        <color indexed="10"/>
        <rFont val="Arial"/>
        <family val="2"/>
      </rPr>
      <t>(yellow boxes values appear in red when they deviate +/- 10% of the calculated value)</t>
    </r>
  </si>
  <si>
    <r>
      <t>Phi_</t>
    </r>
    <r>
      <rPr>
        <vertAlign val="subscript"/>
        <sz val="18"/>
        <rFont val="Arial"/>
        <family val="2"/>
      </rPr>
      <t>plant_fco_max</t>
    </r>
  </si>
  <si>
    <t>(deg )</t>
  </si>
  <si>
    <t>Phi_plant,fco,max is the plant Phase in deg at the  maximum open-loop cross-over frequency fco,max which happens at maximum high line voltage</t>
  </si>
  <si>
    <r>
      <t>K_</t>
    </r>
    <r>
      <rPr>
        <vertAlign val="subscript"/>
        <sz val="18"/>
        <rFont val="Arial"/>
        <family val="2"/>
      </rPr>
      <t>factor</t>
    </r>
  </si>
  <si>
    <t>Parameter to help calculate the compensation parameter values</t>
  </si>
  <si>
    <r>
      <t>Your selected  value (in k</t>
    </r>
    <r>
      <rPr>
        <b/>
        <sz val="11"/>
        <rFont val="Calibri"/>
        <family val="2"/>
      </rPr>
      <t>Ω</t>
    </r>
    <r>
      <rPr>
        <b/>
        <sz val="12.65"/>
        <rFont val="Arial"/>
        <family val="2"/>
      </rPr>
      <t>)</t>
    </r>
    <r>
      <rPr>
        <b/>
        <sz val="11"/>
        <rFont val="Arial"/>
        <family val="2"/>
      </rPr>
      <t xml:space="preserve">  of compensation resistor placed between VCTRL pin and GND and in series with Cz</t>
    </r>
  </si>
  <si>
    <r>
      <t xml:space="preserve">Your selected value (in </t>
    </r>
    <r>
      <rPr>
        <b/>
        <sz val="11"/>
        <rFont val="Calibri"/>
        <family val="2"/>
      </rPr>
      <t>μ</t>
    </r>
    <r>
      <rPr>
        <b/>
        <sz val="12.65"/>
        <rFont val="Arial"/>
        <family val="2"/>
      </rPr>
      <t>F)</t>
    </r>
    <r>
      <rPr>
        <b/>
        <sz val="11"/>
        <rFont val="Arial"/>
        <family val="2"/>
      </rPr>
      <t xml:space="preserve"> of compensation capacitor placed between VCTRL pin and GND and in series with Rz</t>
    </r>
  </si>
  <si>
    <t>Your selected value (in nF) of compensation capacitor placed between VCTRL pin and GND</t>
  </si>
  <si>
    <t>High Line and Low Line Detection Thesholds on Vmains when Line detection option is activated</t>
  </si>
  <si>
    <t>Line Brown-out thresholds values  on Vmains when Brown_out option is activated</t>
  </si>
  <si>
    <t>CrM to DCM  threshold set by external  1% Rcs resistor placed between  CS pin and Rsense</t>
  </si>
  <si>
    <r>
      <t>R</t>
    </r>
    <r>
      <rPr>
        <vertAlign val="subscript"/>
        <sz val="18"/>
        <rFont val="Arial"/>
        <family val="2"/>
      </rPr>
      <t>cs</t>
    </r>
  </si>
  <si>
    <r>
      <t>V</t>
    </r>
    <r>
      <rPr>
        <vertAlign val="subscript"/>
        <sz val="18"/>
        <rFont val="Arial"/>
        <family val="2"/>
      </rPr>
      <t>CTRL,th,12</t>
    </r>
  </si>
  <si>
    <r>
      <t>V</t>
    </r>
    <r>
      <rPr>
        <vertAlign val="subscript"/>
        <sz val="18"/>
        <rFont val="Arial"/>
        <family val="2"/>
      </rPr>
      <t>CTRL,th,21</t>
    </r>
  </si>
  <si>
    <t>Typical VCTRL pin   CrM to DCM 'Valley#1 to valley#2)  threshold voltage (Vctrl decreasing))</t>
  </si>
  <si>
    <t>Typical VCTRL pin   CrM to DCM 'Valley#2 to valley#1)  threshold voltage (Vctrl increasing))</t>
  </si>
  <si>
    <r>
      <t xml:space="preserve">Chose Rcs value in the following list </t>
    </r>
    <r>
      <rPr>
        <b/>
        <sz val="16"/>
        <rFont val="Arial"/>
        <family val="2"/>
      </rPr>
      <t>[1000,620,330,150]</t>
    </r>
  </si>
  <si>
    <t>Undervoltage Protection (UVP) for Vbulk</t>
  </si>
  <si>
    <r>
      <t>Q1 conduction losses assuming R</t>
    </r>
    <r>
      <rPr>
        <b/>
        <vertAlign val="subscript"/>
        <sz val="11"/>
        <rFont val="Arial"/>
        <family val="2"/>
      </rPr>
      <t>DS(on)</t>
    </r>
    <r>
      <rPr>
        <b/>
        <sz val="11"/>
        <rFont val="Arial"/>
        <family val="2"/>
      </rPr>
      <t xml:space="preserve"> doubles at the highest junction temperature of your application</t>
    </r>
  </si>
  <si>
    <t>Main Conduction Losses at max power and  minimum mains voltage</t>
  </si>
  <si>
    <t>Diode bridge losses  assuming a 1-V forward voltage for each diode</t>
  </si>
  <si>
    <t>Maximum Current-Sense Resistor placed between Power MOSFET source and GND  so the Low Line OCP voltage threshold is not triggered</t>
  </si>
  <si>
    <t>Your selected Sense resistor value</t>
  </si>
  <si>
    <t>Power dissipated by MULT pin resistors in standby mode and max mains voltage</t>
  </si>
  <si>
    <r>
      <t>P</t>
    </r>
    <r>
      <rPr>
        <vertAlign val="subscript"/>
        <sz val="18"/>
        <rFont val="Arial"/>
        <family val="2"/>
      </rPr>
      <t>FB,bridge</t>
    </r>
  </si>
  <si>
    <r>
      <t>P</t>
    </r>
    <r>
      <rPr>
        <vertAlign val="subscript"/>
        <sz val="18"/>
        <rFont val="Arial"/>
        <family val="2"/>
      </rPr>
      <t>MULT,bridge</t>
    </r>
  </si>
  <si>
    <t xml:space="preserve">Power dissipated by FB pin resistors </t>
  </si>
  <si>
    <t>Pole frequency of the PFC boost converter at full load (not Vmains dependent)</t>
  </si>
  <si>
    <r>
      <t>Frequency of the zero obtained with choosen C</t>
    </r>
    <r>
      <rPr>
        <b/>
        <vertAlign val="subscript"/>
        <sz val="11"/>
        <color indexed="8"/>
        <rFont val="Arial"/>
        <family val="2"/>
      </rPr>
      <t>z</t>
    </r>
    <r>
      <rPr>
        <b/>
        <sz val="11"/>
        <color indexed="8"/>
        <rFont val="Arial"/>
        <family val="2"/>
      </rPr>
      <t xml:space="preserve"> and R</t>
    </r>
    <r>
      <rPr>
        <b/>
        <vertAlign val="subscript"/>
        <sz val="11"/>
        <color indexed="8"/>
        <rFont val="Arial"/>
        <family val="2"/>
      </rPr>
      <t>z</t>
    </r>
    <r>
      <rPr>
        <b/>
        <sz val="11"/>
        <color indexed="8"/>
        <rFont val="Arial"/>
        <family val="2"/>
      </rPr>
      <t xml:space="preserve"> values</t>
    </r>
  </si>
  <si>
    <r>
      <t>Frequency of high frequency pole obtained with choosen C</t>
    </r>
    <r>
      <rPr>
        <b/>
        <vertAlign val="sub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>, C</t>
    </r>
    <r>
      <rPr>
        <b/>
        <vertAlign val="subscript"/>
        <sz val="11"/>
        <color indexed="8"/>
        <rFont val="Arial"/>
        <family val="2"/>
      </rPr>
      <t>z</t>
    </r>
    <r>
      <rPr>
        <b/>
        <sz val="11"/>
        <color indexed="8"/>
        <rFont val="Arial"/>
        <family val="2"/>
      </rPr>
      <t xml:space="preserve"> and R</t>
    </r>
    <r>
      <rPr>
        <b/>
        <vertAlign val="subscript"/>
        <sz val="11"/>
        <color indexed="8"/>
        <rFont val="Arial"/>
        <family val="2"/>
      </rPr>
      <t>z</t>
    </r>
  </si>
  <si>
    <r>
      <t>Frequency of the origin pole obtained with choosen C</t>
    </r>
    <r>
      <rPr>
        <b/>
        <vertAlign val="subscript"/>
        <sz val="11"/>
        <color indexed="8"/>
        <rFont val="Arial"/>
        <family val="2"/>
      </rPr>
      <t xml:space="preserve">z </t>
    </r>
    <r>
      <rPr>
        <b/>
        <sz val="11"/>
        <color indexed="8"/>
        <rFont val="Arial"/>
        <family val="2"/>
      </rPr>
      <t>and C</t>
    </r>
    <r>
      <rPr>
        <b/>
        <vertAlign val="sub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values</t>
    </r>
  </si>
  <si>
    <r>
      <t>G</t>
    </r>
    <r>
      <rPr>
        <vertAlign val="subscript"/>
        <sz val="18"/>
        <rFont val="Arial"/>
        <family val="2"/>
      </rPr>
      <t>0,HL,max</t>
    </r>
  </si>
  <si>
    <r>
      <t>G</t>
    </r>
    <r>
      <rPr>
        <vertAlign val="subscript"/>
        <sz val="18"/>
        <rFont val="Arial"/>
        <family val="2"/>
      </rPr>
      <t>0,LL,min</t>
    </r>
  </si>
  <si>
    <t>DC gain of the Control To Output transfer function (Plant) for maximum HL voltage</t>
  </si>
  <si>
    <t>DC gain of the Control To Output transfer function (Plant) for minimum LL voltage</t>
  </si>
  <si>
    <t>Plant_LL_min_dB</t>
  </si>
  <si>
    <t>Plant_LL_min_deg</t>
  </si>
  <si>
    <t>Plant_HL_max_dB</t>
  </si>
  <si>
    <t>Plant_HL_max_deg</t>
  </si>
  <si>
    <t>Open Loop_LL_min_dB</t>
  </si>
  <si>
    <t>Open Loop_LL_min_deg</t>
  </si>
  <si>
    <t>Open Loop_HL_max_dB</t>
  </si>
  <si>
    <t>Open Loop_HL_max_deg</t>
  </si>
  <si>
    <r>
      <t>F</t>
    </r>
    <r>
      <rPr>
        <vertAlign val="subscript"/>
        <sz val="18"/>
        <rFont val="Arial"/>
        <family val="2"/>
      </rPr>
      <t>c,final,HL,max</t>
    </r>
  </si>
  <si>
    <r>
      <rPr>
        <sz val="18"/>
        <rFont val="Calibri"/>
        <family val="2"/>
      </rPr>
      <t>ф</t>
    </r>
    <r>
      <rPr>
        <b/>
        <vertAlign val="subscript"/>
        <sz val="18"/>
        <rFont val="Calibri"/>
        <family val="2"/>
      </rPr>
      <t>m,final,HL,max</t>
    </r>
  </si>
  <si>
    <r>
      <t>F</t>
    </r>
    <r>
      <rPr>
        <vertAlign val="subscript"/>
        <sz val="18"/>
        <rFont val="Arial"/>
        <family val="2"/>
      </rPr>
      <t>c,final,LL,min</t>
    </r>
  </si>
  <si>
    <r>
      <rPr>
        <sz val="18"/>
        <rFont val="Calibri"/>
        <family val="2"/>
      </rPr>
      <t>ф</t>
    </r>
    <r>
      <rPr>
        <b/>
        <vertAlign val="subscript"/>
        <sz val="18"/>
        <rFont val="Calibri"/>
        <family val="2"/>
      </rPr>
      <t>m,final,LL,min</t>
    </r>
  </si>
  <si>
    <t xml:space="preserve">          Plant_LL_min</t>
  </si>
  <si>
    <t xml:space="preserve">       Plant_HL_max</t>
  </si>
  <si>
    <t xml:space="preserve">        Compensator</t>
  </si>
  <si>
    <t xml:space="preserve">    Open Loop _LL_min</t>
  </si>
  <si>
    <t xml:space="preserve">       Open Loop _HL_max</t>
  </si>
  <si>
    <t xml:space="preserve">Max HL Voltage      = </t>
  </si>
  <si>
    <t>V rms</t>
  </si>
  <si>
    <t>Min LL Voltage       =</t>
  </si>
  <si>
    <t>Note: To validate the final open loop cross-over frequency and phase margin, have a look at the Spreadsheet Tab named Bode_Plots</t>
  </si>
  <si>
    <t>NCL2801  Design Tool for an application using Auxilliary winding for ZCD detection</t>
  </si>
  <si>
    <t>Plots of Small Signal Transfer Functions (BODE PLOTS)</t>
  </si>
  <si>
    <t>TO BE ADDED !!!</t>
  </si>
  <si>
    <t>xxxxxxxxxxxxxxxxxxx  END OF SPREADSHEET xxxxxxxxxxxxxxxxxxxxxxxxxxxxxxxxxxx</t>
  </si>
  <si>
    <t>FIND_LL</t>
  </si>
  <si>
    <t>FIND_HL</t>
  </si>
  <si>
    <t>Fco_LL</t>
  </si>
  <si>
    <t>Fco_HL</t>
  </si>
  <si>
    <t>Phi_m_LL</t>
  </si>
  <si>
    <t>Phi_m_HL</t>
  </si>
  <si>
    <t>Final High-Line phase margin from data points</t>
  </si>
  <si>
    <t>Final Low-Line phase margin from data points</t>
  </si>
  <si>
    <t xml:space="preserve">Final High-Line cross-over frequency from data points </t>
  </si>
  <si>
    <t xml:space="preserve">Final Low-Line cross-over frequency from data points </t>
  </si>
  <si>
    <t>K_mult_min</t>
  </si>
  <si>
    <t>K_mult_typ</t>
  </si>
  <si>
    <t>K_mult_max</t>
  </si>
  <si>
    <t>K_mult_HL_min</t>
  </si>
  <si>
    <t>K_mult_HL_typ</t>
  </si>
  <si>
    <t>K_mult_HL_max</t>
  </si>
  <si>
    <t>K_mult_LL_min</t>
  </si>
  <si>
    <t>K_mult_LL_typ</t>
  </si>
  <si>
    <t>K_mult_LL_max</t>
  </si>
  <si>
    <t>MULTIPLIER GAINS</t>
  </si>
  <si>
    <t>Line Detection Option</t>
  </si>
  <si>
    <r>
      <t>K</t>
    </r>
    <r>
      <rPr>
        <vertAlign val="subscript"/>
        <sz val="18"/>
        <rFont val="Arial"/>
        <family val="2"/>
      </rPr>
      <t>_mult_x_HL</t>
    </r>
  </si>
  <si>
    <r>
      <t>K</t>
    </r>
    <r>
      <rPr>
        <vertAlign val="subscript"/>
        <sz val="18"/>
        <rFont val="Arial"/>
        <family val="2"/>
      </rPr>
      <t>_mult_x_LL</t>
    </r>
  </si>
  <si>
    <t>Internal multiplier gain for High Line or  for whole line range depending on option selected</t>
  </si>
  <si>
    <t>Internal multiplier gain for Low Line or  for whole line range depending on option selected</t>
  </si>
  <si>
    <r>
      <t>Frequency of the origin pole obtained with choosen C</t>
    </r>
    <r>
      <rPr>
        <b/>
        <vertAlign val="subscript"/>
        <sz val="11"/>
        <color indexed="8"/>
        <rFont val="Arial"/>
        <family val="2"/>
      </rPr>
      <t xml:space="preserve">z </t>
    </r>
    <r>
      <rPr>
        <b/>
        <sz val="11"/>
        <color indexed="8"/>
        <rFont val="Arial"/>
        <family val="2"/>
      </rPr>
      <t>and C</t>
    </r>
    <r>
      <rPr>
        <b/>
        <vertAlign val="sub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values (not Vmains dependent)</t>
    </r>
  </si>
  <si>
    <r>
      <t>Frequency of the zero obtained with choosen C</t>
    </r>
    <r>
      <rPr>
        <b/>
        <vertAlign val="subscript"/>
        <sz val="11"/>
        <color indexed="8"/>
        <rFont val="Arial"/>
        <family val="2"/>
      </rPr>
      <t>z</t>
    </r>
    <r>
      <rPr>
        <b/>
        <sz val="11"/>
        <color indexed="8"/>
        <rFont val="Arial"/>
        <family val="2"/>
      </rPr>
      <t xml:space="preserve"> and R</t>
    </r>
    <r>
      <rPr>
        <b/>
        <vertAlign val="subscript"/>
        <sz val="11"/>
        <color indexed="8"/>
        <rFont val="Arial"/>
        <family val="2"/>
      </rPr>
      <t>z</t>
    </r>
    <r>
      <rPr>
        <b/>
        <sz val="11"/>
        <color indexed="8"/>
        <rFont val="Arial"/>
        <family val="2"/>
      </rPr>
      <t xml:space="preserve"> values (not Vmains dependent)</t>
    </r>
  </si>
  <si>
    <r>
      <t xml:space="preserve">Frequency of high frequency pole obtained with choosen Cp, Cz and Rz </t>
    </r>
    <r>
      <rPr>
        <b/>
        <sz val="11"/>
        <color indexed="8"/>
        <rFont val="Arial"/>
        <family val="2"/>
      </rPr>
      <t xml:space="preserve"> (not Vmains dependent)</t>
    </r>
  </si>
  <si>
    <r>
      <t>Targeted crossover Frequency @ maximum V</t>
    </r>
    <r>
      <rPr>
        <b/>
        <i/>
        <vertAlign val="subscript"/>
        <sz val="11"/>
        <rFont val="Arial"/>
        <family val="2"/>
      </rPr>
      <t>acHL or maximum Vline</t>
    </r>
    <r>
      <rPr>
        <b/>
        <i/>
        <sz val="11"/>
        <rFont val="Arial"/>
        <family val="2"/>
      </rPr>
      <t>, full load .You can use 10Hz by default</t>
    </r>
  </si>
  <si>
    <r>
      <t>Phase margin @ V</t>
    </r>
    <r>
      <rPr>
        <b/>
        <i/>
        <vertAlign val="subscript"/>
        <sz val="11"/>
        <rFont val="Arial"/>
        <family val="2"/>
      </rPr>
      <t xml:space="preserve">acHL </t>
    </r>
    <r>
      <rPr>
        <b/>
        <i/>
        <sz val="11"/>
        <rFont val="Arial"/>
        <family val="2"/>
      </rPr>
      <t>,or maximum Vline, full load. You can use 60 ° by default</t>
    </r>
  </si>
  <si>
    <t>Pole frequency of the PFC boost converter at full load (not Vmains dependent, the DC gain G0 is Vmaibns dependent)</t>
  </si>
  <si>
    <t>OVER CURRENT PROTECTION</t>
  </si>
  <si>
    <t>V_cs_ocp_min</t>
  </si>
  <si>
    <t>V_cs_ocp_typ</t>
  </si>
  <si>
    <t>V_cs_ocp_max</t>
  </si>
  <si>
    <t>V_cs_ocp_HL_min</t>
  </si>
  <si>
    <t>V_cs_ocp_HL_typ</t>
  </si>
  <si>
    <t>V_cs_ocp_HL_max</t>
  </si>
  <si>
    <t>V_cs_ocp_LL_min</t>
  </si>
  <si>
    <t>V_cs_ocp_LL_typ</t>
  </si>
  <si>
    <t>V_cs_ocp_LL_max</t>
  </si>
  <si>
    <t>Brown-out Option</t>
  </si>
  <si>
    <t>Enter 1 if Brown-out detection option is used, 0 if not</t>
  </si>
  <si>
    <t>Enter 1 if Line detection option is used, 0 if not</t>
  </si>
  <si>
    <t>V_boh_min</t>
  </si>
  <si>
    <t>V_boh_typ</t>
  </si>
  <si>
    <t>V_boh_max</t>
  </si>
  <si>
    <t>V_bol_min</t>
  </si>
  <si>
    <t>V_bol_typ</t>
  </si>
  <si>
    <t>V_bol_max</t>
  </si>
  <si>
    <t>BROWN-OUT THRESHOLDS</t>
  </si>
  <si>
    <t>Typical line rms voltage above which switching is actived (Brown-in)  (if activated in product option, if not, result gives 0V)</t>
  </si>
  <si>
    <t>Typical line rms voltage under which switching is stop (Brown-out) (if activated in product option, if not, result gives 0V)</t>
  </si>
  <si>
    <t>LINE DETECTION THRESHOLDS</t>
  </si>
  <si>
    <t>V_hl_min</t>
  </si>
  <si>
    <t>V_hl_typ</t>
  </si>
  <si>
    <t>V_hl_max</t>
  </si>
  <si>
    <t>V_ll_min</t>
  </si>
  <si>
    <t>V_ll_typ</t>
  </si>
  <si>
    <t>V_ll_max</t>
  </si>
  <si>
    <t>Typical line rms voltage under which the Low Line (LL)  flag is activated when Line detec option is activated, if not, result gives 0V.</t>
  </si>
  <si>
    <t>Typical line rms voltage above which the Low Line (HL)  flag is activated when Line Detect Option is activated, if not, result gives 0V</t>
  </si>
  <si>
    <t>Minimum of maximum on-time at Vctrl,max</t>
  </si>
  <si>
    <t>MAX ON TIME</t>
  </si>
  <si>
    <t>t_on_max_A2_min</t>
  </si>
  <si>
    <t>t_on_max_A2_typ</t>
  </si>
  <si>
    <t>t_on_max_A2_max</t>
  </si>
  <si>
    <r>
      <t>R</t>
    </r>
    <r>
      <rPr>
        <vertAlign val="subscript"/>
        <sz val="18"/>
        <rFont val="Arial"/>
        <family val="2"/>
      </rPr>
      <t>sense,calc,OCP</t>
    </r>
  </si>
  <si>
    <r>
      <t>R</t>
    </r>
    <r>
      <rPr>
        <vertAlign val="subscript"/>
        <sz val="18"/>
        <rFont val="Arial"/>
        <family val="2"/>
      </rPr>
      <t>sense,calc,Max Power</t>
    </r>
  </si>
  <si>
    <t>Maximum Current-Sense Resistor placed between Power MOSFET source and GND  so maximum output power can be delivered at Vmains Low Line Min or Vmains min if no Line Level detection.</t>
  </si>
  <si>
    <r>
      <t>K</t>
    </r>
    <r>
      <rPr>
        <vertAlign val="subscript"/>
        <sz val="18"/>
        <rFont val="Arial"/>
        <family val="2"/>
      </rPr>
      <t>_offset_x</t>
    </r>
  </si>
  <si>
    <t>Internal parameter used for THD enhancement which value depends on Line Level detect optionactive or not</t>
  </si>
  <si>
    <t>V_ton_pk</t>
  </si>
  <si>
    <t>K_offset_180</t>
  </si>
  <si>
    <t>K_offset_100</t>
  </si>
  <si>
    <t>Rzcd  resistor</t>
  </si>
  <si>
    <r>
      <t>N</t>
    </r>
    <r>
      <rPr>
        <vertAlign val="subscript"/>
        <sz val="18"/>
        <rFont val="Arial"/>
        <family val="2"/>
      </rPr>
      <t xml:space="preserve">aux </t>
    </r>
    <r>
      <rPr>
        <sz val="18"/>
        <rFont val="Arial"/>
        <family val="2"/>
      </rPr>
      <t>/ N</t>
    </r>
    <r>
      <rPr>
        <vertAlign val="subscript"/>
        <sz val="18"/>
        <rFont val="Arial"/>
        <family val="2"/>
      </rPr>
      <t>prim</t>
    </r>
  </si>
  <si>
    <t>Auxilliary over primary winding turns ratio  (0.1 is a recommended value )</t>
  </si>
  <si>
    <r>
      <t>R</t>
    </r>
    <r>
      <rPr>
        <vertAlign val="subscript"/>
        <sz val="18"/>
        <rFont val="Arial"/>
        <family val="2"/>
      </rPr>
      <t>ZCD,min</t>
    </r>
  </si>
  <si>
    <t>Minumum value of resistor Rzcd  placed between auxilliary winding and ZCD pin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</si>
</sst>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[$-40C]dddd\ d\ mmmm\ yyyy"/>
    <numFmt numFmtId="181" formatCode="00000"/>
    <numFmt numFmtId="182" formatCode="0.E+00"/>
  </numFmts>
  <fonts count="11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22"/>
      <name val="Arial"/>
      <family val="2"/>
    </font>
    <font>
      <b/>
      <i/>
      <vertAlign val="subscript"/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vertAlign val="subscript"/>
      <sz val="1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vertAlign val="subscript"/>
      <sz val="18"/>
      <name val="Arial"/>
      <family val="2"/>
    </font>
    <font>
      <b/>
      <sz val="18"/>
      <name val="Calibri"/>
      <family val="2"/>
    </font>
    <font>
      <b/>
      <vertAlign val="subscript"/>
      <sz val="1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9"/>
      <name val="Cambria"/>
      <family val="1"/>
    </font>
    <font>
      <b/>
      <vertAlign val="subscript"/>
      <sz val="16"/>
      <color indexed="9"/>
      <name val="Cambria"/>
      <family val="1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2.65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Cambria"/>
      <family val="1"/>
    </font>
    <font>
      <b/>
      <sz val="22"/>
      <color indexed="9"/>
      <name val="Arial"/>
      <family val="2"/>
    </font>
    <font>
      <sz val="18"/>
      <color indexed="9"/>
      <name val="Cambria"/>
      <family val="1"/>
    </font>
    <font>
      <sz val="18"/>
      <color indexed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Calibri"/>
      <family val="2"/>
    </font>
    <font>
      <b/>
      <u val="single"/>
      <sz val="12"/>
      <color indexed="12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4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2"/>
      <color theme="0"/>
      <name val="Cambria"/>
      <family val="1"/>
    </font>
    <font>
      <b/>
      <sz val="22"/>
      <color theme="0"/>
      <name val="Arial"/>
      <family val="2"/>
    </font>
    <font>
      <b/>
      <sz val="16"/>
      <color theme="0"/>
      <name val="Cambria"/>
      <family val="1"/>
    </font>
    <font>
      <sz val="18"/>
      <color theme="0"/>
      <name val="Cambria"/>
      <family val="1"/>
    </font>
    <font>
      <sz val="18"/>
      <color theme="1"/>
      <name val="Arial"/>
      <family val="2"/>
    </font>
    <font>
      <b/>
      <sz val="22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FF00FF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2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4" fillId="33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172" fontId="14" fillId="0" borderId="0" xfId="0" applyNumberFormat="1" applyFont="1" applyAlignment="1" applyProtection="1">
      <alignment horizontal="center"/>
      <protection hidden="1"/>
    </xf>
    <xf numFmtId="0" fontId="16" fillId="34" borderId="1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17" fillId="34" borderId="11" xfId="0" applyFont="1" applyFill="1" applyBorder="1" applyAlignment="1" applyProtection="1">
      <alignment/>
      <protection hidden="1"/>
    </xf>
    <xf numFmtId="0" fontId="17" fillId="34" borderId="10" xfId="0" applyFont="1" applyFill="1" applyBorder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7" fillId="34" borderId="12" xfId="0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2" fillId="34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01" fillId="0" borderId="0" xfId="0" applyFont="1" applyFill="1" applyBorder="1" applyAlignment="1" applyProtection="1">
      <alignment horizontal="center"/>
      <protection hidden="1"/>
    </xf>
    <xf numFmtId="2" fontId="101" fillId="0" borderId="0" xfId="0" applyNumberFormat="1" applyFont="1" applyFill="1" applyBorder="1" applyAlignment="1" applyProtection="1">
      <alignment horizontal="center"/>
      <protection hidden="1"/>
    </xf>
    <xf numFmtId="0" fontId="102" fillId="0" borderId="0" xfId="0" applyFont="1" applyFill="1" applyBorder="1" applyAlignment="1" applyProtection="1">
      <alignment/>
      <protection hidden="1"/>
    </xf>
    <xf numFmtId="0" fontId="103" fillId="0" borderId="0" xfId="0" applyFont="1" applyFill="1" applyAlignment="1" applyProtection="1">
      <alignment wrapText="1"/>
      <protection hidden="1"/>
    </xf>
    <xf numFmtId="0" fontId="104" fillId="0" borderId="0" xfId="0" applyFont="1" applyFill="1" applyAlignment="1" applyProtection="1">
      <alignment/>
      <protection hidden="1"/>
    </xf>
    <xf numFmtId="0" fontId="14" fillId="35" borderId="13" xfId="0" applyFont="1" applyFill="1" applyBorder="1" applyAlignment="1" applyProtection="1">
      <alignment horizontal="center"/>
      <protection locked="0"/>
    </xf>
    <xf numFmtId="0" fontId="14" fillId="35" borderId="13" xfId="0" applyFont="1" applyFill="1" applyBorder="1" applyAlignment="1" applyProtection="1">
      <alignment horizontal="center"/>
      <protection hidden="1"/>
    </xf>
    <xf numFmtId="1" fontId="14" fillId="34" borderId="13" xfId="0" applyNumberFormat="1" applyFont="1" applyFill="1" applyBorder="1" applyAlignment="1" applyProtection="1">
      <alignment horizontal="center"/>
      <protection hidden="1"/>
    </xf>
    <xf numFmtId="0" fontId="14" fillId="35" borderId="13" xfId="0" applyFont="1" applyFill="1" applyBorder="1" applyAlignment="1">
      <alignment horizontal="center"/>
    </xf>
    <xf numFmtId="2" fontId="14" fillId="34" borderId="13" xfId="0" applyNumberFormat="1" applyFont="1" applyFill="1" applyBorder="1" applyAlignment="1" applyProtection="1">
      <alignment horizontal="center"/>
      <protection hidden="1"/>
    </xf>
    <xf numFmtId="172" fontId="14" fillId="34" borderId="13" xfId="0" applyNumberFormat="1" applyFont="1" applyFill="1" applyBorder="1" applyAlignment="1" applyProtection="1">
      <alignment horizontal="center"/>
      <protection hidden="1"/>
    </xf>
    <xf numFmtId="1" fontId="105" fillId="34" borderId="13" xfId="0" applyNumberFormat="1" applyFont="1" applyFill="1" applyBorder="1" applyAlignment="1" applyProtection="1">
      <alignment horizontal="center"/>
      <protection hidden="1"/>
    </xf>
    <xf numFmtId="0" fontId="14" fillId="34" borderId="13" xfId="0" applyFont="1" applyFill="1" applyBorder="1" applyAlignment="1" applyProtection="1">
      <alignment horizontal="center"/>
      <protection hidden="1"/>
    </xf>
    <xf numFmtId="1" fontId="14" fillId="34" borderId="13" xfId="0" applyNumberFormat="1" applyFont="1" applyFill="1" applyBorder="1" applyAlignment="1" applyProtection="1">
      <alignment horizontal="center"/>
      <protection/>
    </xf>
    <xf numFmtId="11" fontId="14" fillId="34" borderId="13" xfId="0" applyNumberFormat="1" applyFont="1" applyFill="1" applyBorder="1" applyAlignment="1" applyProtection="1">
      <alignment/>
      <protection hidden="1"/>
    </xf>
    <xf numFmtId="0" fontId="106" fillId="0" borderId="0" xfId="0" applyFont="1" applyAlignment="1" applyProtection="1">
      <alignment/>
      <protection hidden="1"/>
    </xf>
    <xf numFmtId="1" fontId="14" fillId="34" borderId="14" xfId="0" applyNumberFormat="1" applyFont="1" applyFill="1" applyBorder="1" applyAlignment="1" applyProtection="1">
      <alignment horizontal="center"/>
      <protection hidden="1"/>
    </xf>
    <xf numFmtId="177" fontId="14" fillId="34" borderId="13" xfId="0" applyNumberFormat="1" applyFont="1" applyFill="1" applyBorder="1" applyAlignment="1" applyProtection="1">
      <alignment horizontal="center"/>
      <protection hidden="1"/>
    </xf>
    <xf numFmtId="0" fontId="107" fillId="0" borderId="0" xfId="0" applyFont="1" applyAlignment="1" applyProtection="1">
      <alignment/>
      <protection hidden="1"/>
    </xf>
    <xf numFmtId="177" fontId="7" fillId="0" borderId="0" xfId="0" applyNumberFormat="1" applyFont="1" applyAlignment="1" applyProtection="1">
      <alignment/>
      <protection hidden="1"/>
    </xf>
    <xf numFmtId="0" fontId="108" fillId="0" borderId="0" xfId="0" applyFont="1" applyFill="1" applyBorder="1" applyAlignment="1" applyProtection="1">
      <alignment/>
      <protection hidden="1"/>
    </xf>
    <xf numFmtId="11" fontId="109" fillId="0" borderId="0" xfId="0" applyNumberFormat="1" applyFont="1" applyFill="1" applyBorder="1" applyAlignment="1" applyProtection="1">
      <alignment horizontal="center"/>
      <protection hidden="1"/>
    </xf>
    <xf numFmtId="2" fontId="109" fillId="0" borderId="0" xfId="0" applyNumberFormat="1" applyFont="1" applyFill="1" applyBorder="1" applyAlignment="1" applyProtection="1">
      <alignment horizontal="center"/>
      <protection hidden="1"/>
    </xf>
    <xf numFmtId="0" fontId="109" fillId="0" borderId="0" xfId="0" applyFont="1" applyAlignment="1">
      <alignment/>
    </xf>
    <xf numFmtId="0" fontId="13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Fill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2" fontId="109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center"/>
      <protection hidden="1"/>
    </xf>
    <xf numFmtId="172" fontId="13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112" fillId="0" borderId="0" xfId="0" applyFont="1" applyAlignment="1">
      <alignment/>
    </xf>
    <xf numFmtId="0" fontId="31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 horizontal="center"/>
    </xf>
    <xf numFmtId="0" fontId="7" fillId="0" borderId="0" xfId="0" applyFont="1" applyAlignment="1">
      <alignment/>
    </xf>
    <xf numFmtId="0" fontId="106" fillId="34" borderId="0" xfId="0" applyFont="1" applyFill="1" applyAlignment="1" applyProtection="1">
      <alignment/>
      <protection hidden="1"/>
    </xf>
    <xf numFmtId="2" fontId="114" fillId="0" borderId="0" xfId="0" applyNumberFormat="1" applyFont="1" applyAlignment="1" applyProtection="1">
      <alignment/>
      <protection hidden="1"/>
    </xf>
    <xf numFmtId="0" fontId="115" fillId="0" borderId="0" xfId="0" applyFont="1" applyAlignment="1" applyProtection="1">
      <alignment horizontal="center"/>
      <protection hidden="1"/>
    </xf>
    <xf numFmtId="0" fontId="116" fillId="0" borderId="0" xfId="0" applyFont="1" applyAlignment="1" applyProtection="1">
      <alignment/>
      <protection hidden="1"/>
    </xf>
    <xf numFmtId="0" fontId="116" fillId="0" borderId="0" xfId="0" applyFont="1" applyFill="1" applyBorder="1" applyAlignment="1" applyProtection="1">
      <alignment/>
      <protection hidden="1"/>
    </xf>
    <xf numFmtId="0" fontId="117" fillId="0" borderId="0" xfId="0" applyFont="1" applyFill="1" applyBorder="1" applyAlignment="1" applyProtection="1">
      <alignment/>
      <protection hidden="1"/>
    </xf>
    <xf numFmtId="172" fontId="115" fillId="0" borderId="0" xfId="0" applyNumberFormat="1" applyFont="1" applyAlignment="1" applyProtection="1">
      <alignment horizontal="right"/>
      <protection hidden="1"/>
    </xf>
    <xf numFmtId="0" fontId="108" fillId="0" borderId="0" xfId="0" applyFont="1" applyFill="1" applyBorder="1" applyAlignment="1" applyProtection="1">
      <alignment horizontal="center"/>
      <protection hidden="1"/>
    </xf>
    <xf numFmtId="172" fontId="115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2" fontId="14" fillId="34" borderId="13" xfId="0" applyNumberFormat="1" applyFont="1" applyFill="1" applyBorder="1" applyAlignment="1">
      <alignment horizontal="center"/>
    </xf>
    <xf numFmtId="1" fontId="14" fillId="34" borderId="0" xfId="0" applyNumberFormat="1" applyFont="1" applyFill="1" applyAlignment="1">
      <alignment horizontal="center"/>
    </xf>
    <xf numFmtId="1" fontId="14" fillId="34" borderId="13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 applyProtection="1">
      <alignment/>
      <protection hidden="1"/>
    </xf>
    <xf numFmtId="0" fontId="14" fillId="35" borderId="14" xfId="0" applyFont="1" applyFill="1" applyBorder="1" applyAlignment="1" applyProtection="1">
      <alignment horizontal="center"/>
      <protection locked="0"/>
    </xf>
    <xf numFmtId="177" fontId="0" fillId="0" borderId="0" xfId="0" applyNumberFormat="1" applyAlignment="1">
      <alignment/>
    </xf>
    <xf numFmtId="0" fontId="14" fillId="34" borderId="0" xfId="0" applyFont="1" applyFill="1" applyBorder="1" applyAlignment="1" applyProtection="1">
      <alignment horizontal="center"/>
      <protection hidden="1"/>
    </xf>
    <xf numFmtId="0" fontId="108" fillId="0" borderId="0" xfId="0" applyFont="1" applyFill="1" applyBorder="1" applyAlignment="1" applyProtection="1">
      <alignment horizontal="center"/>
      <protection hidden="1"/>
    </xf>
    <xf numFmtId="0" fontId="109" fillId="0" borderId="0" xfId="0" applyFont="1" applyFill="1" applyBorder="1" applyAlignment="1" applyProtection="1">
      <alignment horizontal="center"/>
      <protection hidden="1"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4"/>
          <c:w val="0.70125"/>
          <c:h val="0.9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Bode_Plots!$I$21</c:f>
              <c:strCache>
                <c:ptCount val="1"/>
                <c:pt idx="0">
                  <c:v>Plant_LL_min_dB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Bode_Plots!$H$22:$H$187</c:f>
              <c:numCache/>
            </c:numRef>
          </c:xVal>
          <c:yVal>
            <c:numRef>
              <c:f>Bode_Plots!$I$22:$I$187</c:f>
              <c:numCache/>
            </c:numRef>
          </c:yVal>
          <c:smooth val="0"/>
        </c:ser>
        <c:ser>
          <c:idx val="1"/>
          <c:order val="1"/>
          <c:tx>
            <c:strRef>
              <c:f>Bode_Plots!$K$21</c:f>
              <c:strCache>
                <c:ptCount val="1"/>
                <c:pt idx="0">
                  <c:v>Plant_HL_max_dB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Bode_Plots!$H$22:$H$187</c:f>
              <c:numCache/>
            </c:numRef>
          </c:xVal>
          <c:yVal>
            <c:numRef>
              <c:f>Bode_Plots!$K$22:$K$187</c:f>
              <c:numCache/>
            </c:numRef>
          </c:yVal>
          <c:smooth val="0"/>
        </c:ser>
        <c:ser>
          <c:idx val="2"/>
          <c:order val="2"/>
          <c:tx>
            <c:strRef>
              <c:f>Bode_Plots!$M$21</c:f>
              <c:strCache>
                <c:ptCount val="1"/>
                <c:pt idx="0">
                  <c:v>Compensator_dB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Bode_Plots!$H$22:$H$187</c:f>
              <c:numCache/>
            </c:numRef>
          </c:xVal>
          <c:yVal>
            <c:numRef>
              <c:f>Bode_Plots!$M$22:$M$187</c:f>
              <c:numCache/>
            </c:numRef>
          </c:yVal>
          <c:smooth val="0"/>
        </c:ser>
        <c:ser>
          <c:idx val="3"/>
          <c:order val="3"/>
          <c:tx>
            <c:strRef>
              <c:f>Bode_Plots!$O$21</c:f>
              <c:strCache>
                <c:ptCount val="1"/>
                <c:pt idx="0">
                  <c:v>Open Loop_LL_min_dB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Bode_Plots!$H$22:$H$187</c:f>
              <c:numCache/>
            </c:numRef>
          </c:xVal>
          <c:yVal>
            <c:numRef>
              <c:f>Bode_Plots!$O$22:$O$187</c:f>
              <c:numCache/>
            </c:numRef>
          </c:yVal>
          <c:smooth val="0"/>
        </c:ser>
        <c:ser>
          <c:idx val="4"/>
          <c:order val="4"/>
          <c:tx>
            <c:strRef>
              <c:f>Bode_Plots!$Q$21</c:f>
              <c:strCache>
                <c:ptCount val="1"/>
                <c:pt idx="0">
                  <c:v>Open Loop_HL_max_dB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Bode_Plots!$H$22:$H$187</c:f>
              <c:numCache/>
            </c:numRef>
          </c:xVal>
          <c:yVal>
            <c:numRef>
              <c:f>Bode_Plots!$Q$22:$Q$187</c:f>
              <c:numCache/>
            </c:numRef>
          </c:yVal>
          <c:smooth val="0"/>
        </c:ser>
        <c:axId val="59433870"/>
        <c:axId val="65142783"/>
      </c:scatterChart>
      <c:valAx>
        <c:axId val="5943387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 val="autoZero"/>
        <c:crossBetween val="midCat"/>
        <c:dispUnits/>
      </c:valAx>
      <c:valAx>
        <c:axId val="65142783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25"/>
          <c:y val="0.40125"/>
          <c:w val="0.2235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-0.005"/>
          <c:w val="0.7075"/>
          <c:h val="0.9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Bode_Plots!$J$21</c:f>
              <c:strCache>
                <c:ptCount val="1"/>
                <c:pt idx="0">
                  <c:v>Plant_LL_min_deg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Bode_Plots!$H$22:$H$182</c:f>
              <c:numCache/>
            </c:numRef>
          </c:xVal>
          <c:yVal>
            <c:numRef>
              <c:f>Bode_Plots!$J$22:$J$182</c:f>
              <c:numCache/>
            </c:numRef>
          </c:yVal>
          <c:smooth val="0"/>
        </c:ser>
        <c:ser>
          <c:idx val="1"/>
          <c:order val="1"/>
          <c:tx>
            <c:strRef>
              <c:f>Bode_Plots!$L$21</c:f>
              <c:strCache>
                <c:ptCount val="1"/>
                <c:pt idx="0">
                  <c:v>Plant_HL_max_deg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Bode_Plots!$H$22:$H$182</c:f>
              <c:numCache/>
            </c:numRef>
          </c:xVal>
          <c:yVal>
            <c:numRef>
              <c:f>Bode_Plots!$L$22:$L$182</c:f>
              <c:numCache/>
            </c:numRef>
          </c:yVal>
          <c:smooth val="0"/>
        </c:ser>
        <c:ser>
          <c:idx val="2"/>
          <c:order val="2"/>
          <c:tx>
            <c:strRef>
              <c:f>Bode_Plots!$N$21</c:f>
              <c:strCache>
                <c:ptCount val="1"/>
                <c:pt idx="0">
                  <c:v>Compensator_deg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Bode_Plots!$H$22:$H$182</c:f>
              <c:numCache/>
            </c:numRef>
          </c:xVal>
          <c:yVal>
            <c:numRef>
              <c:f>Bode_Plots!$N$22:$N$182</c:f>
              <c:numCache/>
            </c:numRef>
          </c:yVal>
          <c:smooth val="0"/>
        </c:ser>
        <c:ser>
          <c:idx val="3"/>
          <c:order val="3"/>
          <c:tx>
            <c:strRef>
              <c:f>Bode_Plots!$P$21</c:f>
              <c:strCache>
                <c:ptCount val="1"/>
                <c:pt idx="0">
                  <c:v>Open Loop_LL_min_deg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Bode_Plots!$H$22:$H$182</c:f>
              <c:numCache/>
            </c:numRef>
          </c:xVal>
          <c:yVal>
            <c:numRef>
              <c:f>Bode_Plots!$P$22:$P$182</c:f>
              <c:numCache/>
            </c:numRef>
          </c:yVal>
          <c:smooth val="0"/>
        </c:ser>
        <c:ser>
          <c:idx val="4"/>
          <c:order val="4"/>
          <c:tx>
            <c:strRef>
              <c:f>Bode_Plots!$R$21</c:f>
              <c:strCache>
                <c:ptCount val="1"/>
                <c:pt idx="0">
                  <c:v>Open Loop_HL_max_deg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Bode_Plots!$H$22:$H$182</c:f>
              <c:numCache/>
            </c:numRef>
          </c:xVal>
          <c:yVal>
            <c:numRef>
              <c:f>Bode_Plots!$R$22:$R$182</c:f>
              <c:numCache/>
            </c:numRef>
          </c:yVal>
          <c:smooth val="0"/>
        </c:ser>
        <c:axId val="49414136"/>
        <c:axId val="42074041"/>
      </c:scatterChart>
      <c:valAx>
        <c:axId val="49414136"/>
        <c:scaling>
          <c:logBase val="10"/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 val="autoZero"/>
        <c:crossBetween val="midCat"/>
        <c:dispUnits/>
      </c:valAx>
      <c:valAx>
        <c:axId val="42074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3745"/>
          <c:w val="0.2275"/>
          <c:h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</xdr:row>
      <xdr:rowOff>85725</xdr:rowOff>
    </xdr:from>
    <xdr:to>
      <xdr:col>20</xdr:col>
      <xdr:colOff>523875</xdr:colOff>
      <xdr:row>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895350"/>
          <a:ext cx="11487150" cy="4981575"/>
        </a:xfrm>
        <a:prstGeom prst="rect">
          <a:avLst/>
        </a:prstGeom>
        <a:solidFill>
          <a:srgbClr val="99FF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NCL2801 Design Worksheet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rev1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October  2018 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NCL2801 is designed to drive PFC boost stages. It is based on an innovative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alley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ount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requency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old−back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VCFF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method. In this mode, the circuit classically  operates in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itical conduction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when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VCTRL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voltage exceeds a programmable (Rcs external resistor)  value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Vctrl,th,21,Rcs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When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VCTRL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below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Vctrl,th,12,Rcs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NCL2801 enters the DCM mode and dead time based on number of valleys is added the more output power is decreased.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VCFF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maximizes the efficiency at both  nominal and light load. In particular, the stand−by losses are reduced to a minimum.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internal circuitry allows near−unity power factor even when the switching frequency is reduced. Housed in a SOIC-8 package, the circuit also incorporates the features necessary for robust and compact PFC stages, with few external components.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 Excel spreadsheet helps designing a 1-phase PFC stage based onthe NCL2801 which has the Line level detection Option enabled  by helping to compute the main external components (refer to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Schematic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tab).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Bode_Plots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tab of this spreadsheet is dedicated to plotting the bode plots of compensator, plant and open loop  AC transfer functions which are based on the values calculated in 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NCL2801_calc_sheet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tab.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calculations are based on the equations and process detailed in the application note AND9799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more information, please refer 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http://www.onsemi.com/pub/Collateral/AND9799-D.PDF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 that this spreadsheet is a general tool being provided to assist designers in using the NCL2801.
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outputs of this tool have  to be used as a guide line and does not provide any measure of the success of a particular system design.  For any question /comments regarding the use of this spreadsheet, please contact us at: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http://www.onsemi.com/PowerSolutions/ticrequest.do
</a:t>
          </a:r>
        </a:p>
      </xdr:txBody>
    </xdr:sp>
    <xdr:clientData/>
  </xdr:twoCellAnchor>
  <xdr:twoCellAnchor editAs="absolute">
    <xdr:from>
      <xdr:col>2</xdr:col>
      <xdr:colOff>142875</xdr:colOff>
      <xdr:row>44</xdr:row>
      <xdr:rowOff>123825</xdr:rowOff>
    </xdr:from>
    <xdr:to>
      <xdr:col>20</xdr:col>
      <xdr:colOff>476250</xdr:colOff>
      <xdr:row>48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62075" y="7248525"/>
          <a:ext cx="11306175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Note1: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When you modify the value of an input parameter (yellow boxes), dont forget to review the whole column D  and update the "your selected value" yellow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boxes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inputs.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absolute">
    <xdr:from>
      <xdr:col>2</xdr:col>
      <xdr:colOff>114300</xdr:colOff>
      <xdr:row>49</xdr:row>
      <xdr:rowOff>0</xdr:rowOff>
    </xdr:from>
    <xdr:to>
      <xdr:col>20</xdr:col>
      <xdr:colOff>447675</xdr:colOff>
      <xdr:row>52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0" y="7934325"/>
          <a:ext cx="11306175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Note2: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spreadsheets contains bode plots of Plant, Compensator and Open Loop Transfer functions based on "Your selected value" of compensation components, Pout and Vrms,LL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104775</xdr:rowOff>
    </xdr:from>
    <xdr:to>
      <xdr:col>23</xdr:col>
      <xdr:colOff>171450</xdr:colOff>
      <xdr:row>48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6700"/>
          <a:ext cx="13916025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800100</xdr:colOff>
      <xdr:row>2</xdr:row>
      <xdr:rowOff>85725</xdr:rowOff>
    </xdr:from>
    <xdr:ext cx="4600575" cy="1095375"/>
    <xdr:sp>
      <xdr:nvSpPr>
        <xdr:cNvPr id="1" name="TextBox 14"/>
        <xdr:cNvSpPr txBox="1">
          <a:spLocks noChangeArrowheads="1"/>
        </xdr:cNvSpPr>
      </xdr:nvSpPr>
      <xdr:spPr>
        <a:xfrm>
          <a:off x="11010900" y="676275"/>
          <a:ext cx="4600575" cy="1095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When you modify the value of an input parameter (yellow boxes), dont forget to review the whole column D  and update the "your selected value" yellow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boxes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inputs.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0.03475</cdr:y>
    </cdr:from>
    <cdr:to>
      <cdr:x>0.72825</cdr:x>
      <cdr:y>0.121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76575" y="200025"/>
          <a:ext cx="22860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0.5395</cdr:x>
      <cdr:y>0.03</cdr:y>
    </cdr:from>
    <cdr:to>
      <cdr:x>0.98025</cdr:x>
      <cdr:y>0.17425</cdr:y>
    </cdr:to>
    <cdr:sp>
      <cdr:nvSpPr>
        <cdr:cNvPr id="2" name="TextBox 2"/>
        <cdr:cNvSpPr txBox="1">
          <a:spLocks noChangeArrowheads="1"/>
        </cdr:cNvSpPr>
      </cdr:nvSpPr>
      <cdr:spPr>
        <a:xfrm>
          <a:off x="3971925" y="171450"/>
          <a:ext cx="3248025" cy="857250"/>
        </a:xfrm>
        <a:prstGeom prst="rect">
          <a:avLst/>
        </a:prstGeom>
        <a:solidFill>
          <a:srgbClr val="FFFFC5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NCL2801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w/ Line Detection Option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Thick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Line :  </a:t>
          </a:r>
          <a:r>
            <a:rPr lang="en-US" cap="none" sz="16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Max HL Voltage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Thin Line  :   </a:t>
          </a:r>
          <a:r>
            <a:rPr lang="en-US" cap="none" sz="16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Min  LL Voltage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0.047</cdr:y>
    </cdr:from>
    <cdr:to>
      <cdr:x>0.9795</cdr:x>
      <cdr:y>0.26575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981450" y="219075"/>
          <a:ext cx="3267075" cy="1028700"/>
        </a:xfrm>
        <a:prstGeom prst="rect">
          <a:avLst/>
        </a:prstGeom>
        <a:solidFill>
          <a:srgbClr val="FFFFC5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NCL2801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w/ Line Detection Option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Thick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Line :  </a:t>
          </a:r>
          <a:r>
            <a:rPr lang="en-US" cap="none" sz="16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Max HL Voltage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Thin Line  :   </a:t>
          </a:r>
          <a:r>
            <a:rPr lang="en-US" cap="none" sz="16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Min  LL Voltage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Note: HL &amp; LL plots are on top of each other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28575</xdr:rowOff>
    </xdr:from>
    <xdr:to>
      <xdr:col>6</xdr:col>
      <xdr:colOff>885825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733425" y="1362075"/>
        <a:ext cx="73723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29</xdr:row>
      <xdr:rowOff>38100</xdr:rowOff>
    </xdr:from>
    <xdr:to>
      <xdr:col>6</xdr:col>
      <xdr:colOff>1000125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809625" y="7553325"/>
        <a:ext cx="74104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U42"/>
  <sheetViews>
    <sheetView tabSelected="1" zoomScalePageLayoutView="0" workbookViewId="0" topLeftCell="B1">
      <selection activeCell="T3" sqref="T3"/>
    </sheetView>
  </sheetViews>
  <sheetFormatPr defaultColWidth="9.140625" defaultRowHeight="12.75"/>
  <sheetData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</sheetData>
  <sheetProtection password="D4C3" sheet="1"/>
  <printOptions/>
  <pageMargins left="0.7" right="0.7" top="0.75" bottom="0.75" header="0.3" footer="0.3"/>
  <pageSetup horizontalDpi="600" verticalDpi="600" orientation="portrait" paperSiz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1"/>
  <sheetViews>
    <sheetView zoomScalePageLayoutView="0" workbookViewId="0" topLeftCell="A1">
      <selection activeCell="G54" sqref="G54"/>
    </sheetView>
  </sheetViews>
  <sheetFormatPr defaultColWidth="9.140625" defaultRowHeight="12.75"/>
  <sheetData>
    <row r="2" spans="1:24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12.7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12.7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12.7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12.7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1:24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4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spans="1:24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ht="12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24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24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ht="12.7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spans="1:24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ht="12.7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ht="12.7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ht="12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ht="12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ht="12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ht="12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spans="1:24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R218"/>
  <sheetViews>
    <sheetView zoomScale="115" zoomScaleNormal="115" workbookViewId="0" topLeftCell="A91">
      <selection activeCell="G96" sqref="G96"/>
    </sheetView>
  </sheetViews>
  <sheetFormatPr defaultColWidth="9.140625" defaultRowHeight="12.75"/>
  <cols>
    <col min="1" max="1" width="4.140625" style="10" customWidth="1"/>
    <col min="2" max="2" width="25.421875" style="2" customWidth="1"/>
    <col min="3" max="3" width="9.140625" style="2" customWidth="1"/>
    <col min="4" max="4" width="20.00390625" style="2" customWidth="1"/>
    <col min="5" max="5" width="9.140625" style="10" customWidth="1"/>
    <col min="6" max="6" width="12.140625" style="10" bestFit="1" customWidth="1"/>
    <col min="7" max="12" width="9.140625" style="10" customWidth="1"/>
    <col min="13" max="13" width="9.140625" style="1" customWidth="1"/>
    <col min="14" max="14" width="9.140625" style="10" customWidth="1"/>
    <col min="15" max="15" width="13.421875" style="10" bestFit="1" customWidth="1"/>
    <col min="16" max="16" width="15.421875" style="10" bestFit="1" customWidth="1"/>
    <col min="17" max="17" width="40.421875" style="10" customWidth="1"/>
    <col min="18" max="18" width="9.140625" style="10" customWidth="1"/>
    <col min="19" max="19" width="6.421875" style="10" customWidth="1"/>
    <col min="20" max="20" width="16.8515625" style="10" customWidth="1"/>
    <col min="21" max="21" width="15.140625" style="10" customWidth="1"/>
    <col min="22" max="22" width="17.00390625" style="10" customWidth="1"/>
    <col min="23" max="23" width="16.28125" style="10" customWidth="1"/>
    <col min="24" max="24" width="17.7109375" style="10" customWidth="1"/>
    <col min="25" max="35" width="9.140625" style="10" customWidth="1"/>
    <col min="36" max="36" width="7.7109375" style="11" customWidth="1"/>
    <col min="37" max="37" width="7.7109375" style="12" customWidth="1"/>
    <col min="38" max="38" width="13.00390625" style="10" customWidth="1"/>
    <col min="39" max="39" width="20.140625" style="10" customWidth="1"/>
    <col min="40" max="40" width="22.00390625" style="10" customWidth="1"/>
    <col min="41" max="41" width="27.140625" style="10" customWidth="1"/>
    <col min="42" max="42" width="27.421875" style="10" customWidth="1"/>
    <col min="43" max="43" width="15.00390625" style="10" customWidth="1"/>
    <col min="44" max="44" width="22.8515625" style="10" customWidth="1"/>
    <col min="45" max="16384" width="9.140625" style="10" customWidth="1"/>
  </cols>
  <sheetData>
    <row r="1" ht="15.75" customHeight="1" thickBot="1"/>
    <row r="2" spans="2:37" s="1" customFormat="1" ht="30.75" thickBot="1">
      <c r="B2" s="13"/>
      <c r="C2" s="14"/>
      <c r="D2" s="6" t="s">
        <v>181</v>
      </c>
      <c r="E2" s="15"/>
      <c r="F2" s="15"/>
      <c r="G2" s="15"/>
      <c r="H2" s="15"/>
      <c r="I2" s="15"/>
      <c r="J2" s="15"/>
      <c r="K2" s="15"/>
      <c r="L2" s="15"/>
      <c r="M2" s="16"/>
      <c r="N2" s="15"/>
      <c r="O2" s="15"/>
      <c r="P2" s="15"/>
      <c r="Q2" s="15"/>
      <c r="R2" s="15"/>
      <c r="S2" s="15"/>
      <c r="T2" s="15"/>
      <c r="U2" s="15"/>
      <c r="V2" s="17"/>
      <c r="AJ2" s="11"/>
      <c r="AK2" s="12"/>
    </row>
    <row r="3" ht="27.75" customHeight="1"/>
    <row r="4" spans="2:5" ht="27.75" customHeight="1">
      <c r="B4" s="90" t="s">
        <v>205</v>
      </c>
      <c r="D4" s="40">
        <v>1</v>
      </c>
      <c r="E4" s="21" t="s">
        <v>228</v>
      </c>
    </row>
    <row r="5" spans="2:5" ht="27.75" customHeight="1">
      <c r="B5" s="90" t="s">
        <v>226</v>
      </c>
      <c r="D5" s="40">
        <v>1</v>
      </c>
      <c r="E5" s="21" t="s">
        <v>227</v>
      </c>
    </row>
    <row r="6" spans="2:5" ht="27.75" customHeight="1">
      <c r="B6" s="90"/>
      <c r="D6" s="10"/>
      <c r="E6" s="21"/>
    </row>
    <row r="7" ht="27.75" customHeight="1"/>
    <row r="8" spans="2:5" ht="27.75" customHeight="1">
      <c r="B8" s="19" t="s">
        <v>206</v>
      </c>
      <c r="D8" s="46">
        <f>IF(Line_Det=1,K_mult_HL_typ,K_mult_typ)</f>
        <v>0.24</v>
      </c>
      <c r="E8" s="21" t="s">
        <v>208</v>
      </c>
    </row>
    <row r="9" spans="2:5" ht="27.75" customHeight="1">
      <c r="B9" s="19" t="s">
        <v>207</v>
      </c>
      <c r="D9" s="46">
        <f>IF(Line_Det=1,K_mult_LL_typ,K_mult_typ)</f>
        <v>0.75</v>
      </c>
      <c r="E9" s="21" t="s">
        <v>209</v>
      </c>
    </row>
    <row r="10" spans="2:5" ht="27.75" customHeight="1">
      <c r="B10" s="19" t="s">
        <v>255</v>
      </c>
      <c r="D10" s="93">
        <f>IF(Line_Det=1,K_offset_180,K_offset_100)</f>
        <v>0.14</v>
      </c>
      <c r="E10" s="21" t="s">
        <v>256</v>
      </c>
    </row>
    <row r="11" ht="31.5" customHeight="1">
      <c r="B11" s="10"/>
    </row>
    <row r="12" spans="2:11" ht="24" customHeight="1">
      <c r="B12" s="2" t="s">
        <v>0</v>
      </c>
      <c r="K12"/>
    </row>
    <row r="13" spans="2:15" ht="27.75">
      <c r="B13" s="19" t="s">
        <v>30</v>
      </c>
      <c r="C13" s="20" t="s">
        <v>9</v>
      </c>
      <c r="D13" s="39">
        <v>47</v>
      </c>
      <c r="E13" s="21" t="s">
        <v>98</v>
      </c>
      <c r="N13"/>
      <c r="O13"/>
    </row>
    <row r="14" spans="2:15" ht="27.75">
      <c r="B14" s="19" t="s">
        <v>79</v>
      </c>
      <c r="C14" s="20" t="s">
        <v>3</v>
      </c>
      <c r="D14" s="39">
        <v>90</v>
      </c>
      <c r="E14" s="22" t="s">
        <v>73</v>
      </c>
      <c r="F14" s="23"/>
      <c r="G14" s="23"/>
      <c r="H14" s="23"/>
      <c r="I14" s="23"/>
      <c r="J14" s="23"/>
      <c r="K14" s="23"/>
      <c r="L14" s="23"/>
      <c r="M14" s="24"/>
      <c r="N14"/>
      <c r="O14"/>
    </row>
    <row r="15" spans="2:15" ht="27.75">
      <c r="B15" s="19" t="s">
        <v>80</v>
      </c>
      <c r="C15" s="20" t="s">
        <v>3</v>
      </c>
      <c r="D15" s="39">
        <v>305</v>
      </c>
      <c r="E15" s="22" t="s">
        <v>95</v>
      </c>
      <c r="F15" s="23"/>
      <c r="G15" s="23"/>
      <c r="H15" s="23"/>
      <c r="I15" s="23"/>
      <c r="J15" s="23"/>
      <c r="K15" s="23"/>
      <c r="L15" s="23"/>
      <c r="M15" s="24"/>
      <c r="N15"/>
      <c r="O15"/>
    </row>
    <row r="16" spans="2:17" ht="27.75">
      <c r="B16" s="19" t="s">
        <v>31</v>
      </c>
      <c r="C16" s="20" t="s">
        <v>3</v>
      </c>
      <c r="D16" s="39">
        <v>450</v>
      </c>
      <c r="E16" s="22" t="s">
        <v>94</v>
      </c>
      <c r="F16" s="23"/>
      <c r="G16" s="23"/>
      <c r="H16" s="23"/>
      <c r="I16" s="23"/>
      <c r="J16" s="23"/>
      <c r="K16" s="23"/>
      <c r="L16" s="23"/>
      <c r="M16" s="24"/>
      <c r="N16"/>
      <c r="O16"/>
      <c r="Q16" s="8" t="str">
        <f>IF(D16&lt;=1.414*D15,"Vout is too low!"," ")</f>
        <v> </v>
      </c>
    </row>
    <row r="17" spans="2:17" ht="27.75">
      <c r="B17" s="19" t="s">
        <v>1</v>
      </c>
      <c r="C17" s="20" t="s">
        <v>4</v>
      </c>
      <c r="D17" s="39">
        <v>95</v>
      </c>
      <c r="E17" s="22" t="s">
        <v>103</v>
      </c>
      <c r="F17" s="23"/>
      <c r="G17" s="23"/>
      <c r="H17" s="23"/>
      <c r="I17" s="23"/>
      <c r="J17" s="23"/>
      <c r="K17" s="23"/>
      <c r="L17" s="23"/>
      <c r="M17" s="24"/>
      <c r="N17"/>
      <c r="O17"/>
      <c r="Q17" s="9" t="str">
        <f>IF(D17&gt;=100,"Effiency must be lower than 100%!",IF(D17&lt;=50,"Effiency must be higher than 50%!"," "))</f>
        <v> </v>
      </c>
    </row>
    <row r="18" spans="2:15" ht="27.75">
      <c r="B18" s="19" t="s">
        <v>32</v>
      </c>
      <c r="C18" s="20" t="s">
        <v>5</v>
      </c>
      <c r="D18" s="39">
        <v>200</v>
      </c>
      <c r="E18" s="22" t="s">
        <v>2</v>
      </c>
      <c r="F18" s="23"/>
      <c r="G18" s="23"/>
      <c r="H18" s="23"/>
      <c r="I18" s="23"/>
      <c r="J18" s="23"/>
      <c r="K18" s="23"/>
      <c r="L18" s="23"/>
      <c r="M18" s="24"/>
      <c r="N18"/>
      <c r="O18"/>
    </row>
    <row r="19" spans="2:15" ht="27.75">
      <c r="B19" s="19" t="s">
        <v>33</v>
      </c>
      <c r="C19" s="20" t="s">
        <v>60</v>
      </c>
      <c r="D19" s="39">
        <v>0.25</v>
      </c>
      <c r="E19" s="22" t="s">
        <v>74</v>
      </c>
      <c r="F19" s="23"/>
      <c r="G19" s="23"/>
      <c r="H19" s="23"/>
      <c r="I19" s="23"/>
      <c r="J19" s="23"/>
      <c r="K19" s="23"/>
      <c r="L19" s="23"/>
      <c r="M19" s="24"/>
      <c r="N19"/>
      <c r="O19"/>
    </row>
    <row r="20" spans="2:17" ht="27.75">
      <c r="B20" s="19" t="s">
        <v>34</v>
      </c>
      <c r="C20" s="20" t="s">
        <v>8</v>
      </c>
      <c r="D20" s="39">
        <v>0</v>
      </c>
      <c r="E20" s="22" t="s">
        <v>13</v>
      </c>
      <c r="F20" s="23"/>
      <c r="G20" s="23"/>
      <c r="H20" s="23"/>
      <c r="I20" s="23"/>
      <c r="J20" s="23"/>
      <c r="K20" s="23"/>
      <c r="L20" s="23"/>
      <c r="M20" s="24"/>
      <c r="N20"/>
      <c r="O20"/>
      <c r="Q20" s="10" t="str">
        <f>IF(D21&lt;1.414*D14,"choose (Vout)min between 1.414*VacLL and Vout(nom)",IF(D21&gt;=D16,"choose (Vout)min between 1.414*VacLL and Vout(nom)"," "))</f>
        <v> </v>
      </c>
    </row>
    <row r="21" spans="2:17" ht="27.75">
      <c r="B21" s="19" t="s">
        <v>35</v>
      </c>
      <c r="C21" s="20" t="s">
        <v>3</v>
      </c>
      <c r="D21" s="39">
        <v>350</v>
      </c>
      <c r="E21" s="22" t="s">
        <v>14</v>
      </c>
      <c r="F21" s="23"/>
      <c r="G21" s="23"/>
      <c r="H21" s="23"/>
      <c r="I21" s="23"/>
      <c r="J21" s="23"/>
      <c r="K21" s="23"/>
      <c r="L21" s="23"/>
      <c r="M21" s="24"/>
      <c r="N21"/>
      <c r="O21"/>
      <c r="Q21" s="25" t="str">
        <f>IF(D21&lt;1.414*D14,"choose (Vout)min between 1.414*VacLL and Vout(nom)",IF(D21&gt;=D16,"choose (Vout)min between 1.414*VacLL and Vout(nom)"," "))</f>
        <v> </v>
      </c>
    </row>
    <row r="22" spans="2:15" ht="27.75">
      <c r="B22" s="19" t="s">
        <v>36</v>
      </c>
      <c r="C22" s="20" t="s">
        <v>4</v>
      </c>
      <c r="D22" s="39">
        <v>8</v>
      </c>
      <c r="E22" s="22" t="s">
        <v>96</v>
      </c>
      <c r="F22" s="23"/>
      <c r="G22" s="23"/>
      <c r="H22" s="23"/>
      <c r="I22" s="23"/>
      <c r="J22" s="23"/>
      <c r="K22" s="23"/>
      <c r="L22" s="23"/>
      <c r="M22" s="24"/>
      <c r="N22"/>
      <c r="O22"/>
    </row>
    <row r="23" spans="2:17" ht="27.75">
      <c r="B23" s="19" t="s">
        <v>37</v>
      </c>
      <c r="C23" s="20" t="s">
        <v>9</v>
      </c>
      <c r="D23" s="39">
        <v>10</v>
      </c>
      <c r="E23" s="22" t="s">
        <v>213</v>
      </c>
      <c r="F23" s="23"/>
      <c r="G23" s="23"/>
      <c r="H23" s="23"/>
      <c r="I23" s="23"/>
      <c r="J23" s="23"/>
      <c r="K23" s="23"/>
      <c r="L23" s="23"/>
      <c r="M23" s="24"/>
      <c r="N23"/>
      <c r="O23"/>
      <c r="Q23" s="25" t="str">
        <f>IF(D23&lt;D13/25,"the selected crossover frequency is very low!",IF(D23&gt;D13,"the selected crossover frequency is too high!"," "))</f>
        <v> </v>
      </c>
    </row>
    <row r="24" spans="2:17" ht="28.5">
      <c r="B24" s="26" t="s">
        <v>38</v>
      </c>
      <c r="C24" s="20" t="s">
        <v>12</v>
      </c>
      <c r="D24" s="39">
        <v>60</v>
      </c>
      <c r="E24" s="22" t="s">
        <v>214</v>
      </c>
      <c r="F24" s="23"/>
      <c r="G24" s="23"/>
      <c r="H24" s="23"/>
      <c r="I24" s="23"/>
      <c r="J24" s="23"/>
      <c r="K24" s="23"/>
      <c r="L24" s="23"/>
      <c r="M24" s="24"/>
      <c r="N24"/>
      <c r="O24"/>
      <c r="Q24" s="25" t="str">
        <f>IF(D24&lt;30,"the chosen phase margin is very low!",IF(D24&gt;90,"the chosen phase margin is too high!"," "))</f>
        <v> </v>
      </c>
    </row>
    <row r="25" spans="2:15" ht="27.75">
      <c r="B25" s="19"/>
      <c r="C25" s="20"/>
      <c r="D25" s="20"/>
      <c r="E25" s="22"/>
      <c r="F25" s="23"/>
      <c r="G25" s="23"/>
      <c r="H25" s="23"/>
      <c r="I25" s="23"/>
      <c r="J25" s="23"/>
      <c r="K25" s="23"/>
      <c r="L25" s="23"/>
      <c r="M25" s="24"/>
      <c r="N25"/>
      <c r="O25"/>
    </row>
    <row r="26" spans="2:15" ht="27.75">
      <c r="B26" s="19" t="s">
        <v>39</v>
      </c>
      <c r="C26" s="20" t="s">
        <v>61</v>
      </c>
      <c r="D26" s="46">
        <f>t_on_max_A2_min</f>
        <v>26</v>
      </c>
      <c r="E26" s="22" t="s">
        <v>247</v>
      </c>
      <c r="F26" s="23"/>
      <c r="G26" s="23"/>
      <c r="H26" s="23"/>
      <c r="I26" s="23"/>
      <c r="J26" s="23"/>
      <c r="K26" s="23"/>
      <c r="L26" s="23"/>
      <c r="M26" s="24"/>
      <c r="N26"/>
      <c r="O26"/>
    </row>
    <row r="27" spans="2:15" ht="27.75">
      <c r="B27" s="19"/>
      <c r="C27" s="20"/>
      <c r="D27" s="3"/>
      <c r="E27" s="22"/>
      <c r="F27" s="23"/>
      <c r="G27" s="23"/>
      <c r="H27" s="23"/>
      <c r="I27" s="23"/>
      <c r="J27" s="23"/>
      <c r="K27" s="23"/>
      <c r="L27" s="23"/>
      <c r="M27" s="24"/>
      <c r="N27"/>
      <c r="O27"/>
    </row>
    <row r="28" spans="2:15" ht="27.75">
      <c r="B28" s="28" t="s">
        <v>15</v>
      </c>
      <c r="E28" s="27"/>
      <c r="N28"/>
      <c r="O28"/>
    </row>
    <row r="29" spans="2:15" ht="27.75">
      <c r="B29" s="19" t="s">
        <v>99</v>
      </c>
      <c r="C29" s="20" t="s">
        <v>62</v>
      </c>
      <c r="D29" s="41">
        <f>P_out*1000000*100/DV_pk_pk/6.28/F_ac/V_out_nom/V_out_nom</f>
        <v>41.82707349351429</v>
      </c>
      <c r="E29" s="22" t="s">
        <v>97</v>
      </c>
      <c r="N29"/>
      <c r="O29"/>
    </row>
    <row r="30" spans="2:42" ht="27.75">
      <c r="B30" s="19" t="s">
        <v>100</v>
      </c>
      <c r="C30" s="20" t="s">
        <v>62</v>
      </c>
      <c r="D30" s="41">
        <f>2*P_out*T_hold_up*0.001/(V_out_nom^2-V_out_min^2)</f>
        <v>0</v>
      </c>
      <c r="E30" s="22" t="s">
        <v>101</v>
      </c>
      <c r="N30"/>
      <c r="O30"/>
      <c r="AJ30" s="75"/>
      <c r="AK30" s="76"/>
      <c r="AL30" s="77"/>
      <c r="AM30" s="77"/>
      <c r="AN30" s="77"/>
      <c r="AO30" s="77"/>
      <c r="AP30" s="77"/>
    </row>
    <row r="31" spans="2:42" ht="27.75">
      <c r="B31" s="19" t="s">
        <v>40</v>
      </c>
      <c r="C31" s="20" t="s">
        <v>62</v>
      </c>
      <c r="D31" s="42">
        <v>150</v>
      </c>
      <c r="E31" s="22" t="s">
        <v>102</v>
      </c>
      <c r="Q31" s="25" t="str">
        <f>IF(D31&lt;D29,"Select a higher value for the bulk capacitor"," ")</f>
        <v> </v>
      </c>
      <c r="AJ31" s="75"/>
      <c r="AK31" s="76"/>
      <c r="AL31" s="77"/>
      <c r="AM31" s="77"/>
      <c r="AN31" s="77"/>
      <c r="AO31" s="77"/>
      <c r="AP31" s="77"/>
    </row>
    <row r="32" spans="2:42" ht="27.75">
      <c r="B32" s="19" t="s">
        <v>72</v>
      </c>
      <c r="C32" s="20" t="s">
        <v>6</v>
      </c>
      <c r="D32" s="43">
        <f>SQRT((1.265*100*P_out/P_eff/SQRT(V_rms_LL*V_out_nom))^2-(P_out/V_out_nom)^2)</f>
        <v>1.2464675987131673</v>
      </c>
      <c r="E32" s="22" t="s">
        <v>88</v>
      </c>
      <c r="AJ32" s="75"/>
      <c r="AK32" s="76"/>
      <c r="AL32" s="77"/>
      <c r="AM32" s="77"/>
      <c r="AN32" s="77"/>
      <c r="AO32" s="77"/>
      <c r="AP32" s="77"/>
    </row>
    <row r="33" spans="2:42" ht="27.75">
      <c r="B33" s="19" t="s">
        <v>104</v>
      </c>
      <c r="C33" s="20" t="s">
        <v>63</v>
      </c>
      <c r="D33" s="41">
        <f>((V_rms_LL^2/2/P_out)*t_on_max*0.000001*P_eff/100)*1000000</f>
        <v>500.17499999999995</v>
      </c>
      <c r="E33" s="22" t="s">
        <v>105</v>
      </c>
      <c r="AJ33" s="75"/>
      <c r="AK33" s="76"/>
      <c r="AL33" s="77"/>
      <c r="AM33" s="77"/>
      <c r="AN33" s="77"/>
      <c r="AO33" s="77"/>
      <c r="AP33" s="77"/>
    </row>
    <row r="34" spans="2:42" ht="27.75">
      <c r="B34" s="19" t="s">
        <v>16</v>
      </c>
      <c r="C34" s="20" t="s">
        <v>63</v>
      </c>
      <c r="D34" s="39">
        <v>180</v>
      </c>
      <c r="E34" s="22" t="s">
        <v>75</v>
      </c>
      <c r="Q34" s="25" t="str">
        <f>IF(D34&gt;D33*0.75,"Select a lower inductor value"," ")</f>
        <v> </v>
      </c>
      <c r="AJ34" s="75"/>
      <c r="AK34" s="76"/>
      <c r="AL34" s="77"/>
      <c r="AM34" s="77"/>
      <c r="AN34" s="77"/>
      <c r="AO34" s="77"/>
      <c r="AP34" s="77"/>
    </row>
    <row r="35" spans="2:44" ht="33.75">
      <c r="B35" s="19" t="s">
        <v>41</v>
      </c>
      <c r="C35" s="20" t="s">
        <v>6</v>
      </c>
      <c r="D35" s="44">
        <f>2*1.414*(P_out*100/P_eff)/V_rms_LL</f>
        <v>6.615204678362573</v>
      </c>
      <c r="E35" s="22" t="s">
        <v>18</v>
      </c>
      <c r="AJ35" s="75"/>
      <c r="AK35" s="76"/>
      <c r="AL35" s="78"/>
      <c r="AM35" s="78"/>
      <c r="AN35" s="79"/>
      <c r="AO35" s="78"/>
      <c r="AP35" s="78"/>
      <c r="AQ35" s="36"/>
      <c r="AR35" s="36"/>
    </row>
    <row r="36" spans="2:44" ht="27.75">
      <c r="B36" s="19" t="s">
        <v>42</v>
      </c>
      <c r="C36" s="20" t="s">
        <v>6</v>
      </c>
      <c r="D36" s="44">
        <f>D35/SQRT(6)</f>
        <v>2.7006460010100692</v>
      </c>
      <c r="E36" s="22" t="s">
        <v>19</v>
      </c>
      <c r="AJ36" s="75"/>
      <c r="AK36" s="76"/>
      <c r="AL36" s="78"/>
      <c r="AM36" s="78"/>
      <c r="AN36" s="78"/>
      <c r="AO36" s="78"/>
      <c r="AP36" s="78"/>
      <c r="AQ36" s="36"/>
      <c r="AR36" s="36"/>
    </row>
    <row r="37" spans="2:44" ht="27.75">
      <c r="B37" s="19" t="s">
        <v>43</v>
      </c>
      <c r="C37" s="20" t="s">
        <v>10</v>
      </c>
      <c r="D37" s="45">
        <f>((V_out_nom-V_rms_LL*1.414)/V_out_nom)*V_rms_LL*V_rms_LL*P_eff/100/2/P_out/(L_boost*0.000001)*0.001</f>
        <v>76.65075000000002</v>
      </c>
      <c r="E37" s="22" t="s">
        <v>106</v>
      </c>
      <c r="AJ37" s="75"/>
      <c r="AK37" s="76"/>
      <c r="AL37" s="54"/>
      <c r="AM37" s="94"/>
      <c r="AN37" s="95"/>
      <c r="AO37" s="94"/>
      <c r="AP37" s="95"/>
      <c r="AQ37" s="94"/>
      <c r="AR37" s="95"/>
    </row>
    <row r="38" spans="2:44" ht="27.75">
      <c r="B38" s="19"/>
      <c r="C38" s="20"/>
      <c r="E38" s="22"/>
      <c r="AJ38" s="75"/>
      <c r="AK38" s="80"/>
      <c r="AL38" s="54"/>
      <c r="AM38" s="81"/>
      <c r="AN38" s="81"/>
      <c r="AO38" s="81"/>
      <c r="AP38" s="81"/>
      <c r="AQ38" s="81"/>
      <c r="AR38" s="81"/>
    </row>
    <row r="39" spans="2:44" ht="27.75">
      <c r="B39" s="29"/>
      <c r="S39" s="18"/>
      <c r="T39" s="18"/>
      <c r="U39" s="18"/>
      <c r="V39" s="18"/>
      <c r="W39" s="18"/>
      <c r="X39" s="30" t="s">
        <v>29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J39" s="75"/>
      <c r="AK39" s="82"/>
      <c r="AL39" s="55"/>
      <c r="AM39" s="64"/>
      <c r="AN39" s="56"/>
      <c r="AO39" s="64"/>
      <c r="AP39" s="64"/>
      <c r="AQ39" s="64"/>
      <c r="AR39" s="56"/>
    </row>
    <row r="40" spans="2:44" ht="27.75">
      <c r="B40" s="28" t="s">
        <v>20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J40" s="75"/>
      <c r="AK40" s="82"/>
      <c r="AL40" s="55"/>
      <c r="AM40" s="64"/>
      <c r="AN40" s="56"/>
      <c r="AO40" s="64"/>
      <c r="AP40" s="64"/>
      <c r="AQ40" s="64"/>
      <c r="AR40" s="56"/>
    </row>
    <row r="41" spans="2:44" ht="27.75">
      <c r="B41" s="19" t="s">
        <v>44</v>
      </c>
      <c r="C41" s="20" t="s">
        <v>64</v>
      </c>
      <c r="D41" s="39">
        <v>22</v>
      </c>
      <c r="E41" s="22" t="s">
        <v>76</v>
      </c>
      <c r="Q41" s="25" t="str">
        <f>IF(D41&gt;50,"Choose a Lower Rfb2 value"," ")</f>
        <v> 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J41" s="75"/>
      <c r="AK41" s="82"/>
      <c r="AL41" s="55"/>
      <c r="AM41" s="64"/>
      <c r="AN41" s="56"/>
      <c r="AO41" s="64"/>
      <c r="AP41" s="64"/>
      <c r="AQ41" s="64"/>
      <c r="AR41" s="56"/>
    </row>
    <row r="42" spans="2:44" ht="27.75">
      <c r="B42" s="19" t="s">
        <v>45</v>
      </c>
      <c r="C42" s="20" t="s">
        <v>64</v>
      </c>
      <c r="D42" s="46">
        <f>(R_fb_2/2.5)*(V_out_nom-2.5)</f>
        <v>3938.0000000000005</v>
      </c>
      <c r="E42" s="27" t="s">
        <v>77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J42" s="75"/>
      <c r="AK42" s="82"/>
      <c r="AL42" s="55"/>
      <c r="AM42" s="64"/>
      <c r="AN42" s="56"/>
      <c r="AO42" s="64"/>
      <c r="AP42" s="64"/>
      <c r="AQ42" s="64"/>
      <c r="AR42" s="56"/>
    </row>
    <row r="43" spans="2:44" ht="27.75">
      <c r="B43" s="19" t="s">
        <v>46</v>
      </c>
      <c r="C43" s="20" t="s">
        <v>64</v>
      </c>
      <c r="D43" s="39">
        <v>3930</v>
      </c>
      <c r="E43" s="27" t="s">
        <v>78</v>
      </c>
      <c r="S43" s="18"/>
      <c r="T43" s="18"/>
      <c r="U43" s="18"/>
      <c r="V43" s="18"/>
      <c r="W43" s="18"/>
      <c r="X43" s="74" t="s">
        <v>183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J43" s="75"/>
      <c r="AK43" s="82"/>
      <c r="AL43" s="55"/>
      <c r="AM43" s="64"/>
      <c r="AN43" s="56"/>
      <c r="AO43" s="64"/>
      <c r="AP43" s="64"/>
      <c r="AQ43" s="64"/>
      <c r="AR43" s="56"/>
    </row>
    <row r="44" spans="2:44" ht="27.75">
      <c r="B44" s="19" t="s">
        <v>107</v>
      </c>
      <c r="C44" s="20" t="s">
        <v>3</v>
      </c>
      <c r="D44" s="47">
        <f>2.5*(R_fb_1+R_fb_2)/R_fb_2</f>
        <v>449.09090909090907</v>
      </c>
      <c r="E44" s="27" t="s">
        <v>108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J44" s="75"/>
      <c r="AK44" s="82"/>
      <c r="AL44" s="55"/>
      <c r="AM44" s="64"/>
      <c r="AN44" s="56"/>
      <c r="AO44" s="64"/>
      <c r="AP44" s="64"/>
      <c r="AQ44" s="64"/>
      <c r="AR44" s="56"/>
    </row>
    <row r="45" spans="2:44" ht="27.75">
      <c r="B45" s="19"/>
      <c r="C45" s="20"/>
      <c r="D45" s="10"/>
      <c r="E45" s="2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J45" s="75"/>
      <c r="AK45" s="82"/>
      <c r="AL45" s="55"/>
      <c r="AM45" s="64"/>
      <c r="AN45" s="56"/>
      <c r="AO45" s="64"/>
      <c r="AP45" s="64"/>
      <c r="AQ45" s="64"/>
      <c r="AR45" s="56"/>
    </row>
    <row r="46" spans="2:44" ht="27.75">
      <c r="B46" s="28" t="s">
        <v>110</v>
      </c>
      <c r="E46" s="2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J46" s="75"/>
      <c r="AK46" s="82"/>
      <c r="AL46" s="55"/>
      <c r="AM46" s="64"/>
      <c r="AN46" s="56"/>
      <c r="AO46" s="64"/>
      <c r="AP46" s="64"/>
      <c r="AQ46" s="64"/>
      <c r="AR46" s="56"/>
    </row>
    <row r="47" spans="2:44" ht="27.75">
      <c r="B47" s="19" t="s">
        <v>111</v>
      </c>
      <c r="C47" s="20" t="s">
        <v>64</v>
      </c>
      <c r="D47" s="40">
        <v>22</v>
      </c>
      <c r="E47" s="27" t="s">
        <v>113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J47" s="75"/>
      <c r="AK47" s="82"/>
      <c r="AL47" s="55"/>
      <c r="AM47" s="64"/>
      <c r="AN47" s="56"/>
      <c r="AO47" s="64"/>
      <c r="AP47" s="64"/>
      <c r="AQ47" s="64"/>
      <c r="AR47" s="56"/>
    </row>
    <row r="48" spans="2:44" ht="27.75">
      <c r="B48" s="19" t="s">
        <v>112</v>
      </c>
      <c r="C48" s="20" t="s">
        <v>64</v>
      </c>
      <c r="D48" s="40">
        <v>3300</v>
      </c>
      <c r="E48" s="27" t="s">
        <v>114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J48" s="75"/>
      <c r="AK48" s="82"/>
      <c r="AL48" s="55"/>
      <c r="AM48" s="64"/>
      <c r="AN48" s="56"/>
      <c r="AO48" s="64"/>
      <c r="AP48" s="64"/>
      <c r="AQ48" s="64"/>
      <c r="AR48" s="56"/>
    </row>
    <row r="49" spans="2:44" ht="27.75">
      <c r="B49" s="19" t="s">
        <v>115</v>
      </c>
      <c r="C49" s="20" t="s">
        <v>116</v>
      </c>
      <c r="D49" s="48">
        <f>R_mult_bot/(R_mult_top+R_mult_bot)</f>
        <v>0.006622516556291391</v>
      </c>
      <c r="E49" s="27" t="s">
        <v>117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J49" s="75"/>
      <c r="AK49" s="82"/>
      <c r="AL49" s="55"/>
      <c r="AM49" s="64"/>
      <c r="AN49" s="56"/>
      <c r="AO49" s="64"/>
      <c r="AP49" s="64"/>
      <c r="AQ49" s="64"/>
      <c r="AR49" s="56"/>
    </row>
    <row r="50" spans="2:44" ht="27.75">
      <c r="B50" s="19"/>
      <c r="C50" s="20"/>
      <c r="D50" s="10"/>
      <c r="E50" s="2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J50" s="75"/>
      <c r="AK50" s="82"/>
      <c r="AL50" s="55"/>
      <c r="AM50" s="64"/>
      <c r="AN50" s="56"/>
      <c r="AO50" s="64"/>
      <c r="AP50" s="64"/>
      <c r="AQ50" s="64"/>
      <c r="AR50" s="56"/>
    </row>
    <row r="51" spans="2:44" ht="27.75">
      <c r="B51" s="28" t="s">
        <v>119</v>
      </c>
      <c r="C51" s="20"/>
      <c r="D51" s="10"/>
      <c r="E51" s="2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J51" s="75"/>
      <c r="AK51" s="82"/>
      <c r="AL51" s="55"/>
      <c r="AM51" s="64"/>
      <c r="AN51" s="56"/>
      <c r="AO51" s="64"/>
      <c r="AP51" s="64"/>
      <c r="AQ51" s="64"/>
      <c r="AR51" s="56"/>
    </row>
    <row r="52" spans="2:44" ht="27.75">
      <c r="B52" s="19" t="s">
        <v>252</v>
      </c>
      <c r="C52" s="20" t="s">
        <v>65</v>
      </c>
      <c r="D52" s="41">
        <f>(V_cs_ocp_LL_min*(P_eff/100)*V_rms_LL/2/SQRT(2)/P_out)*1000</f>
        <v>146.6097522442658</v>
      </c>
      <c r="E52" s="27" t="s">
        <v>146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J52" s="75"/>
      <c r="AK52" s="82"/>
      <c r="AL52" s="55"/>
      <c r="AM52" s="64"/>
      <c r="AN52" s="56"/>
      <c r="AO52" s="64"/>
      <c r="AP52" s="64"/>
      <c r="AQ52" s="64"/>
      <c r="AR52" s="56"/>
    </row>
    <row r="53" spans="2:44" ht="27.75">
      <c r="B53" s="19" t="s">
        <v>253</v>
      </c>
      <c r="C53" s="20" t="s">
        <v>65</v>
      </c>
      <c r="D53" s="41">
        <f>1000*(1.414*V_ton_pk*P_eff/100/P_out/4)*(1.414*K_m*K_mult_x_LL*V_rms_LL*V_rms_LL+K_offset_x*V_rms_LL)</f>
        <v>175.01792315811258</v>
      </c>
      <c r="E53" s="27" t="s">
        <v>254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J53" s="75"/>
      <c r="AK53" s="82"/>
      <c r="AL53" s="55"/>
      <c r="AM53" s="64"/>
      <c r="AN53" s="56"/>
      <c r="AO53" s="64"/>
      <c r="AP53" s="64"/>
      <c r="AQ53" s="64"/>
      <c r="AR53" s="56"/>
    </row>
    <row r="54" spans="2:44" ht="27.75">
      <c r="B54" s="19" t="s">
        <v>59</v>
      </c>
      <c r="C54" s="20" t="s">
        <v>65</v>
      </c>
      <c r="D54" s="40">
        <v>135</v>
      </c>
      <c r="E54" s="27" t="s">
        <v>147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J54" s="75"/>
      <c r="AK54" s="82"/>
      <c r="AL54" s="55"/>
      <c r="AM54" s="64"/>
      <c r="AN54" s="56"/>
      <c r="AO54" s="64"/>
      <c r="AP54" s="64"/>
      <c r="AQ54" s="64"/>
      <c r="AR54" s="56"/>
    </row>
    <row r="55" spans="2:44" ht="27.75">
      <c r="B55" s="19"/>
      <c r="C55" s="20"/>
      <c r="D55" s="10"/>
      <c r="E55" s="2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J55" s="75"/>
      <c r="AK55" s="82"/>
      <c r="AL55" s="55"/>
      <c r="AM55" s="64"/>
      <c r="AN55" s="56"/>
      <c r="AO55" s="64"/>
      <c r="AP55" s="64"/>
      <c r="AQ55" s="64"/>
      <c r="AR55" s="56"/>
    </row>
    <row r="56" spans="2:44" ht="27.75">
      <c r="B56" s="28" t="s">
        <v>260</v>
      </c>
      <c r="C56" s="20"/>
      <c r="D56" s="10"/>
      <c r="E56" s="2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J56" s="75"/>
      <c r="AK56" s="82"/>
      <c r="AL56" s="55"/>
      <c r="AM56" s="64"/>
      <c r="AN56" s="56"/>
      <c r="AO56" s="64"/>
      <c r="AP56" s="64"/>
      <c r="AQ56" s="64"/>
      <c r="AR56" s="56"/>
    </row>
    <row r="57" spans="2:44" ht="27.75">
      <c r="B57" s="19" t="s">
        <v>261</v>
      </c>
      <c r="C57" s="20" t="s">
        <v>116</v>
      </c>
      <c r="D57" s="40">
        <v>0.1</v>
      </c>
      <c r="E57" s="27" t="s">
        <v>262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J57" s="75"/>
      <c r="AK57" s="82"/>
      <c r="AL57" s="55"/>
      <c r="AM57" s="64"/>
      <c r="AN57" s="56"/>
      <c r="AO57" s="64"/>
      <c r="AP57" s="64"/>
      <c r="AQ57" s="64"/>
      <c r="AR57" s="56"/>
    </row>
    <row r="58" spans="2:44" ht="27.75">
      <c r="B58" s="19" t="s">
        <v>263</v>
      </c>
      <c r="C58" s="20" t="s">
        <v>64</v>
      </c>
      <c r="D58" s="44">
        <f>V_rms_HL*1.414*D57/0.001/1000</f>
        <v>43.127</v>
      </c>
      <c r="E58" s="27" t="s">
        <v>264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J58" s="75"/>
      <c r="AK58" s="82"/>
      <c r="AL58" s="55"/>
      <c r="AM58" s="64"/>
      <c r="AN58" s="56"/>
      <c r="AO58" s="64"/>
      <c r="AP58" s="64"/>
      <c r="AQ58" s="64"/>
      <c r="AR58" s="56"/>
    </row>
    <row r="59" spans="2:44" ht="27.75">
      <c r="B59" s="19"/>
      <c r="C59" s="20"/>
      <c r="D59" s="10"/>
      <c r="E59" s="2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J59" s="75"/>
      <c r="AK59" s="82"/>
      <c r="AL59" s="55"/>
      <c r="AM59" s="64"/>
      <c r="AN59" s="56"/>
      <c r="AO59" s="64"/>
      <c r="AP59" s="64"/>
      <c r="AQ59" s="64"/>
      <c r="AR59" s="56"/>
    </row>
    <row r="60" spans="2:44" ht="27.75">
      <c r="B60" s="28" t="s">
        <v>124</v>
      </c>
      <c r="E60" s="2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J60" s="75"/>
      <c r="AK60" s="82"/>
      <c r="AL60" s="55"/>
      <c r="AM60" s="64"/>
      <c r="AN60" s="56"/>
      <c r="AO60" s="64"/>
      <c r="AP60" s="64"/>
      <c r="AQ60" s="64"/>
      <c r="AR60" s="56"/>
    </row>
    <row r="61" spans="2:44" ht="27.75">
      <c r="B61" s="19" t="s">
        <v>109</v>
      </c>
      <c r="C61" s="20" t="s">
        <v>60</v>
      </c>
      <c r="D61" s="46">
        <f>V_out_nom^2/P_out</f>
        <v>1012.5</v>
      </c>
      <c r="E61" s="27" t="s">
        <v>120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J61" s="75"/>
      <c r="AK61" s="82"/>
      <c r="AL61" s="55"/>
      <c r="AM61" s="64"/>
      <c r="AN61" s="56"/>
      <c r="AO61" s="64"/>
      <c r="AP61" s="64"/>
      <c r="AQ61" s="64"/>
      <c r="AR61" s="56"/>
    </row>
    <row r="62" spans="2:44" ht="27.75">
      <c r="B62" s="19" t="s">
        <v>56</v>
      </c>
      <c r="C62" s="20" t="s">
        <v>17</v>
      </c>
      <c r="D62" s="44">
        <f>V_rms_HL*V_rms_HL*K_m*K_mult_x_HL*R_load_min*1.5/4/V_bulk_nom_verif/(R_sense/1000)/4</f>
        <v>231.4900075743357</v>
      </c>
      <c r="E62" s="27" t="s">
        <v>118</v>
      </c>
      <c r="AJ62" s="75"/>
      <c r="AK62" s="82"/>
      <c r="AL62" s="55"/>
      <c r="AM62" s="64"/>
      <c r="AN62" s="56"/>
      <c r="AO62" s="64"/>
      <c r="AP62" s="64"/>
      <c r="AQ62" s="64"/>
      <c r="AR62" s="56"/>
    </row>
    <row r="63" spans="2:44" ht="27.75">
      <c r="B63" s="19" t="s">
        <v>121</v>
      </c>
      <c r="C63" s="20" t="s">
        <v>122</v>
      </c>
      <c r="D63" s="44">
        <f>20*LOG(G_0/(SQRT(1+(6.28*F_co_max*C_bulk*0.000001*R_load_min/2)^2)))</f>
        <v>33.535441105352184</v>
      </c>
      <c r="E63" s="27" t="s">
        <v>123</v>
      </c>
      <c r="AJ63" s="75"/>
      <c r="AK63" s="82"/>
      <c r="AL63" s="55"/>
      <c r="AM63" s="64"/>
      <c r="AN63" s="56"/>
      <c r="AO63" s="64"/>
      <c r="AP63" s="64"/>
      <c r="AQ63" s="64"/>
      <c r="AR63" s="56"/>
    </row>
    <row r="64" spans="2:44" ht="27.75">
      <c r="B64" s="19" t="s">
        <v>125</v>
      </c>
      <c r="C64" s="20" t="s">
        <v>126</v>
      </c>
      <c r="D64" s="44">
        <f>-(180/3.14)*ATAN(6.28*F_co_max*C_bulk*0.000001*R_load_min/2)</f>
        <v>-78.19670778439291</v>
      </c>
      <c r="E64" s="27" t="s">
        <v>127</v>
      </c>
      <c r="AJ64" s="75"/>
      <c r="AK64" s="82"/>
      <c r="AL64" s="55"/>
      <c r="AM64" s="64"/>
      <c r="AN64" s="56"/>
      <c r="AO64" s="64"/>
      <c r="AP64" s="64"/>
      <c r="AQ64" s="64"/>
      <c r="AR64" s="56"/>
    </row>
    <row r="65" spans="2:44" ht="27.75">
      <c r="B65" s="19" t="s">
        <v>128</v>
      </c>
      <c r="C65" s="20" t="s">
        <v>17</v>
      </c>
      <c r="D65" s="43">
        <f>TAN((Phi_m-Phi_plant_fco_max)*3.14/360)</f>
        <v>2.613719636689907</v>
      </c>
      <c r="E65" s="27" t="s">
        <v>129</v>
      </c>
      <c r="AJ65" s="75"/>
      <c r="AK65" s="82"/>
      <c r="AL65" s="55"/>
      <c r="AM65" s="64"/>
      <c r="AN65" s="56"/>
      <c r="AO65" s="64"/>
      <c r="AP65" s="64"/>
      <c r="AQ65" s="64"/>
      <c r="AR65" s="56"/>
    </row>
    <row r="66" spans="2:44" ht="27.75">
      <c r="B66" s="19" t="s">
        <v>51</v>
      </c>
      <c r="C66" s="20" t="s">
        <v>64</v>
      </c>
      <c r="D66" s="41">
        <f>0.001*V_bulk_nom_verif/0.0002/2.5/(10^(G_plant_fco_max/20))</f>
        <v>18.905675710661964</v>
      </c>
      <c r="E66" s="27" t="s">
        <v>92</v>
      </c>
      <c r="AJ66" s="75"/>
      <c r="AK66" s="82"/>
      <c r="AL66" s="55"/>
      <c r="AM66" s="64"/>
      <c r="AN66" s="56"/>
      <c r="AO66" s="64"/>
      <c r="AP66" s="64"/>
      <c r="AQ66" s="64"/>
      <c r="AR66" s="56"/>
    </row>
    <row r="67" spans="2:44" ht="27.75">
      <c r="B67" s="19" t="s">
        <v>49</v>
      </c>
      <c r="C67" s="20" t="s">
        <v>7</v>
      </c>
      <c r="D67" s="41">
        <f>1000000000*K_factor/6.28/(R_z_calc*1000)/F_c</f>
        <v>2201.441518129166</v>
      </c>
      <c r="E67" s="27" t="s">
        <v>91</v>
      </c>
      <c r="AJ67" s="75"/>
      <c r="AK67" s="82"/>
      <c r="AL67" s="55"/>
      <c r="AM67" s="64"/>
      <c r="AN67" s="56"/>
      <c r="AO67" s="64"/>
      <c r="AP67" s="64"/>
      <c r="AQ67" s="64"/>
      <c r="AR67" s="56"/>
    </row>
    <row r="68" spans="2:44" ht="27.75">
      <c r="B68" s="19" t="s">
        <v>47</v>
      </c>
      <c r="C68" s="20" t="s">
        <v>7</v>
      </c>
      <c r="D68" s="41">
        <f>1000000000*C_z_calc*0.000001/(6.28*C_z_calc*0.000001*K_factor*R_z_calc*1000*F_co_max-1)</f>
        <v>322.2943766883355</v>
      </c>
      <c r="E68" s="27" t="s">
        <v>90</v>
      </c>
      <c r="AJ68" s="75"/>
      <c r="AK68" s="82"/>
      <c r="AL68" s="55"/>
      <c r="AM68" s="64"/>
      <c r="AN68" s="56"/>
      <c r="AO68" s="64"/>
      <c r="AP68" s="64"/>
      <c r="AQ68" s="64"/>
      <c r="AR68" s="56"/>
    </row>
    <row r="69" spans="2:44" ht="27.75">
      <c r="B69" s="19" t="s">
        <v>52</v>
      </c>
      <c r="C69" s="20" t="s">
        <v>64</v>
      </c>
      <c r="D69" s="39">
        <v>18</v>
      </c>
      <c r="E69" s="27" t="s">
        <v>130</v>
      </c>
      <c r="AJ69" s="75"/>
      <c r="AK69" s="82"/>
      <c r="AL69" s="55"/>
      <c r="AM69" s="64"/>
      <c r="AN69" s="56"/>
      <c r="AO69" s="64"/>
      <c r="AP69" s="64"/>
      <c r="AQ69" s="64"/>
      <c r="AR69" s="56"/>
    </row>
    <row r="70" spans="2:44" ht="27.75">
      <c r="B70" s="19" t="s">
        <v>50</v>
      </c>
      <c r="C70" s="20" t="s">
        <v>7</v>
      </c>
      <c r="D70" s="39">
        <v>2200</v>
      </c>
      <c r="E70" s="27" t="s">
        <v>131</v>
      </c>
      <c r="AJ70" s="75"/>
      <c r="AK70" s="82"/>
      <c r="AL70" s="55"/>
      <c r="AM70" s="64"/>
      <c r="AN70" s="56"/>
      <c r="AO70" s="64"/>
      <c r="AP70" s="64"/>
      <c r="AQ70" s="64"/>
      <c r="AR70" s="56"/>
    </row>
    <row r="71" spans="2:44" ht="27.75">
      <c r="B71" s="19" t="s">
        <v>48</v>
      </c>
      <c r="C71" s="20" t="s">
        <v>7</v>
      </c>
      <c r="D71" s="91">
        <v>330</v>
      </c>
      <c r="E71" s="27" t="s">
        <v>132</v>
      </c>
      <c r="AJ71" s="75"/>
      <c r="AK71" s="82"/>
      <c r="AL71" s="55"/>
      <c r="AM71" s="64"/>
      <c r="AN71" s="56"/>
      <c r="AO71" s="64"/>
      <c r="AP71" s="64"/>
      <c r="AQ71" s="64"/>
      <c r="AR71" s="56"/>
    </row>
    <row r="72" spans="2:44" ht="27.75">
      <c r="B72" s="19"/>
      <c r="C72" s="20"/>
      <c r="D72" s="10"/>
      <c r="E72" s="27"/>
      <c r="AJ72" s="75"/>
      <c r="AK72" s="82"/>
      <c r="AL72" s="55"/>
      <c r="AM72" s="64"/>
      <c r="AN72" s="56"/>
      <c r="AO72" s="64"/>
      <c r="AP72" s="64"/>
      <c r="AQ72" s="64"/>
      <c r="AR72" s="56"/>
    </row>
    <row r="73" spans="20:44" ht="27.75">
      <c r="T73" s="34" t="s">
        <v>22</v>
      </c>
      <c r="U73" s="34">
        <v>640000</v>
      </c>
      <c r="V73" s="35">
        <v>0.54</v>
      </c>
      <c r="W73" s="35">
        <v>12.5</v>
      </c>
      <c r="X73" s="35">
        <v>4.17</v>
      </c>
      <c r="AJ73" s="75"/>
      <c r="AK73" s="82"/>
      <c r="AL73" s="55"/>
      <c r="AM73" s="64"/>
      <c r="AN73" s="56"/>
      <c r="AO73" s="64"/>
      <c r="AP73" s="64"/>
      <c r="AQ73" s="64"/>
      <c r="AR73" s="56"/>
    </row>
    <row r="74" spans="2:44" ht="27.75">
      <c r="B74" s="19" t="s">
        <v>89</v>
      </c>
      <c r="C74" s="20" t="s">
        <v>9</v>
      </c>
      <c r="D74" s="43">
        <f>P_out/3.14/V_out_nom/V_out_nom/(C_bulk*0.000001)</f>
        <v>2.0969306178081832</v>
      </c>
      <c r="E74" s="63" t="s">
        <v>215</v>
      </c>
      <c r="F74" s="49"/>
      <c r="G74" s="49"/>
      <c r="T74" s="34" t="s">
        <v>21</v>
      </c>
      <c r="U74" s="34">
        <v>640000</v>
      </c>
      <c r="V74" s="35">
        <v>0.9</v>
      </c>
      <c r="W74" s="35">
        <v>12.5</v>
      </c>
      <c r="X74" s="35">
        <v>4.17</v>
      </c>
      <c r="AJ74" s="75"/>
      <c r="AK74" s="82"/>
      <c r="AL74" s="55"/>
      <c r="AM74" s="64"/>
      <c r="AN74" s="56"/>
      <c r="AO74" s="64"/>
      <c r="AP74" s="64"/>
      <c r="AQ74" s="64"/>
      <c r="AR74" s="56"/>
    </row>
    <row r="75" spans="2:44" ht="27.75">
      <c r="B75" s="19" t="s">
        <v>53</v>
      </c>
      <c r="C75" s="20" t="s">
        <v>9</v>
      </c>
      <c r="D75" s="43">
        <f>1/(6.28/2.5/0.0002)/V_out_nom/(C_z*0.000000001+C_p*0.000000001)</f>
        <v>0.06993222169073733</v>
      </c>
      <c r="E75" s="63" t="s">
        <v>210</v>
      </c>
      <c r="F75" s="49"/>
      <c r="G75" s="49"/>
      <c r="T75" s="34" t="s">
        <v>23</v>
      </c>
      <c r="U75" s="34">
        <v>640000</v>
      </c>
      <c r="V75" s="35">
        <v>1.35</v>
      </c>
      <c r="W75" s="35">
        <v>12.5</v>
      </c>
      <c r="X75" s="35">
        <v>4.17</v>
      </c>
      <c r="AJ75" s="75"/>
      <c r="AK75" s="82"/>
      <c r="AL75" s="55"/>
      <c r="AM75" s="64"/>
      <c r="AN75" s="56"/>
      <c r="AO75" s="64"/>
      <c r="AP75" s="64"/>
      <c r="AQ75" s="64"/>
      <c r="AR75" s="56"/>
    </row>
    <row r="76" spans="2:44" ht="27.75">
      <c r="B76" s="19" t="s">
        <v>54</v>
      </c>
      <c r="C76" s="20" t="s">
        <v>9</v>
      </c>
      <c r="D76" s="43">
        <f>1/6.28/(R_z*1000)/(C_z*0.000000001)</f>
        <v>4.021102747217397</v>
      </c>
      <c r="E76" s="63" t="s">
        <v>211</v>
      </c>
      <c r="F76" s="49"/>
      <c r="G76" s="49"/>
      <c r="T76" s="34" t="s">
        <v>24</v>
      </c>
      <c r="U76" s="34">
        <v>960384</v>
      </c>
      <c r="V76" s="35">
        <v>0.82</v>
      </c>
      <c r="W76" s="35">
        <v>8.33</v>
      </c>
      <c r="X76" s="35">
        <v>2.78</v>
      </c>
      <c r="AJ76" s="75"/>
      <c r="AK76" s="82"/>
      <c r="AL76" s="55"/>
      <c r="AM76" s="64"/>
      <c r="AN76" s="56"/>
      <c r="AO76" s="64"/>
      <c r="AP76" s="64"/>
      <c r="AQ76" s="64"/>
      <c r="AR76" s="56"/>
    </row>
    <row r="77" spans="2:44" ht="27.75">
      <c r="B77" s="19" t="s">
        <v>55</v>
      </c>
      <c r="C77" s="20" t="s">
        <v>9</v>
      </c>
      <c r="D77" s="44">
        <f>(C_p*0.000000001+C_z*0.000000001)/6.28/(R_z*1000)/(C_p*0.000000001)/(C_z*0.000000001)</f>
        <v>30.82845439533338</v>
      </c>
      <c r="E77" s="63" t="s">
        <v>212</v>
      </c>
      <c r="F77" s="49"/>
      <c r="G77" s="49"/>
      <c r="T77" s="34" t="s">
        <v>25</v>
      </c>
      <c r="U77" s="34">
        <v>960384</v>
      </c>
      <c r="V77" s="35">
        <v>1.35</v>
      </c>
      <c r="W77" s="35">
        <v>8.33</v>
      </c>
      <c r="X77" s="35">
        <v>2.78</v>
      </c>
      <c r="AJ77" s="75"/>
      <c r="AK77" s="82"/>
      <c r="AL77" s="55"/>
      <c r="AM77" s="64"/>
      <c r="AN77" s="56"/>
      <c r="AO77" s="64"/>
      <c r="AP77" s="64"/>
      <c r="AQ77" s="64"/>
      <c r="AR77" s="56"/>
    </row>
    <row r="78" spans="2:44" ht="27.75">
      <c r="B78" s="19"/>
      <c r="C78" s="20"/>
      <c r="D78" s="49"/>
      <c r="F78" s="49"/>
      <c r="G78" s="49"/>
      <c r="T78" s="34"/>
      <c r="U78" s="34"/>
      <c r="V78" s="35"/>
      <c r="W78" s="35"/>
      <c r="X78" s="35"/>
      <c r="AJ78" s="75"/>
      <c r="AK78" s="82"/>
      <c r="AL78" s="55"/>
      <c r="AM78" s="64"/>
      <c r="AN78" s="56"/>
      <c r="AO78" s="64"/>
      <c r="AP78" s="64"/>
      <c r="AQ78" s="64"/>
      <c r="AR78" s="56"/>
    </row>
    <row r="79" spans="2:44" ht="27.75">
      <c r="B79" s="32" t="s">
        <v>180</v>
      </c>
      <c r="C79" s="20"/>
      <c r="D79" s="49"/>
      <c r="E79" s="63"/>
      <c r="F79" s="49"/>
      <c r="G79" s="49"/>
      <c r="AJ79" s="75"/>
      <c r="AK79" s="82"/>
      <c r="AL79" s="55"/>
      <c r="AM79" s="64"/>
      <c r="AN79" s="56"/>
      <c r="AO79" s="64"/>
      <c r="AP79" s="64"/>
      <c r="AQ79" s="64"/>
      <c r="AR79" s="56"/>
    </row>
    <row r="80" spans="2:44" ht="27.75">
      <c r="B80" s="26"/>
      <c r="C80" s="20"/>
      <c r="D80" s="49"/>
      <c r="E80" s="63"/>
      <c r="F80" s="49"/>
      <c r="G80" s="49"/>
      <c r="T80" s="31"/>
      <c r="U80" s="31"/>
      <c r="AJ80" s="75"/>
      <c r="AK80" s="82"/>
      <c r="AL80" s="55"/>
      <c r="AM80" s="64"/>
      <c r="AN80" s="56"/>
      <c r="AO80" s="64"/>
      <c r="AP80" s="64"/>
      <c r="AQ80" s="64"/>
      <c r="AR80" s="56"/>
    </row>
    <row r="81" spans="5:44" ht="27.75">
      <c r="E81" s="32"/>
      <c r="F81" s="32"/>
      <c r="G81" s="32"/>
      <c r="H81" s="32"/>
      <c r="I81" s="32"/>
      <c r="J81" s="32"/>
      <c r="K81" s="32"/>
      <c r="L81" s="32"/>
      <c r="M81" s="33"/>
      <c r="N81" s="32"/>
      <c r="O81" s="32"/>
      <c r="P81" s="32"/>
      <c r="Q81" s="32"/>
      <c r="R81" s="32"/>
      <c r="S81" s="32"/>
      <c r="T81" s="32"/>
      <c r="AJ81" s="75"/>
      <c r="AK81" s="82"/>
      <c r="AL81" s="55"/>
      <c r="AM81" s="64"/>
      <c r="AN81" s="56"/>
      <c r="AO81" s="64"/>
      <c r="AP81" s="64"/>
      <c r="AQ81" s="64"/>
      <c r="AR81" s="56"/>
    </row>
    <row r="82" spans="2:44" ht="27.75">
      <c r="B82" s="4"/>
      <c r="C82" s="4"/>
      <c r="D82" s="4"/>
      <c r="E82" s="27"/>
      <c r="AJ82" s="75"/>
      <c r="AK82" s="82"/>
      <c r="AL82" s="55"/>
      <c r="AM82" s="64"/>
      <c r="AN82" s="56"/>
      <c r="AO82" s="64"/>
      <c r="AP82" s="64"/>
      <c r="AQ82" s="64"/>
      <c r="AR82" s="56"/>
    </row>
    <row r="83" spans="2:44" ht="27.75">
      <c r="B83" s="28" t="s">
        <v>133</v>
      </c>
      <c r="C83" s="4"/>
      <c r="D83" s="5"/>
      <c r="E83" s="27"/>
      <c r="AJ83" s="75"/>
      <c r="AK83" s="82"/>
      <c r="AL83" s="55"/>
      <c r="AM83" s="64"/>
      <c r="AN83" s="56"/>
      <c r="AO83" s="64"/>
      <c r="AP83" s="64"/>
      <c r="AQ83" s="64"/>
      <c r="AR83" s="56"/>
    </row>
    <row r="84" spans="2:44" ht="27.75">
      <c r="B84" s="19" t="s">
        <v>81</v>
      </c>
      <c r="C84" s="20" t="s">
        <v>3</v>
      </c>
      <c r="D84" s="41">
        <f>IF(Line_Det=1,V_ll_typ/K_m/1.414,0)</f>
        <v>151.85431400282886</v>
      </c>
      <c r="E84" s="27" t="s">
        <v>245</v>
      </c>
      <c r="AJ84" s="75"/>
      <c r="AK84" s="82"/>
      <c r="AL84" s="55"/>
      <c r="AM84" s="64"/>
      <c r="AN84" s="56"/>
      <c r="AO84" s="64"/>
      <c r="AP84" s="64"/>
      <c r="AQ84" s="64"/>
      <c r="AR84" s="56"/>
    </row>
    <row r="85" spans="2:44" ht="27.75">
      <c r="B85" s="19" t="s">
        <v>82</v>
      </c>
      <c r="C85" s="20" t="s">
        <v>3</v>
      </c>
      <c r="D85" s="41">
        <f>IF(Line_Det=1,V_hl_typ/K_m/1.414,0)</f>
        <v>173.53253182461106</v>
      </c>
      <c r="E85" s="27" t="s">
        <v>246</v>
      </c>
      <c r="AJ85" s="75"/>
      <c r="AK85" s="82"/>
      <c r="AL85" s="55"/>
      <c r="AM85" s="64"/>
      <c r="AN85" s="56"/>
      <c r="AO85" s="64"/>
      <c r="AP85" s="64"/>
      <c r="AQ85" s="64"/>
      <c r="AR85" s="56"/>
    </row>
    <row r="86" spans="2:44" ht="27.75">
      <c r="B86" s="4"/>
      <c r="C86" s="4"/>
      <c r="D86" s="4"/>
      <c r="E86" s="27"/>
      <c r="AJ86" s="75"/>
      <c r="AK86" s="82"/>
      <c r="AL86" s="55"/>
      <c r="AM86" s="64"/>
      <c r="AN86" s="56"/>
      <c r="AO86" s="64"/>
      <c r="AP86" s="64"/>
      <c r="AQ86" s="64"/>
      <c r="AR86" s="56"/>
    </row>
    <row r="87" spans="2:44" ht="27.75">
      <c r="B87" s="28" t="s">
        <v>134</v>
      </c>
      <c r="C87" s="4"/>
      <c r="D87" s="4"/>
      <c r="E87" s="27"/>
      <c r="AJ87" s="75"/>
      <c r="AK87" s="82"/>
      <c r="AL87" s="55"/>
      <c r="AM87" s="64"/>
      <c r="AN87" s="56"/>
      <c r="AO87" s="64"/>
      <c r="AP87" s="64"/>
      <c r="AQ87" s="64"/>
      <c r="AR87" s="56"/>
    </row>
    <row r="88" spans="2:44" ht="27.75">
      <c r="B88" s="19" t="s">
        <v>83</v>
      </c>
      <c r="C88" s="20" t="s">
        <v>3</v>
      </c>
      <c r="D88" s="41">
        <f>IF(Brownout=1,V_boh_typ/K_m/1.414,0)</f>
        <v>84.04314002828855</v>
      </c>
      <c r="E88" s="27" t="s">
        <v>236</v>
      </c>
      <c r="AJ88" s="75"/>
      <c r="AK88" s="82"/>
      <c r="AL88" s="55"/>
      <c r="AM88" s="64"/>
      <c r="AN88" s="56"/>
      <c r="AO88" s="64"/>
      <c r="AP88" s="64"/>
      <c r="AQ88" s="64"/>
      <c r="AR88" s="56"/>
    </row>
    <row r="89" spans="2:44" ht="27.75">
      <c r="B89" s="19" t="s">
        <v>84</v>
      </c>
      <c r="C89" s="20" t="s">
        <v>3</v>
      </c>
      <c r="D89" s="50">
        <f>IF(Brownout=1,V_bol_typ/K_m/1.414,0)</f>
        <v>75.71357850070721</v>
      </c>
      <c r="E89" s="27" t="s">
        <v>237</v>
      </c>
      <c r="AJ89" s="75"/>
      <c r="AK89" s="82"/>
      <c r="AL89" s="55"/>
      <c r="AM89" s="64"/>
      <c r="AN89" s="56"/>
      <c r="AO89" s="64"/>
      <c r="AP89" s="64"/>
      <c r="AQ89" s="64"/>
      <c r="AR89" s="56"/>
    </row>
    <row r="90" spans="4:44" ht="27.75">
      <c r="D90" s="4"/>
      <c r="AJ90" s="75"/>
      <c r="AK90" s="82"/>
      <c r="AL90" s="55"/>
      <c r="AM90" s="64"/>
      <c r="AN90" s="56"/>
      <c r="AO90" s="64"/>
      <c r="AP90" s="64"/>
      <c r="AQ90" s="64"/>
      <c r="AR90" s="56"/>
    </row>
    <row r="91" spans="2:44" ht="27.75">
      <c r="B91" s="28" t="s">
        <v>135</v>
      </c>
      <c r="D91" s="4"/>
      <c r="AJ91" s="75"/>
      <c r="AK91" s="82"/>
      <c r="AL91" s="55"/>
      <c r="AM91" s="64"/>
      <c r="AN91" s="56"/>
      <c r="AO91" s="64"/>
      <c r="AP91" s="64"/>
      <c r="AQ91" s="64"/>
      <c r="AR91" s="56"/>
    </row>
    <row r="92" spans="2:44" ht="27.75">
      <c r="B92" s="19" t="s">
        <v>136</v>
      </c>
      <c r="C92" s="20" t="s">
        <v>60</v>
      </c>
      <c r="D92" s="40">
        <v>150</v>
      </c>
      <c r="E92" s="27" t="s">
        <v>141</v>
      </c>
      <c r="AJ92" s="75"/>
      <c r="AK92" s="82"/>
      <c r="AL92" s="55"/>
      <c r="AM92" s="64"/>
      <c r="AN92" s="56"/>
      <c r="AO92" s="64"/>
      <c r="AP92" s="64"/>
      <c r="AQ92" s="64"/>
      <c r="AR92" s="56"/>
    </row>
    <row r="93" spans="2:44" ht="27.75">
      <c r="B93" s="19" t="s">
        <v>137</v>
      </c>
      <c r="C93" s="20" t="s">
        <v>3</v>
      </c>
      <c r="D93" s="51">
        <f>IF(R_cs=1000,2.19,IF(R_cs=620,1.83,IF(R_cs=330,1.48,IF(R_cs=150,1.12,"Wrong Rcs"))))</f>
        <v>1.12</v>
      </c>
      <c r="E93" s="27" t="s">
        <v>139</v>
      </c>
      <c r="AJ93" s="75"/>
      <c r="AK93" s="82"/>
      <c r="AL93" s="55"/>
      <c r="AM93" s="64"/>
      <c r="AN93" s="56"/>
      <c r="AO93" s="64"/>
      <c r="AP93" s="64"/>
      <c r="AQ93" s="64"/>
      <c r="AR93" s="56"/>
    </row>
    <row r="94" spans="2:44" ht="27.75">
      <c r="B94" s="19" t="s">
        <v>138</v>
      </c>
      <c r="C94" s="20" t="s">
        <v>3</v>
      </c>
      <c r="D94" s="51">
        <f>IF(R_cs=1000,2.54,IF(R_cs=620,2.1,IF(R_cs=330,1.66,IF(R_cs=150,1.21,"Wrong Rcs"))))</f>
        <v>1.21</v>
      </c>
      <c r="E94" s="27" t="s">
        <v>140</v>
      </c>
      <c r="AJ94" s="75"/>
      <c r="AK94" s="82"/>
      <c r="AL94" s="55"/>
      <c r="AM94" s="64"/>
      <c r="AN94" s="56"/>
      <c r="AO94" s="64"/>
      <c r="AP94" s="64"/>
      <c r="AQ94" s="64"/>
      <c r="AR94" s="56"/>
    </row>
    <row r="95" spans="2:44" ht="27.75">
      <c r="B95" s="19"/>
      <c r="C95" s="20"/>
      <c r="D95" s="10"/>
      <c r="E95" s="27"/>
      <c r="AJ95" s="75"/>
      <c r="AK95" s="82"/>
      <c r="AL95" s="55"/>
      <c r="AM95" s="64"/>
      <c r="AN95" s="56"/>
      <c r="AO95" s="64"/>
      <c r="AP95" s="64"/>
      <c r="AQ95" s="64"/>
      <c r="AR95" s="56"/>
    </row>
    <row r="96" spans="2:44" ht="27.75">
      <c r="B96" s="28" t="s">
        <v>142</v>
      </c>
      <c r="AJ96" s="75"/>
      <c r="AK96" s="82"/>
      <c r="AL96" s="55"/>
      <c r="AM96" s="64"/>
      <c r="AN96" s="56"/>
      <c r="AO96" s="64"/>
      <c r="AP96" s="64"/>
      <c r="AQ96" s="64"/>
      <c r="AR96" s="56"/>
    </row>
    <row r="97" spans="2:44" ht="27.75">
      <c r="B97" s="19" t="s">
        <v>57</v>
      </c>
      <c r="C97" s="20" t="s">
        <v>3</v>
      </c>
      <c r="D97" s="41">
        <f>0.45*(R_fb_1+R_fb_2)/R_fb_2</f>
        <v>80.83636363636364</v>
      </c>
      <c r="E97" s="27" t="s">
        <v>27</v>
      </c>
      <c r="AJ97" s="75"/>
      <c r="AK97" s="82"/>
      <c r="AL97" s="55"/>
      <c r="AM97" s="64"/>
      <c r="AN97" s="56"/>
      <c r="AO97" s="64"/>
      <c r="AP97" s="64"/>
      <c r="AQ97" s="64"/>
      <c r="AR97" s="56"/>
    </row>
    <row r="98" spans="2:44" ht="27.75">
      <c r="B98" s="19" t="s">
        <v>58</v>
      </c>
      <c r="C98" s="20" t="s">
        <v>3</v>
      </c>
      <c r="D98" s="50">
        <f>0.2*(R_fb_1+R_fb_2)/R_fb_2</f>
        <v>35.92727272727273</v>
      </c>
      <c r="E98" s="27" t="s">
        <v>28</v>
      </c>
      <c r="AJ98" s="75"/>
      <c r="AK98" s="82"/>
      <c r="AL98" s="55"/>
      <c r="AM98" s="64"/>
      <c r="AN98" s="56"/>
      <c r="AO98" s="64"/>
      <c r="AP98" s="64"/>
      <c r="AQ98" s="64"/>
      <c r="AR98" s="56"/>
    </row>
    <row r="99" spans="36:44" ht="27.75">
      <c r="AJ99" s="75"/>
      <c r="AK99" s="76"/>
      <c r="AL99" s="77"/>
      <c r="AM99" s="77"/>
      <c r="AN99" s="77"/>
      <c r="AO99" s="77"/>
      <c r="AP99" s="77"/>
      <c r="AQ99" s="77"/>
      <c r="AR99" s="77"/>
    </row>
    <row r="100" spans="2:44" ht="27.75">
      <c r="B100" s="28" t="s">
        <v>144</v>
      </c>
      <c r="AJ100" s="75"/>
      <c r="AK100" s="82"/>
      <c r="AL100" s="55"/>
      <c r="AM100" s="64"/>
      <c r="AN100" s="56"/>
      <c r="AO100" s="64"/>
      <c r="AP100" s="64"/>
      <c r="AQ100" s="64"/>
      <c r="AR100" s="56"/>
    </row>
    <row r="101" spans="2:44" ht="27.75">
      <c r="B101" s="19" t="s">
        <v>66</v>
      </c>
      <c r="C101" s="20" t="s">
        <v>5</v>
      </c>
      <c r="D101" s="44">
        <f>(1.8/V_rms_LL)*P_out/(P_eff/100)</f>
        <v>4.2105263157894735</v>
      </c>
      <c r="E101" s="27" t="s">
        <v>145</v>
      </c>
      <c r="AJ101" s="75"/>
      <c r="AK101" s="82"/>
      <c r="AL101" s="55"/>
      <c r="AM101" s="64"/>
      <c r="AN101" s="56"/>
      <c r="AO101" s="64"/>
      <c r="AP101" s="64"/>
      <c r="AQ101" s="64"/>
      <c r="AR101" s="56"/>
    </row>
    <row r="102" spans="2:44" ht="27.75">
      <c r="B102" s="19" t="s">
        <v>67</v>
      </c>
      <c r="C102" s="20" t="s">
        <v>5</v>
      </c>
      <c r="D102" s="44">
        <f>2.667*Rds_on*((100*P_out/P_eff/V_rms_LL)^2)*(1-(1.201*V_rms_LL/V_out_nom))</f>
        <v>2.7719798912485887</v>
      </c>
      <c r="E102" s="27" t="s">
        <v>143</v>
      </c>
      <c r="AJ102" s="75"/>
      <c r="AK102" s="82"/>
      <c r="AL102" s="55"/>
      <c r="AM102" s="64"/>
      <c r="AN102" s="56"/>
      <c r="AO102" s="64"/>
      <c r="AP102" s="64"/>
      <c r="AQ102" s="64"/>
      <c r="AR102" s="56"/>
    </row>
    <row r="103" spans="2:44" ht="27.75">
      <c r="B103" s="19" t="s">
        <v>68</v>
      </c>
      <c r="C103" s="20" t="s">
        <v>5</v>
      </c>
      <c r="D103" s="44">
        <f>(P_out/V_out_nom)*1</f>
        <v>0.4444444444444444</v>
      </c>
      <c r="E103" s="27" t="s">
        <v>69</v>
      </c>
      <c r="AJ103" s="75"/>
      <c r="AK103" s="82"/>
      <c r="AL103" s="55"/>
      <c r="AM103" s="64"/>
      <c r="AN103" s="56"/>
      <c r="AO103" s="64"/>
      <c r="AP103" s="64"/>
      <c r="AQ103" s="64"/>
      <c r="AR103" s="56"/>
    </row>
    <row r="104" spans="2:44" ht="27.75">
      <c r="B104" s="19" t="s">
        <v>70</v>
      </c>
      <c r="C104" s="20" t="s">
        <v>5</v>
      </c>
      <c r="D104" s="43">
        <f>1.333*(R_sense/1000)*((100*P_out/P_eff/V_rms_LL)^2)*(1-(1.201*V_rms_LL/V_out_nom))</f>
        <v>0.7481539427516158</v>
      </c>
      <c r="E104" s="27" t="s">
        <v>71</v>
      </c>
      <c r="AJ104" s="75"/>
      <c r="AK104" s="82"/>
      <c r="AL104" s="55"/>
      <c r="AM104" s="64"/>
      <c r="AN104" s="56"/>
      <c r="AO104" s="64"/>
      <c r="AP104" s="64"/>
      <c r="AQ104" s="64"/>
      <c r="AR104" s="56"/>
    </row>
    <row r="105" spans="2:44" ht="27.75">
      <c r="B105" s="19" t="s">
        <v>150</v>
      </c>
      <c r="C105" s="20" t="s">
        <v>11</v>
      </c>
      <c r="D105" s="44">
        <f>1000*((V_rms_HL*SQRT(2))^2)/(R_mult_bot*1000+R_mult_top*1000)</f>
        <v>56.005418422636964</v>
      </c>
      <c r="E105" s="27" t="s">
        <v>148</v>
      </c>
      <c r="AJ105" s="75"/>
      <c r="AK105" s="82"/>
      <c r="AL105" s="55"/>
      <c r="AM105" s="64"/>
      <c r="AN105" s="56"/>
      <c r="AO105" s="64"/>
      <c r="AP105" s="64"/>
      <c r="AQ105" s="64"/>
      <c r="AR105" s="56"/>
    </row>
    <row r="106" spans="2:44" ht="27.75">
      <c r="B106" s="19" t="s">
        <v>149</v>
      </c>
      <c r="C106" s="20" t="s">
        <v>11</v>
      </c>
      <c r="D106" s="44">
        <f>1000*(V_out_nom*V_out_nom/(R_fb_1*1000+R_fb_2*1000))</f>
        <v>51.23987854251012</v>
      </c>
      <c r="E106" s="27" t="s">
        <v>151</v>
      </c>
      <c r="AJ106" s="75"/>
      <c r="AK106" s="82"/>
      <c r="AL106" s="55"/>
      <c r="AM106" s="64"/>
      <c r="AN106" s="56"/>
      <c r="AO106" s="64"/>
      <c r="AP106" s="64"/>
      <c r="AQ106" s="64"/>
      <c r="AR106" s="56"/>
    </row>
    <row r="107" spans="2:44" ht="27.75">
      <c r="B107" s="52"/>
      <c r="AJ107" s="75"/>
      <c r="AK107" s="82"/>
      <c r="AL107" s="55"/>
      <c r="AM107" s="64"/>
      <c r="AN107" s="56"/>
      <c r="AO107" s="64"/>
      <c r="AP107" s="64"/>
      <c r="AQ107" s="64"/>
      <c r="AR107" s="56"/>
    </row>
    <row r="108" spans="2:44" ht="27.75">
      <c r="B108" s="2" t="s">
        <v>184</v>
      </c>
      <c r="AJ108" s="75"/>
      <c r="AK108" s="82"/>
      <c r="AL108" s="55"/>
      <c r="AM108" s="64"/>
      <c r="AN108" s="56"/>
      <c r="AO108" s="64"/>
      <c r="AP108" s="64"/>
      <c r="AQ108" s="64"/>
      <c r="AR108" s="56"/>
    </row>
    <row r="109" spans="6:44" ht="27.75">
      <c r="F109" s="53"/>
      <c r="AJ109" s="75"/>
      <c r="AK109" s="82"/>
      <c r="AL109" s="55"/>
      <c r="AM109" s="64"/>
      <c r="AN109" s="56"/>
      <c r="AO109" s="64"/>
      <c r="AP109" s="64"/>
      <c r="AQ109" s="64"/>
      <c r="AR109" s="56"/>
    </row>
    <row r="110" spans="36:44" ht="27.75">
      <c r="AJ110" s="75"/>
      <c r="AK110" s="82"/>
      <c r="AL110" s="55"/>
      <c r="AM110" s="64"/>
      <c r="AN110" s="56"/>
      <c r="AO110" s="64"/>
      <c r="AP110" s="64"/>
      <c r="AQ110" s="64"/>
      <c r="AR110" s="56"/>
    </row>
    <row r="111" spans="36:44" ht="27.75">
      <c r="AJ111" s="75"/>
      <c r="AK111" s="82"/>
      <c r="AL111" s="55"/>
      <c r="AM111" s="64"/>
      <c r="AN111" s="56"/>
      <c r="AO111" s="64"/>
      <c r="AP111" s="64"/>
      <c r="AQ111" s="64"/>
      <c r="AR111" s="56"/>
    </row>
    <row r="112" spans="36:44" ht="27.75">
      <c r="AJ112" s="75"/>
      <c r="AK112" s="82"/>
      <c r="AL112" s="55"/>
      <c r="AM112" s="64"/>
      <c r="AN112" s="56"/>
      <c r="AO112" s="64"/>
      <c r="AP112" s="64"/>
      <c r="AQ112" s="64"/>
      <c r="AR112" s="56"/>
    </row>
    <row r="113" spans="36:44" ht="27.75">
      <c r="AJ113" s="75"/>
      <c r="AK113" s="82"/>
      <c r="AL113" s="55"/>
      <c r="AM113" s="64"/>
      <c r="AN113" s="56"/>
      <c r="AO113" s="64"/>
      <c r="AP113" s="64"/>
      <c r="AQ113" s="64"/>
      <c r="AR113" s="56"/>
    </row>
    <row r="114" spans="2:44" ht="50.25" customHeight="1">
      <c r="B114" s="37" t="s">
        <v>93</v>
      </c>
      <c r="C114" s="10"/>
      <c r="D114" s="10"/>
      <c r="M114" s="10"/>
      <c r="AJ114" s="75"/>
      <c r="AK114" s="82"/>
      <c r="AL114" s="55"/>
      <c r="AM114" s="64"/>
      <c r="AN114" s="56"/>
      <c r="AO114" s="64"/>
      <c r="AP114" s="64"/>
      <c r="AQ114" s="64"/>
      <c r="AR114" s="56"/>
    </row>
    <row r="115" spans="2:44" ht="27.75">
      <c r="B115" s="38">
        <v>10</v>
      </c>
      <c r="AJ115" s="75"/>
      <c r="AK115" s="82"/>
      <c r="AL115" s="55"/>
      <c r="AM115" s="64"/>
      <c r="AN115" s="56"/>
      <c r="AO115" s="64"/>
      <c r="AP115" s="64"/>
      <c r="AQ115" s="64"/>
      <c r="AR115" s="56"/>
    </row>
    <row r="116" spans="2:44" ht="27.75">
      <c r="B116" s="38">
        <v>22</v>
      </c>
      <c r="AJ116" s="75"/>
      <c r="AK116" s="82"/>
      <c r="AL116" s="55"/>
      <c r="AM116" s="64"/>
      <c r="AN116" s="56"/>
      <c r="AO116" s="64"/>
      <c r="AP116" s="64"/>
      <c r="AQ116" s="64"/>
      <c r="AR116" s="56"/>
    </row>
    <row r="117" spans="2:44" ht="27.75">
      <c r="B117" s="38">
        <v>33</v>
      </c>
      <c r="AJ117" s="75"/>
      <c r="AK117" s="82"/>
      <c r="AL117" s="55"/>
      <c r="AM117" s="64"/>
      <c r="AN117" s="56"/>
      <c r="AO117" s="64"/>
      <c r="AP117" s="64"/>
      <c r="AQ117" s="64"/>
      <c r="AR117" s="56"/>
    </row>
    <row r="118" spans="2:44" ht="27.75">
      <c r="B118" s="38">
        <v>47</v>
      </c>
      <c r="AJ118" s="75"/>
      <c r="AK118" s="82"/>
      <c r="AL118" s="55"/>
      <c r="AM118" s="64"/>
      <c r="AN118" s="56"/>
      <c r="AO118" s="64"/>
      <c r="AP118" s="64"/>
      <c r="AQ118" s="64"/>
      <c r="AR118" s="56"/>
    </row>
    <row r="119" spans="2:44" ht="27.75">
      <c r="B119" s="38">
        <v>56</v>
      </c>
      <c r="AJ119" s="75"/>
      <c r="AK119" s="82"/>
      <c r="AL119" s="55"/>
      <c r="AM119" s="64"/>
      <c r="AN119" s="56"/>
      <c r="AO119" s="64"/>
      <c r="AP119" s="64"/>
      <c r="AQ119" s="64"/>
      <c r="AR119" s="56"/>
    </row>
    <row r="120" spans="2:44" ht="27.75">
      <c r="B120" s="38">
        <v>68</v>
      </c>
      <c r="AJ120" s="75"/>
      <c r="AK120" s="82"/>
      <c r="AL120" s="55"/>
      <c r="AM120" s="64"/>
      <c r="AN120" s="56"/>
      <c r="AO120" s="64"/>
      <c r="AP120" s="64"/>
      <c r="AQ120" s="64"/>
      <c r="AR120" s="56"/>
    </row>
    <row r="121" spans="2:44" ht="27.75">
      <c r="B121" s="38">
        <v>82</v>
      </c>
      <c r="AJ121" s="75"/>
      <c r="AK121" s="82"/>
      <c r="AL121" s="55"/>
      <c r="AM121" s="64"/>
      <c r="AN121" s="56"/>
      <c r="AO121" s="64"/>
      <c r="AP121" s="64"/>
      <c r="AQ121" s="64"/>
      <c r="AR121" s="56"/>
    </row>
    <row r="122" spans="2:44" ht="27.75">
      <c r="B122" s="38">
        <v>100</v>
      </c>
      <c r="AJ122" s="75"/>
      <c r="AK122" s="82"/>
      <c r="AL122" s="55"/>
      <c r="AM122" s="64"/>
      <c r="AN122" s="56"/>
      <c r="AO122" s="64"/>
      <c r="AP122" s="64"/>
      <c r="AQ122" s="64"/>
      <c r="AR122" s="56"/>
    </row>
    <row r="123" spans="2:44" ht="27.75">
      <c r="B123" s="38">
        <v>120</v>
      </c>
      <c r="AJ123" s="75"/>
      <c r="AK123" s="82"/>
      <c r="AL123" s="55"/>
      <c r="AM123" s="64"/>
      <c r="AN123" s="56"/>
      <c r="AO123" s="64"/>
      <c r="AP123" s="64"/>
      <c r="AQ123" s="64"/>
      <c r="AR123" s="56"/>
    </row>
    <row r="124" spans="2:44" ht="27.75">
      <c r="B124" s="38">
        <v>150</v>
      </c>
      <c r="AJ124" s="75"/>
      <c r="AK124" s="82"/>
      <c r="AL124" s="55"/>
      <c r="AM124" s="64"/>
      <c r="AN124" s="56"/>
      <c r="AO124" s="64"/>
      <c r="AP124" s="64"/>
      <c r="AQ124" s="64"/>
      <c r="AR124" s="56"/>
    </row>
    <row r="125" spans="2:44" ht="27.75">
      <c r="B125" s="38">
        <v>182</v>
      </c>
      <c r="AJ125" s="75"/>
      <c r="AK125" s="82"/>
      <c r="AL125" s="55"/>
      <c r="AM125" s="64"/>
      <c r="AN125" s="56"/>
      <c r="AO125" s="64"/>
      <c r="AP125" s="64"/>
      <c r="AQ125" s="64"/>
      <c r="AR125" s="56"/>
    </row>
    <row r="126" spans="2:44" ht="27.75">
      <c r="B126" s="38">
        <v>220</v>
      </c>
      <c r="AJ126" s="75"/>
      <c r="AK126" s="82"/>
      <c r="AL126" s="55"/>
      <c r="AM126" s="64"/>
      <c r="AN126" s="56"/>
      <c r="AO126" s="64"/>
      <c r="AP126" s="64"/>
      <c r="AQ126" s="64"/>
      <c r="AR126" s="56"/>
    </row>
    <row r="127" spans="2:44" ht="27.75">
      <c r="B127" s="38">
        <v>270</v>
      </c>
      <c r="AJ127" s="75"/>
      <c r="AK127" s="82"/>
      <c r="AL127" s="55"/>
      <c r="AM127" s="64"/>
      <c r="AN127" s="56"/>
      <c r="AO127" s="64"/>
      <c r="AP127" s="64"/>
      <c r="AQ127" s="64"/>
      <c r="AR127" s="56"/>
    </row>
    <row r="128" spans="2:44" ht="27.75">
      <c r="B128" s="38">
        <v>330</v>
      </c>
      <c r="AJ128" s="75"/>
      <c r="AK128" s="82"/>
      <c r="AL128" s="55"/>
      <c r="AM128" s="64"/>
      <c r="AN128" s="56"/>
      <c r="AO128" s="64"/>
      <c r="AP128" s="64"/>
      <c r="AQ128" s="64"/>
      <c r="AR128" s="56"/>
    </row>
    <row r="129" spans="2:44" ht="27.75">
      <c r="B129" s="38">
        <v>390</v>
      </c>
      <c r="AJ129" s="75"/>
      <c r="AK129" s="82"/>
      <c r="AL129" s="55"/>
      <c r="AM129" s="64"/>
      <c r="AN129" s="56"/>
      <c r="AO129" s="64"/>
      <c r="AP129" s="64"/>
      <c r="AQ129" s="64"/>
      <c r="AR129" s="56"/>
    </row>
    <row r="130" spans="2:44" ht="27.75">
      <c r="B130" s="38">
        <v>470</v>
      </c>
      <c r="AJ130" s="75"/>
      <c r="AK130" s="82"/>
      <c r="AL130" s="55"/>
      <c r="AM130" s="64"/>
      <c r="AN130" s="56"/>
      <c r="AO130" s="64"/>
      <c r="AP130" s="64"/>
      <c r="AQ130" s="64"/>
      <c r="AR130" s="56"/>
    </row>
    <row r="131" spans="36:44" ht="27.75">
      <c r="AJ131" s="75"/>
      <c r="AK131" s="82"/>
      <c r="AL131" s="55"/>
      <c r="AM131" s="64"/>
      <c r="AN131" s="56"/>
      <c r="AO131" s="64"/>
      <c r="AP131" s="64"/>
      <c r="AQ131" s="64"/>
      <c r="AR131" s="56"/>
    </row>
    <row r="132" spans="36:44" ht="27.75">
      <c r="AJ132" s="75"/>
      <c r="AK132" s="82"/>
      <c r="AL132" s="55"/>
      <c r="AM132" s="64"/>
      <c r="AN132" s="56"/>
      <c r="AO132" s="64"/>
      <c r="AP132" s="64"/>
      <c r="AQ132" s="64"/>
      <c r="AR132" s="56"/>
    </row>
    <row r="133" spans="36:44" ht="27.75">
      <c r="AJ133" s="75"/>
      <c r="AK133" s="82"/>
      <c r="AL133" s="55"/>
      <c r="AM133" s="64"/>
      <c r="AN133" s="56"/>
      <c r="AO133" s="64"/>
      <c r="AP133" s="64"/>
      <c r="AQ133" s="64"/>
      <c r="AR133" s="56"/>
    </row>
    <row r="134" spans="36:44" ht="27.75">
      <c r="AJ134" s="75"/>
      <c r="AK134" s="82"/>
      <c r="AL134" s="55"/>
      <c r="AM134" s="64"/>
      <c r="AN134" s="56"/>
      <c r="AO134" s="64"/>
      <c r="AP134" s="64"/>
      <c r="AQ134" s="64"/>
      <c r="AR134" s="56"/>
    </row>
    <row r="135" spans="36:44" ht="27.75">
      <c r="AJ135" s="75"/>
      <c r="AK135" s="82"/>
      <c r="AL135" s="55"/>
      <c r="AM135" s="64"/>
      <c r="AN135" s="56"/>
      <c r="AO135" s="64"/>
      <c r="AP135" s="64"/>
      <c r="AQ135" s="64"/>
      <c r="AR135" s="56"/>
    </row>
    <row r="136" spans="36:44" ht="27.75">
      <c r="AJ136" s="75"/>
      <c r="AK136" s="82"/>
      <c r="AL136" s="55"/>
      <c r="AM136" s="64"/>
      <c r="AN136" s="56"/>
      <c r="AO136" s="64"/>
      <c r="AP136" s="64"/>
      <c r="AQ136" s="64"/>
      <c r="AR136" s="56"/>
    </row>
    <row r="137" spans="36:44" ht="27.75">
      <c r="AJ137" s="75"/>
      <c r="AK137" s="82"/>
      <c r="AL137" s="55"/>
      <c r="AM137" s="64"/>
      <c r="AN137" s="56"/>
      <c r="AO137" s="64"/>
      <c r="AP137" s="64"/>
      <c r="AQ137" s="64"/>
      <c r="AR137" s="56"/>
    </row>
    <row r="138" spans="36:44" ht="27.75">
      <c r="AJ138" s="75"/>
      <c r="AK138" s="82"/>
      <c r="AL138" s="55"/>
      <c r="AM138" s="64"/>
      <c r="AN138" s="56"/>
      <c r="AO138" s="64"/>
      <c r="AP138" s="64"/>
      <c r="AQ138" s="64"/>
      <c r="AR138" s="56"/>
    </row>
    <row r="139" spans="36:44" ht="27.75">
      <c r="AJ139" s="75"/>
      <c r="AK139" s="82"/>
      <c r="AL139" s="55"/>
      <c r="AM139" s="64"/>
      <c r="AN139" s="56"/>
      <c r="AO139" s="64"/>
      <c r="AP139" s="64"/>
      <c r="AQ139" s="64"/>
      <c r="AR139" s="56"/>
    </row>
    <row r="140" spans="36:44" ht="27.75">
      <c r="AJ140" s="75"/>
      <c r="AK140" s="82"/>
      <c r="AL140" s="55"/>
      <c r="AM140" s="64"/>
      <c r="AN140" s="56"/>
      <c r="AO140" s="64"/>
      <c r="AP140" s="64"/>
      <c r="AQ140" s="64"/>
      <c r="AR140" s="56"/>
    </row>
    <row r="141" spans="36:44" ht="27.75">
      <c r="AJ141" s="75"/>
      <c r="AK141" s="82"/>
      <c r="AL141" s="55"/>
      <c r="AM141" s="64"/>
      <c r="AN141" s="56"/>
      <c r="AO141" s="64"/>
      <c r="AP141" s="64"/>
      <c r="AQ141" s="64"/>
      <c r="AR141" s="56"/>
    </row>
    <row r="142" spans="36:44" ht="27.75">
      <c r="AJ142" s="75"/>
      <c r="AK142" s="82"/>
      <c r="AL142" s="55"/>
      <c r="AM142" s="64"/>
      <c r="AN142" s="56"/>
      <c r="AO142" s="64"/>
      <c r="AP142" s="64"/>
      <c r="AQ142" s="64"/>
      <c r="AR142" s="56"/>
    </row>
    <row r="143" spans="36:44" ht="27.75">
      <c r="AJ143" s="75"/>
      <c r="AK143" s="82"/>
      <c r="AL143" s="55"/>
      <c r="AM143" s="64"/>
      <c r="AN143" s="56"/>
      <c r="AO143" s="64"/>
      <c r="AP143" s="64"/>
      <c r="AQ143" s="64"/>
      <c r="AR143" s="56"/>
    </row>
    <row r="144" spans="36:44" ht="27.75">
      <c r="AJ144" s="75"/>
      <c r="AK144" s="82"/>
      <c r="AL144" s="55"/>
      <c r="AM144" s="64"/>
      <c r="AN144" s="56"/>
      <c r="AO144" s="64"/>
      <c r="AP144" s="64"/>
      <c r="AQ144" s="64"/>
      <c r="AR144" s="56"/>
    </row>
    <row r="145" spans="36:44" ht="27.75">
      <c r="AJ145" s="75"/>
      <c r="AK145" s="82"/>
      <c r="AL145" s="55"/>
      <c r="AM145" s="64"/>
      <c r="AN145" s="56"/>
      <c r="AO145" s="64"/>
      <c r="AP145" s="64"/>
      <c r="AQ145" s="64"/>
      <c r="AR145" s="56"/>
    </row>
    <row r="146" spans="36:44" ht="27.75">
      <c r="AJ146" s="75"/>
      <c r="AK146" s="82"/>
      <c r="AL146" s="55"/>
      <c r="AM146" s="64"/>
      <c r="AN146" s="56"/>
      <c r="AO146" s="64"/>
      <c r="AP146" s="64"/>
      <c r="AQ146" s="64"/>
      <c r="AR146" s="56"/>
    </row>
    <row r="147" spans="36:44" ht="27.75">
      <c r="AJ147" s="75"/>
      <c r="AK147" s="82"/>
      <c r="AL147" s="55"/>
      <c r="AM147" s="64"/>
      <c r="AN147" s="56"/>
      <c r="AO147" s="64"/>
      <c r="AP147" s="64"/>
      <c r="AQ147" s="64"/>
      <c r="AR147" s="56"/>
    </row>
    <row r="148" spans="36:44" ht="27.75">
      <c r="AJ148" s="75"/>
      <c r="AK148" s="82"/>
      <c r="AL148" s="55"/>
      <c r="AM148" s="64"/>
      <c r="AN148" s="56"/>
      <c r="AO148" s="64"/>
      <c r="AP148" s="64"/>
      <c r="AQ148" s="64"/>
      <c r="AR148" s="56"/>
    </row>
    <row r="149" spans="36:44" ht="27.75">
      <c r="AJ149" s="75"/>
      <c r="AK149" s="82"/>
      <c r="AL149" s="55"/>
      <c r="AM149" s="64"/>
      <c r="AN149" s="56"/>
      <c r="AO149" s="64"/>
      <c r="AP149" s="64"/>
      <c r="AQ149" s="64"/>
      <c r="AR149" s="56"/>
    </row>
    <row r="150" spans="36:44" ht="27.75">
      <c r="AJ150" s="75"/>
      <c r="AK150" s="82"/>
      <c r="AL150" s="55"/>
      <c r="AM150" s="64"/>
      <c r="AN150" s="56"/>
      <c r="AO150" s="64"/>
      <c r="AP150" s="64"/>
      <c r="AQ150" s="64"/>
      <c r="AR150" s="56"/>
    </row>
    <row r="151" spans="36:44" ht="27.75">
      <c r="AJ151" s="75"/>
      <c r="AK151" s="82"/>
      <c r="AL151" s="55"/>
      <c r="AM151" s="64"/>
      <c r="AN151" s="56"/>
      <c r="AO151" s="64"/>
      <c r="AP151" s="64"/>
      <c r="AQ151" s="64"/>
      <c r="AR151" s="56"/>
    </row>
    <row r="152" spans="36:44" ht="27.75">
      <c r="AJ152" s="75"/>
      <c r="AK152" s="82"/>
      <c r="AL152" s="55"/>
      <c r="AM152" s="64"/>
      <c r="AN152" s="56"/>
      <c r="AO152" s="64"/>
      <c r="AP152" s="64"/>
      <c r="AQ152" s="64"/>
      <c r="AR152" s="56"/>
    </row>
    <row r="153" spans="36:44" ht="27.75">
      <c r="AJ153" s="75"/>
      <c r="AK153" s="82"/>
      <c r="AL153" s="55"/>
      <c r="AM153" s="64"/>
      <c r="AN153" s="56"/>
      <c r="AO153" s="64"/>
      <c r="AP153" s="64"/>
      <c r="AQ153" s="64"/>
      <c r="AR153" s="56"/>
    </row>
    <row r="154" spans="36:44" ht="27.75">
      <c r="AJ154" s="75"/>
      <c r="AK154" s="82"/>
      <c r="AL154" s="55"/>
      <c r="AM154" s="64"/>
      <c r="AN154" s="56"/>
      <c r="AO154" s="64"/>
      <c r="AP154" s="64"/>
      <c r="AQ154" s="64"/>
      <c r="AR154" s="56"/>
    </row>
    <row r="155" spans="36:44" ht="27.75">
      <c r="AJ155" s="75"/>
      <c r="AK155" s="82"/>
      <c r="AL155" s="55"/>
      <c r="AM155" s="64"/>
      <c r="AN155" s="56"/>
      <c r="AO155" s="64"/>
      <c r="AP155" s="64"/>
      <c r="AQ155" s="64"/>
      <c r="AR155" s="56"/>
    </row>
    <row r="156" spans="36:44" ht="27.75">
      <c r="AJ156" s="75"/>
      <c r="AK156" s="82"/>
      <c r="AL156" s="55"/>
      <c r="AM156" s="64"/>
      <c r="AN156" s="56"/>
      <c r="AO156" s="64"/>
      <c r="AP156" s="64"/>
      <c r="AQ156" s="64"/>
      <c r="AR156" s="56"/>
    </row>
    <row r="157" spans="36:44" ht="27.75">
      <c r="AJ157" s="75"/>
      <c r="AK157" s="82"/>
      <c r="AL157" s="55"/>
      <c r="AM157" s="64"/>
      <c r="AN157" s="56"/>
      <c r="AO157" s="64"/>
      <c r="AP157" s="64"/>
      <c r="AQ157" s="64"/>
      <c r="AR157" s="56"/>
    </row>
    <row r="158" spans="36:44" ht="27.75">
      <c r="AJ158" s="75"/>
      <c r="AK158" s="82"/>
      <c r="AL158" s="55"/>
      <c r="AM158" s="64"/>
      <c r="AN158" s="56"/>
      <c r="AO158" s="64"/>
      <c r="AP158" s="64"/>
      <c r="AQ158" s="64"/>
      <c r="AR158" s="56"/>
    </row>
    <row r="159" spans="36:44" ht="27.75">
      <c r="AJ159" s="75"/>
      <c r="AK159" s="82"/>
      <c r="AL159" s="55"/>
      <c r="AM159" s="64"/>
      <c r="AN159" s="56"/>
      <c r="AO159" s="64"/>
      <c r="AP159" s="64"/>
      <c r="AQ159" s="64"/>
      <c r="AR159" s="56"/>
    </row>
    <row r="160" spans="36:44" ht="27.75">
      <c r="AJ160" s="75"/>
      <c r="AK160" s="82"/>
      <c r="AL160" s="55"/>
      <c r="AM160" s="64"/>
      <c r="AN160" s="56"/>
      <c r="AO160" s="64"/>
      <c r="AP160" s="64"/>
      <c r="AQ160" s="64"/>
      <c r="AR160" s="56"/>
    </row>
    <row r="161" spans="36:44" ht="27.75">
      <c r="AJ161" s="75"/>
      <c r="AK161" s="82"/>
      <c r="AL161" s="55"/>
      <c r="AM161" s="64"/>
      <c r="AN161" s="56"/>
      <c r="AO161" s="64"/>
      <c r="AP161" s="64"/>
      <c r="AQ161" s="64"/>
      <c r="AR161" s="56"/>
    </row>
    <row r="162" spans="36:44" ht="27.75">
      <c r="AJ162" s="75"/>
      <c r="AK162" s="82"/>
      <c r="AL162" s="55"/>
      <c r="AM162" s="64"/>
      <c r="AN162" s="56"/>
      <c r="AO162" s="64"/>
      <c r="AP162" s="64"/>
      <c r="AQ162" s="64"/>
      <c r="AR162" s="56"/>
    </row>
    <row r="163" spans="36:44" ht="27.75">
      <c r="AJ163" s="75"/>
      <c r="AK163" s="82"/>
      <c r="AL163" s="55"/>
      <c r="AM163" s="64"/>
      <c r="AN163" s="56"/>
      <c r="AO163" s="64"/>
      <c r="AP163" s="64"/>
      <c r="AQ163" s="64"/>
      <c r="AR163" s="56"/>
    </row>
    <row r="164" spans="36:44" ht="27.75">
      <c r="AJ164" s="75"/>
      <c r="AK164" s="82"/>
      <c r="AL164" s="55"/>
      <c r="AM164" s="64"/>
      <c r="AN164" s="56"/>
      <c r="AO164" s="64"/>
      <c r="AP164" s="64"/>
      <c r="AQ164" s="64"/>
      <c r="AR164" s="56"/>
    </row>
    <row r="165" spans="36:44" ht="27.75">
      <c r="AJ165" s="75"/>
      <c r="AK165" s="82"/>
      <c r="AL165" s="55"/>
      <c r="AM165" s="64"/>
      <c r="AN165" s="56"/>
      <c r="AO165" s="64"/>
      <c r="AP165" s="64"/>
      <c r="AQ165" s="64"/>
      <c r="AR165" s="56"/>
    </row>
    <row r="166" spans="36:44" ht="27.75">
      <c r="AJ166" s="75"/>
      <c r="AK166" s="82"/>
      <c r="AL166" s="55"/>
      <c r="AM166" s="64"/>
      <c r="AN166" s="56"/>
      <c r="AO166" s="64"/>
      <c r="AP166" s="64"/>
      <c r="AQ166" s="64"/>
      <c r="AR166" s="56"/>
    </row>
    <row r="167" spans="36:44" ht="27.75">
      <c r="AJ167" s="75"/>
      <c r="AK167" s="82"/>
      <c r="AL167" s="55"/>
      <c r="AM167" s="64"/>
      <c r="AN167" s="56"/>
      <c r="AO167" s="64"/>
      <c r="AP167" s="64"/>
      <c r="AQ167" s="64"/>
      <c r="AR167" s="56"/>
    </row>
    <row r="168" spans="36:44" ht="27.75">
      <c r="AJ168" s="75"/>
      <c r="AK168" s="82"/>
      <c r="AL168" s="55"/>
      <c r="AM168" s="64"/>
      <c r="AN168" s="56"/>
      <c r="AO168" s="64"/>
      <c r="AP168" s="64"/>
      <c r="AQ168" s="64"/>
      <c r="AR168" s="56"/>
    </row>
    <row r="169" spans="36:44" ht="27.75">
      <c r="AJ169" s="75"/>
      <c r="AK169" s="82"/>
      <c r="AL169" s="55"/>
      <c r="AM169" s="64"/>
      <c r="AN169" s="56"/>
      <c r="AO169" s="64"/>
      <c r="AP169" s="64"/>
      <c r="AQ169" s="64"/>
      <c r="AR169" s="56"/>
    </row>
    <row r="170" spans="36:44" ht="27.75">
      <c r="AJ170" s="75"/>
      <c r="AK170" s="82"/>
      <c r="AL170" s="55"/>
      <c r="AM170" s="64"/>
      <c r="AN170" s="56"/>
      <c r="AO170" s="64"/>
      <c r="AP170" s="64"/>
      <c r="AQ170" s="64"/>
      <c r="AR170" s="56"/>
    </row>
    <row r="171" spans="36:44" ht="27.75">
      <c r="AJ171" s="75"/>
      <c r="AK171" s="82"/>
      <c r="AL171" s="55"/>
      <c r="AM171" s="64"/>
      <c r="AN171" s="56"/>
      <c r="AO171" s="64"/>
      <c r="AP171" s="64"/>
      <c r="AQ171" s="64"/>
      <c r="AR171" s="56"/>
    </row>
    <row r="172" spans="36:44" ht="27.75">
      <c r="AJ172" s="75"/>
      <c r="AK172" s="82"/>
      <c r="AL172" s="55"/>
      <c r="AM172" s="64"/>
      <c r="AN172" s="56"/>
      <c r="AO172" s="64"/>
      <c r="AP172" s="64"/>
      <c r="AQ172" s="64"/>
      <c r="AR172" s="56"/>
    </row>
    <row r="173" spans="36:44" ht="27.75">
      <c r="AJ173" s="75"/>
      <c r="AK173" s="82"/>
      <c r="AL173" s="55"/>
      <c r="AM173" s="64"/>
      <c r="AN173" s="56"/>
      <c r="AO173" s="64"/>
      <c r="AP173" s="64"/>
      <c r="AQ173" s="64"/>
      <c r="AR173" s="56"/>
    </row>
    <row r="174" spans="36:44" ht="27.75">
      <c r="AJ174" s="75"/>
      <c r="AK174" s="82"/>
      <c r="AL174" s="55"/>
      <c r="AM174" s="64"/>
      <c r="AN174" s="56"/>
      <c r="AO174" s="64"/>
      <c r="AP174" s="64"/>
      <c r="AQ174" s="64"/>
      <c r="AR174" s="56"/>
    </row>
    <row r="175" spans="36:44" ht="27.75">
      <c r="AJ175" s="75"/>
      <c r="AK175" s="82"/>
      <c r="AL175" s="55"/>
      <c r="AM175" s="64"/>
      <c r="AN175" s="56"/>
      <c r="AO175" s="64"/>
      <c r="AP175" s="64"/>
      <c r="AQ175" s="64"/>
      <c r="AR175" s="56"/>
    </row>
    <row r="176" spans="36:44" ht="27.75">
      <c r="AJ176" s="75"/>
      <c r="AK176" s="82"/>
      <c r="AL176" s="55"/>
      <c r="AM176" s="64"/>
      <c r="AN176" s="56"/>
      <c r="AO176" s="64"/>
      <c r="AP176" s="64"/>
      <c r="AQ176" s="64"/>
      <c r="AR176" s="56"/>
    </row>
    <row r="177" spans="36:44" ht="27.75">
      <c r="AJ177" s="75"/>
      <c r="AK177" s="82"/>
      <c r="AL177" s="55"/>
      <c r="AM177" s="64"/>
      <c r="AN177" s="56"/>
      <c r="AO177" s="64"/>
      <c r="AP177" s="64"/>
      <c r="AQ177" s="64"/>
      <c r="AR177" s="56"/>
    </row>
    <row r="178" spans="36:44" ht="27.75">
      <c r="AJ178" s="75"/>
      <c r="AK178" s="82"/>
      <c r="AL178" s="55"/>
      <c r="AM178" s="64"/>
      <c r="AN178" s="56"/>
      <c r="AO178" s="64"/>
      <c r="AP178" s="64"/>
      <c r="AQ178" s="64"/>
      <c r="AR178" s="56"/>
    </row>
    <row r="179" spans="36:44" ht="27.75">
      <c r="AJ179" s="75"/>
      <c r="AK179" s="82"/>
      <c r="AL179" s="55"/>
      <c r="AM179" s="64"/>
      <c r="AN179" s="56"/>
      <c r="AO179" s="64"/>
      <c r="AP179" s="64"/>
      <c r="AQ179" s="64"/>
      <c r="AR179" s="56"/>
    </row>
    <row r="180" spans="36:44" ht="27.75">
      <c r="AJ180" s="75"/>
      <c r="AK180" s="82"/>
      <c r="AL180" s="55"/>
      <c r="AM180" s="64"/>
      <c r="AN180" s="56"/>
      <c r="AO180" s="64"/>
      <c r="AP180" s="64"/>
      <c r="AQ180" s="64"/>
      <c r="AR180" s="56"/>
    </row>
    <row r="181" spans="36:44" ht="27.75">
      <c r="AJ181" s="75"/>
      <c r="AK181" s="82"/>
      <c r="AL181" s="55"/>
      <c r="AM181" s="64"/>
      <c r="AN181" s="56"/>
      <c r="AO181" s="64"/>
      <c r="AP181" s="64"/>
      <c r="AQ181" s="64"/>
      <c r="AR181" s="56"/>
    </row>
    <row r="182" spans="36:44" ht="27.75">
      <c r="AJ182" s="75"/>
      <c r="AK182" s="82"/>
      <c r="AL182" s="55"/>
      <c r="AM182" s="64"/>
      <c r="AN182" s="56"/>
      <c r="AO182" s="64"/>
      <c r="AP182" s="64"/>
      <c r="AQ182" s="64"/>
      <c r="AR182" s="56"/>
    </row>
    <row r="183" spans="36:44" ht="27.75">
      <c r="AJ183" s="75"/>
      <c r="AK183" s="82"/>
      <c r="AL183" s="55"/>
      <c r="AM183" s="64"/>
      <c r="AN183" s="56"/>
      <c r="AO183" s="64"/>
      <c r="AP183" s="64"/>
      <c r="AQ183" s="64"/>
      <c r="AR183" s="56"/>
    </row>
    <row r="184" spans="36:44" ht="27.75">
      <c r="AJ184" s="75"/>
      <c r="AK184" s="82"/>
      <c r="AL184" s="55"/>
      <c r="AM184" s="64"/>
      <c r="AN184" s="56"/>
      <c r="AO184" s="64"/>
      <c r="AP184" s="64"/>
      <c r="AQ184" s="64"/>
      <c r="AR184" s="56"/>
    </row>
    <row r="185" spans="36:44" ht="27.75">
      <c r="AJ185" s="75"/>
      <c r="AK185" s="82"/>
      <c r="AL185" s="55"/>
      <c r="AM185" s="64"/>
      <c r="AN185" s="56"/>
      <c r="AO185" s="64"/>
      <c r="AP185" s="64"/>
      <c r="AQ185" s="64"/>
      <c r="AR185" s="56"/>
    </row>
    <row r="186" spans="36:44" ht="27.75">
      <c r="AJ186" s="75"/>
      <c r="AK186" s="82"/>
      <c r="AL186" s="55"/>
      <c r="AM186" s="64"/>
      <c r="AN186" s="56"/>
      <c r="AO186" s="64"/>
      <c r="AP186" s="64"/>
      <c r="AQ186" s="64"/>
      <c r="AR186" s="56"/>
    </row>
    <row r="187" spans="36:44" ht="27.75">
      <c r="AJ187" s="75"/>
      <c r="AK187" s="82"/>
      <c r="AL187" s="55"/>
      <c r="AM187" s="64"/>
      <c r="AN187" s="56"/>
      <c r="AO187" s="64"/>
      <c r="AP187" s="64"/>
      <c r="AQ187" s="64"/>
      <c r="AR187" s="56"/>
    </row>
    <row r="188" spans="36:44" ht="27.75">
      <c r="AJ188" s="75"/>
      <c r="AK188" s="82"/>
      <c r="AL188" s="55"/>
      <c r="AM188" s="64"/>
      <c r="AN188" s="56"/>
      <c r="AO188" s="64"/>
      <c r="AP188" s="64"/>
      <c r="AQ188" s="64"/>
      <c r="AR188" s="56"/>
    </row>
    <row r="189" spans="36:44" ht="27.75">
      <c r="AJ189" s="75"/>
      <c r="AK189" s="82"/>
      <c r="AL189" s="55"/>
      <c r="AM189" s="64"/>
      <c r="AN189" s="56"/>
      <c r="AO189" s="64"/>
      <c r="AP189" s="64"/>
      <c r="AQ189" s="64"/>
      <c r="AR189" s="56"/>
    </row>
    <row r="190" spans="36:44" ht="27.75">
      <c r="AJ190" s="75"/>
      <c r="AK190" s="82"/>
      <c r="AL190" s="55"/>
      <c r="AM190" s="64"/>
      <c r="AN190" s="56"/>
      <c r="AO190" s="64"/>
      <c r="AP190" s="64"/>
      <c r="AQ190" s="64"/>
      <c r="AR190" s="56"/>
    </row>
    <row r="191" spans="36:44" ht="27.75">
      <c r="AJ191" s="75"/>
      <c r="AK191" s="82"/>
      <c r="AL191" s="55"/>
      <c r="AM191" s="64"/>
      <c r="AN191" s="56"/>
      <c r="AO191" s="64"/>
      <c r="AP191" s="64"/>
      <c r="AQ191" s="64"/>
      <c r="AR191" s="56"/>
    </row>
    <row r="192" spans="36:44" ht="27.75">
      <c r="AJ192" s="75"/>
      <c r="AK192" s="82"/>
      <c r="AL192" s="55"/>
      <c r="AM192" s="64"/>
      <c r="AN192" s="56"/>
      <c r="AO192" s="64"/>
      <c r="AP192" s="64"/>
      <c r="AQ192" s="64"/>
      <c r="AR192" s="56"/>
    </row>
    <row r="193" spans="36:44" ht="27.75">
      <c r="AJ193" s="75"/>
      <c r="AK193" s="82"/>
      <c r="AL193" s="55"/>
      <c r="AM193" s="64"/>
      <c r="AN193" s="56"/>
      <c r="AO193" s="64"/>
      <c r="AP193" s="64"/>
      <c r="AQ193" s="64"/>
      <c r="AR193" s="56"/>
    </row>
    <row r="194" spans="36:44" ht="27.75">
      <c r="AJ194" s="75"/>
      <c r="AK194" s="82"/>
      <c r="AL194" s="55"/>
      <c r="AM194" s="64"/>
      <c r="AN194" s="56"/>
      <c r="AO194" s="64"/>
      <c r="AP194" s="64"/>
      <c r="AQ194" s="64"/>
      <c r="AR194" s="56"/>
    </row>
    <row r="195" spans="36:44" ht="27.75">
      <c r="AJ195" s="75"/>
      <c r="AK195" s="82"/>
      <c r="AL195" s="55"/>
      <c r="AM195" s="64"/>
      <c r="AN195" s="56"/>
      <c r="AO195" s="64"/>
      <c r="AP195" s="64"/>
      <c r="AQ195" s="64"/>
      <c r="AR195" s="56"/>
    </row>
    <row r="196" spans="36:44" ht="27.75">
      <c r="AJ196" s="75"/>
      <c r="AK196" s="82"/>
      <c r="AL196" s="55"/>
      <c r="AM196" s="64"/>
      <c r="AN196" s="56"/>
      <c r="AO196" s="64"/>
      <c r="AP196" s="64"/>
      <c r="AQ196" s="64"/>
      <c r="AR196" s="56"/>
    </row>
    <row r="197" spans="36:44" ht="27.75">
      <c r="AJ197" s="75"/>
      <c r="AK197" s="82"/>
      <c r="AL197" s="55"/>
      <c r="AM197" s="64"/>
      <c r="AN197" s="56"/>
      <c r="AO197" s="64"/>
      <c r="AP197" s="64"/>
      <c r="AQ197" s="64"/>
      <c r="AR197" s="56"/>
    </row>
    <row r="198" spans="36:44" ht="27.75">
      <c r="AJ198" s="75"/>
      <c r="AK198" s="82"/>
      <c r="AL198" s="55"/>
      <c r="AM198" s="64"/>
      <c r="AN198" s="56"/>
      <c r="AO198" s="64"/>
      <c r="AP198" s="64"/>
      <c r="AQ198" s="64"/>
      <c r="AR198" s="56"/>
    </row>
    <row r="199" spans="36:44" ht="27.75">
      <c r="AJ199" s="75"/>
      <c r="AK199" s="82"/>
      <c r="AL199" s="55"/>
      <c r="AM199" s="64"/>
      <c r="AN199" s="56"/>
      <c r="AO199" s="64"/>
      <c r="AP199" s="64"/>
      <c r="AQ199" s="64"/>
      <c r="AR199" s="56"/>
    </row>
    <row r="200" spans="36:44" ht="27.75">
      <c r="AJ200" s="75"/>
      <c r="AK200" s="82"/>
      <c r="AL200" s="55"/>
      <c r="AM200" s="64"/>
      <c r="AN200" s="56"/>
      <c r="AO200" s="64"/>
      <c r="AP200" s="64"/>
      <c r="AQ200" s="64"/>
      <c r="AR200" s="56"/>
    </row>
    <row r="201" spans="36:44" ht="27.75">
      <c r="AJ201" s="75"/>
      <c r="AK201" s="82"/>
      <c r="AL201" s="55"/>
      <c r="AM201" s="64"/>
      <c r="AN201" s="56"/>
      <c r="AO201" s="64"/>
      <c r="AP201" s="64"/>
      <c r="AQ201" s="64"/>
      <c r="AR201" s="56"/>
    </row>
    <row r="202" spans="36:44" ht="27.75">
      <c r="AJ202" s="75"/>
      <c r="AK202" s="82"/>
      <c r="AL202" s="55"/>
      <c r="AM202" s="64"/>
      <c r="AN202" s="56"/>
      <c r="AO202" s="64"/>
      <c r="AP202" s="64"/>
      <c r="AQ202" s="64"/>
      <c r="AR202" s="56"/>
    </row>
    <row r="203" spans="36:44" ht="27.75">
      <c r="AJ203" s="75"/>
      <c r="AK203" s="82"/>
      <c r="AL203" s="55"/>
      <c r="AM203" s="64"/>
      <c r="AN203" s="56"/>
      <c r="AO203" s="64"/>
      <c r="AP203" s="64"/>
      <c r="AQ203" s="64"/>
      <c r="AR203" s="56"/>
    </row>
    <row r="204" spans="36:44" ht="27.75">
      <c r="AJ204" s="75"/>
      <c r="AK204" s="82"/>
      <c r="AL204" s="55"/>
      <c r="AM204" s="64"/>
      <c r="AN204" s="56"/>
      <c r="AO204" s="64"/>
      <c r="AP204" s="64"/>
      <c r="AQ204" s="64"/>
      <c r="AR204" s="56"/>
    </row>
    <row r="205" spans="36:44" ht="27.75">
      <c r="AJ205" s="75"/>
      <c r="AK205" s="82"/>
      <c r="AL205" s="55"/>
      <c r="AM205" s="64"/>
      <c r="AN205" s="56"/>
      <c r="AO205" s="64"/>
      <c r="AP205" s="64"/>
      <c r="AQ205" s="64"/>
      <c r="AR205" s="56"/>
    </row>
    <row r="206" spans="36:44" ht="27.75">
      <c r="AJ206" s="75"/>
      <c r="AK206" s="76"/>
      <c r="AL206" s="77"/>
      <c r="AM206" s="77"/>
      <c r="AN206" s="77"/>
      <c r="AO206" s="77"/>
      <c r="AP206" s="77"/>
      <c r="AQ206" s="77"/>
      <c r="AR206" s="77"/>
    </row>
    <row r="207" spans="36:44" ht="27.75">
      <c r="AJ207" s="75"/>
      <c r="AK207" s="76"/>
      <c r="AL207" s="77"/>
      <c r="AM207" s="77"/>
      <c r="AN207" s="77"/>
      <c r="AO207" s="77"/>
      <c r="AP207" s="77"/>
      <c r="AQ207" s="77"/>
      <c r="AR207" s="77"/>
    </row>
    <row r="208" spans="36:44" ht="27.75">
      <c r="AJ208" s="75"/>
      <c r="AK208" s="76"/>
      <c r="AL208" s="77"/>
      <c r="AM208" s="77"/>
      <c r="AN208" s="77"/>
      <c r="AO208" s="77"/>
      <c r="AP208" s="77"/>
      <c r="AQ208" s="77"/>
      <c r="AR208" s="77"/>
    </row>
    <row r="209" spans="36:44" ht="27.75">
      <c r="AJ209" s="75"/>
      <c r="AK209" s="76"/>
      <c r="AL209" s="77"/>
      <c r="AM209" s="77"/>
      <c r="AN209" s="77"/>
      <c r="AO209" s="77"/>
      <c r="AP209" s="77"/>
      <c r="AQ209" s="77"/>
      <c r="AR209" s="77"/>
    </row>
    <row r="210" spans="36:42" ht="27.75">
      <c r="AJ210" s="75"/>
      <c r="AK210" s="76"/>
      <c r="AL210" s="77"/>
      <c r="AM210" s="77"/>
      <c r="AN210" s="77"/>
      <c r="AO210" s="77"/>
      <c r="AP210" s="77"/>
    </row>
    <row r="211" spans="36:42" ht="27.75">
      <c r="AJ211" s="75"/>
      <c r="AK211" s="76"/>
      <c r="AL211" s="77"/>
      <c r="AM211" s="77"/>
      <c r="AN211" s="77"/>
      <c r="AO211" s="77"/>
      <c r="AP211" s="77"/>
    </row>
    <row r="212" spans="36:42" ht="27.75">
      <c r="AJ212" s="75"/>
      <c r="AK212" s="76"/>
      <c r="AL212" s="77"/>
      <c r="AM212" s="77"/>
      <c r="AN212" s="77"/>
      <c r="AO212" s="77"/>
      <c r="AP212" s="77"/>
    </row>
    <row r="213" spans="36:42" ht="27.75">
      <c r="AJ213" s="75"/>
      <c r="AK213" s="76"/>
      <c r="AL213" s="77"/>
      <c r="AM213" s="77"/>
      <c r="AN213" s="77"/>
      <c r="AO213" s="77"/>
      <c r="AP213" s="77"/>
    </row>
    <row r="214" spans="36:42" ht="27.75">
      <c r="AJ214" s="75"/>
      <c r="AK214" s="76"/>
      <c r="AL214" s="77"/>
      <c r="AM214" s="77"/>
      <c r="AN214" s="77"/>
      <c r="AO214" s="77"/>
      <c r="AP214" s="77"/>
    </row>
    <row r="215" spans="36:42" ht="27.75">
      <c r="AJ215" s="75"/>
      <c r="AK215" s="76"/>
      <c r="AL215" s="77"/>
      <c r="AM215" s="77"/>
      <c r="AN215" s="77"/>
      <c r="AO215" s="77"/>
      <c r="AP215" s="77"/>
    </row>
    <row r="216" spans="36:42" ht="27.75">
      <c r="AJ216" s="75"/>
      <c r="AK216" s="76"/>
      <c r="AL216" s="77"/>
      <c r="AM216" s="77"/>
      <c r="AN216" s="77"/>
      <c r="AO216" s="77"/>
      <c r="AP216" s="77"/>
    </row>
    <row r="217" spans="36:42" ht="27.75">
      <c r="AJ217" s="75"/>
      <c r="AK217" s="76"/>
      <c r="AL217" s="77"/>
      <c r="AM217" s="77"/>
      <c r="AN217" s="77"/>
      <c r="AO217" s="77"/>
      <c r="AP217" s="77"/>
    </row>
    <row r="218" spans="36:42" ht="27.75">
      <c r="AJ218" s="75"/>
      <c r="AK218" s="76"/>
      <c r="AL218" s="77"/>
      <c r="AM218" s="77"/>
      <c r="AN218" s="77"/>
      <c r="AO218" s="77"/>
      <c r="AP218" s="77"/>
    </row>
  </sheetData>
  <sheetProtection/>
  <mergeCells count="3">
    <mergeCell ref="AM37:AN37"/>
    <mergeCell ref="AO37:AP37"/>
    <mergeCell ref="AQ37:AR37"/>
  </mergeCells>
  <conditionalFormatting sqref="D16">
    <cfRule type="cellIs" priority="27" dxfId="0" operator="lessThan" stopIfTrue="1">
      <formula>$D$15*1.414</formula>
    </cfRule>
  </conditionalFormatting>
  <conditionalFormatting sqref="D17">
    <cfRule type="cellIs" priority="26" dxfId="0" operator="notBetween" stopIfTrue="1">
      <formula>50</formula>
      <formula>100</formula>
    </cfRule>
  </conditionalFormatting>
  <conditionalFormatting sqref="D24">
    <cfRule type="cellIs" priority="25" dxfId="0" operator="notBetween" stopIfTrue="1">
      <formula>30</formula>
      <formula>90</formula>
    </cfRule>
  </conditionalFormatting>
  <conditionalFormatting sqref="D23">
    <cfRule type="cellIs" priority="24" dxfId="0" operator="notBetween" stopIfTrue="1">
      <formula>$D$13/25</formula>
      <formula>"$D$6"</formula>
    </cfRule>
  </conditionalFormatting>
  <conditionalFormatting sqref="D34">
    <cfRule type="cellIs" priority="21" dxfId="0" operator="greaterThan" stopIfTrue="1">
      <formula>$D$33*0.75</formula>
    </cfRule>
  </conditionalFormatting>
  <conditionalFormatting sqref="D41">
    <cfRule type="cellIs" priority="19" dxfId="0" operator="greaterThan" stopIfTrue="1">
      <formula>50</formula>
    </cfRule>
    <cfRule type="cellIs" priority="20" dxfId="0" operator="greaterThan" stopIfTrue="1">
      <formula>50</formula>
    </cfRule>
  </conditionalFormatting>
  <conditionalFormatting sqref="N16">
    <cfRule type="cellIs" priority="8" dxfId="0" operator="lessThan" stopIfTrue="1">
      <formula>$D$15*1.414</formula>
    </cfRule>
  </conditionalFormatting>
  <conditionalFormatting sqref="N17">
    <cfRule type="cellIs" priority="7" dxfId="0" operator="notBetween" stopIfTrue="1">
      <formula>50</formula>
      <formula>100</formula>
    </cfRule>
  </conditionalFormatting>
  <conditionalFormatting sqref="N24">
    <cfRule type="cellIs" priority="6" dxfId="0" operator="notBetween" stopIfTrue="1">
      <formula>30</formula>
      <formula>90</formula>
    </cfRule>
  </conditionalFormatting>
  <conditionalFormatting sqref="N23">
    <cfRule type="cellIs" priority="5" dxfId="0" operator="notBetween" stopIfTrue="1">
      <formula>$D$13/25</formula>
      <formula>"$D$6"</formula>
    </cfRule>
  </conditionalFormatting>
  <conditionalFormatting sqref="O16">
    <cfRule type="cellIs" priority="4" dxfId="0" operator="lessThan" stopIfTrue="1">
      <formula>$D$15*1.414</formula>
    </cfRule>
  </conditionalFormatting>
  <conditionalFormatting sqref="O17">
    <cfRule type="cellIs" priority="3" dxfId="0" operator="notBetween" stopIfTrue="1">
      <formula>50</formula>
      <formula>100</formula>
    </cfRule>
  </conditionalFormatting>
  <conditionalFormatting sqref="O24">
    <cfRule type="cellIs" priority="2" dxfId="0" operator="notBetween" stopIfTrue="1">
      <formula>30</formula>
      <formula>90</formula>
    </cfRule>
  </conditionalFormatting>
  <conditionalFormatting sqref="O23">
    <cfRule type="cellIs" priority="1" dxfId="0" operator="notBetween" stopIfTrue="1">
      <formula>$D$13/25</formula>
      <formula>"$D$6"</formula>
    </cfRule>
  </conditionalFormatting>
  <conditionalFormatting sqref="D70">
    <cfRule type="cellIs" priority="28" dxfId="0" operator="notBetween" stopIfTrue="1">
      <formula>0.8*$D$67</formula>
      <formula>1.2*$D$67</formula>
    </cfRule>
  </conditionalFormatting>
  <conditionalFormatting sqref="D71">
    <cfRule type="cellIs" priority="29" dxfId="0" operator="notBetween" stopIfTrue="1">
      <formula>0.8*$D$68</formula>
      <formula>"1.2*$D$49"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2"/>
  <sheetViews>
    <sheetView zoomScalePageLayoutView="0" workbookViewId="0" topLeftCell="A7">
      <selection activeCell="K18" sqref="K18"/>
    </sheetView>
  </sheetViews>
  <sheetFormatPr defaultColWidth="9.140625" defaultRowHeight="12.75"/>
  <cols>
    <col min="1" max="1" width="6.421875" style="0" customWidth="1"/>
    <col min="2" max="2" width="23.28125" style="0" customWidth="1"/>
    <col min="3" max="3" width="23.57421875" style="0" customWidth="1"/>
    <col min="4" max="4" width="23.00390625" style="0" customWidth="1"/>
    <col min="5" max="5" width="10.57421875" style="0" customWidth="1"/>
    <col min="6" max="6" width="21.421875" style="0" customWidth="1"/>
    <col min="7" max="7" width="28.57421875" style="0" customWidth="1"/>
    <col min="8" max="8" width="27.7109375" style="0" customWidth="1"/>
    <col min="9" max="9" width="29.28125" style="0" customWidth="1"/>
    <col min="10" max="10" width="24.00390625" style="0" customWidth="1"/>
    <col min="11" max="11" width="23.8515625" style="0" customWidth="1"/>
    <col min="12" max="12" width="23.421875" style="0" customWidth="1"/>
    <col min="13" max="13" width="22.57421875" style="0" customWidth="1"/>
    <col min="14" max="14" width="24.8515625" style="0" customWidth="1"/>
    <col min="15" max="15" width="29.7109375" style="0" customWidth="1"/>
    <col min="16" max="16" width="31.7109375" style="0" customWidth="1"/>
    <col min="17" max="17" width="33.140625" style="0" customWidth="1"/>
    <col min="18" max="18" width="30.00390625" style="0" customWidth="1"/>
    <col min="20" max="21" width="11.57421875" style="0" customWidth="1"/>
  </cols>
  <sheetData>
    <row r="1" spans="1:6" ht="57" customHeight="1">
      <c r="A1" s="73" t="s">
        <v>182</v>
      </c>
      <c r="B1" s="58"/>
      <c r="C1" s="58"/>
      <c r="D1" s="58"/>
      <c r="E1" s="58"/>
      <c r="F1" s="58"/>
    </row>
    <row r="2" spans="3:6" ht="17.25" customHeight="1">
      <c r="C2" s="59"/>
      <c r="D2" s="71" t="s">
        <v>177</v>
      </c>
      <c r="E2" s="72">
        <f>V_rms_HL</f>
        <v>305</v>
      </c>
      <c r="F2" s="71" t="s">
        <v>178</v>
      </c>
    </row>
    <row r="3" spans="4:6" ht="18">
      <c r="D3" s="71" t="s">
        <v>179</v>
      </c>
      <c r="E3" s="72">
        <f>V_rms_LL</f>
        <v>90</v>
      </c>
      <c r="F3" s="71" t="s">
        <v>178</v>
      </c>
    </row>
    <row r="5" spans="8:20" ht="27.75">
      <c r="H5" s="19" t="s">
        <v>89</v>
      </c>
      <c r="I5" s="20" t="s">
        <v>9</v>
      </c>
      <c r="J5" s="43">
        <f>P_out/3.14/V_out_nom/V_out_nom/(C_bulk*0.000001)</f>
        <v>2.0969306178081832</v>
      </c>
      <c r="K5" s="63" t="s">
        <v>152</v>
      </c>
      <c r="L5" s="49"/>
      <c r="M5" s="49"/>
      <c r="N5" s="10"/>
      <c r="O5" s="10"/>
      <c r="P5" s="10"/>
      <c r="Q5" s="58"/>
      <c r="R5" s="83"/>
      <c r="S5" s="58"/>
      <c r="T5" s="84"/>
    </row>
    <row r="6" spans="8:20" ht="27.75">
      <c r="H6" s="19" t="s">
        <v>53</v>
      </c>
      <c r="I6" s="20" t="s">
        <v>9</v>
      </c>
      <c r="J6" s="43">
        <f>1/(6.28/2.5/0.0002)/V_out_nom/(C_z*0.000000001+C_p*0.000000001)</f>
        <v>0.06993222169073733</v>
      </c>
      <c r="K6" s="63" t="s">
        <v>155</v>
      </c>
      <c r="L6" s="49"/>
      <c r="M6" s="49"/>
      <c r="N6" s="10"/>
      <c r="O6" s="10"/>
      <c r="P6" s="10"/>
      <c r="Q6" s="58"/>
      <c r="R6" s="83"/>
      <c r="S6" s="58"/>
      <c r="T6" s="84"/>
    </row>
    <row r="7" spans="8:18" ht="27.75">
      <c r="H7" s="19" t="s">
        <v>54</v>
      </c>
      <c r="I7" s="20" t="s">
        <v>9</v>
      </c>
      <c r="J7" s="43">
        <f>1/6.28/(R_z*1000)/(C_z*0.000000001)</f>
        <v>4.021102747217397</v>
      </c>
      <c r="K7" s="63" t="s">
        <v>153</v>
      </c>
      <c r="L7" s="49"/>
      <c r="M7" s="49"/>
      <c r="N7" s="10"/>
      <c r="O7" s="10"/>
      <c r="P7" s="10"/>
      <c r="Q7" s="10"/>
      <c r="R7" s="10"/>
    </row>
    <row r="8" spans="8:18" ht="27.75">
      <c r="H8" s="19" t="s">
        <v>55</v>
      </c>
      <c r="I8" s="20" t="s">
        <v>9</v>
      </c>
      <c r="J8" s="44">
        <f>(C_p*0.000000001+C_z*0.000000001)/6.28/(R_z*1000)/(C_p*0.000000001)/(C_z*0.000000001)</f>
        <v>30.82845439533338</v>
      </c>
      <c r="K8" s="63" t="s">
        <v>154</v>
      </c>
      <c r="L8" s="49"/>
      <c r="M8" s="49"/>
      <c r="N8" s="10"/>
      <c r="O8" s="10"/>
      <c r="P8" s="10"/>
      <c r="Q8" s="10"/>
      <c r="R8" s="10"/>
    </row>
    <row r="9" spans="8:18" ht="27.75">
      <c r="H9" s="19" t="s">
        <v>156</v>
      </c>
      <c r="I9" s="20" t="s">
        <v>17</v>
      </c>
      <c r="J9" s="44">
        <f>V_rms_HL*V_rms_HL*K_m*K_mult_x_HL*R_load_min*1.5/4/V_bulk_nom_verif/(R_sense/1000)/4</f>
        <v>231.4900075743357</v>
      </c>
      <c r="K9" s="63" t="s">
        <v>158</v>
      </c>
      <c r="L9" s="49"/>
      <c r="M9" s="49"/>
      <c r="N9" s="10"/>
      <c r="O9" s="10"/>
      <c r="P9" s="10"/>
      <c r="Q9" s="10"/>
      <c r="R9" s="10"/>
    </row>
    <row r="10" spans="8:23" ht="27.75">
      <c r="H10" s="19" t="s">
        <v>157</v>
      </c>
      <c r="I10" s="20" t="s">
        <v>17</v>
      </c>
      <c r="J10" s="44">
        <f>V_rms_LL*V_rms_LL*K_m*K_mult_x_LL*R_load_min*1.5/4/V_bulk_nom_verif/(R_sense/1000)/4</f>
        <v>62.98942022816849</v>
      </c>
      <c r="K10" s="63" t="s">
        <v>159</v>
      </c>
      <c r="L10" s="49"/>
      <c r="M10" s="49"/>
      <c r="N10" s="10"/>
      <c r="O10" s="10"/>
      <c r="P10" s="10"/>
      <c r="Q10" s="10"/>
      <c r="R10" s="10"/>
      <c r="T10" s="58" t="s">
        <v>187</v>
      </c>
      <c r="U10" s="83">
        <f>INDEX($H22:$H182,MATCH(-1,$T22:$T182,0))</f>
        <v>2.818382931264439</v>
      </c>
      <c r="V10" s="58" t="s">
        <v>189</v>
      </c>
      <c r="W10" s="84">
        <f>INDEX($P22:$P182,MATCH(-1,$T22:$T182,0))</f>
        <v>66.44099978778206</v>
      </c>
    </row>
    <row r="11" spans="8:23" ht="27.75">
      <c r="H11" s="19" t="s">
        <v>168</v>
      </c>
      <c r="I11" s="20" t="s">
        <v>9</v>
      </c>
      <c r="J11" s="85">
        <f>INDEX($H23:$H183,MATCH(-1,$U23:$U183,0))</f>
        <v>7.943282347242782</v>
      </c>
      <c r="K11" s="63" t="s">
        <v>193</v>
      </c>
      <c r="L11" s="49"/>
      <c r="M11" s="49"/>
      <c r="N11" s="10"/>
      <c r="O11" s="10"/>
      <c r="P11" s="10"/>
      <c r="Q11" s="10"/>
      <c r="R11" s="10"/>
      <c r="T11" s="58" t="s">
        <v>188</v>
      </c>
      <c r="U11" s="83">
        <f>INDEX($H23:$H183,MATCH(-1,$U23:$U183,0))</f>
        <v>7.943282347242782</v>
      </c>
      <c r="V11" s="58" t="s">
        <v>190</v>
      </c>
      <c r="W11" s="84">
        <f>INDEX($R23:$R183,MATCH(-1,$U23:$U183,0))</f>
        <v>63.4762254306645</v>
      </c>
    </row>
    <row r="12" spans="8:18" ht="28.5">
      <c r="H12" s="26" t="s">
        <v>169</v>
      </c>
      <c r="I12" s="20" t="s">
        <v>26</v>
      </c>
      <c r="J12" s="87">
        <f>INDEX($R24:$R184,MATCH(-1,$U24:$U184,0))</f>
        <v>63.4762254306645</v>
      </c>
      <c r="K12" s="63" t="s">
        <v>191</v>
      </c>
      <c r="L12" s="49"/>
      <c r="M12" s="49"/>
      <c r="N12" s="10"/>
      <c r="O12" s="10"/>
      <c r="P12" s="10"/>
      <c r="Q12" s="10"/>
      <c r="R12" s="10"/>
    </row>
    <row r="13" spans="8:21" ht="27.75">
      <c r="H13" s="19" t="s">
        <v>170</v>
      </c>
      <c r="I13" s="20" t="s">
        <v>9</v>
      </c>
      <c r="J13" s="85">
        <f>INDEX($H25:$H185,MATCH(-1,$T25:$T185,0))</f>
        <v>2.818382931264439</v>
      </c>
      <c r="K13" s="63" t="s">
        <v>194</v>
      </c>
      <c r="L13" s="49"/>
      <c r="M13" s="49"/>
      <c r="N13" s="10"/>
      <c r="O13" s="10"/>
      <c r="U13" s="83"/>
    </row>
    <row r="14" spans="8:15" ht="28.5">
      <c r="H14" s="26" t="s">
        <v>171</v>
      </c>
      <c r="I14" s="20" t="s">
        <v>26</v>
      </c>
      <c r="J14" s="86">
        <f>INDEX($P26:$P186,MATCH(-1,$T26:$T186,0))</f>
        <v>66.44099978778206</v>
      </c>
      <c r="K14" s="63" t="s">
        <v>192</v>
      </c>
      <c r="L14" s="49"/>
      <c r="M14" s="49"/>
      <c r="N14" s="10"/>
      <c r="O14" s="10"/>
    </row>
    <row r="18" spans="15:18" ht="12.75">
      <c r="O18" s="57"/>
      <c r="P18" s="57"/>
      <c r="Q18" s="57"/>
      <c r="R18" s="57"/>
    </row>
    <row r="19" spans="15:18" ht="12.75">
      <c r="O19" s="57"/>
      <c r="P19" s="57"/>
      <c r="Q19" s="57"/>
      <c r="R19" s="57"/>
    </row>
    <row r="20" spans="8:18" ht="26.25">
      <c r="H20" s="60"/>
      <c r="I20" s="69" t="s">
        <v>172</v>
      </c>
      <c r="J20" s="69"/>
      <c r="K20" s="69" t="s">
        <v>173</v>
      </c>
      <c r="L20" s="69"/>
      <c r="M20" s="69" t="s">
        <v>174</v>
      </c>
      <c r="N20" s="69"/>
      <c r="O20" s="69" t="s">
        <v>175</v>
      </c>
      <c r="P20" s="70"/>
      <c r="Q20" s="69" t="s">
        <v>176</v>
      </c>
      <c r="R20" s="70"/>
    </row>
    <row r="21" spans="8:21" ht="15.75">
      <c r="H21" s="62" t="s">
        <v>85</v>
      </c>
      <c r="I21" s="61" t="s">
        <v>160</v>
      </c>
      <c r="J21" s="61" t="s">
        <v>161</v>
      </c>
      <c r="K21" s="61" t="s">
        <v>162</v>
      </c>
      <c r="L21" s="61" t="s">
        <v>163</v>
      </c>
      <c r="M21" s="61" t="s">
        <v>86</v>
      </c>
      <c r="N21" s="61" t="s">
        <v>87</v>
      </c>
      <c r="O21" s="61" t="s">
        <v>164</v>
      </c>
      <c r="P21" s="61" t="s">
        <v>165</v>
      </c>
      <c r="Q21" s="61" t="s">
        <v>166</v>
      </c>
      <c r="R21" s="61" t="s">
        <v>167</v>
      </c>
      <c r="T21" s="61" t="s">
        <v>185</v>
      </c>
      <c r="U21" s="61" t="s">
        <v>186</v>
      </c>
    </row>
    <row r="22" spans="8:21" ht="12.75">
      <c r="H22" s="55">
        <v>0.001</v>
      </c>
      <c r="I22" s="65">
        <f aca="true" t="shared" si="0" ref="I22:I53">20*LOG10(_G_0_LL_min/SQRT(1+(H22/f_plant)^2))</f>
        <v>35.98535123238457</v>
      </c>
      <c r="J22" s="65">
        <f aca="true" t="shared" si="1" ref="J22:J53">-(180/3.14)*ATAN(H22/f_plant)</f>
        <v>-0.027337497927620153</v>
      </c>
      <c r="K22" s="66">
        <f aca="true" t="shared" si="2" ref="K22:K53">20*LOG10(G_0_HL_max/SQRT(1+(H22/f_plant)^2))</f>
        <v>47.290643995081126</v>
      </c>
      <c r="L22" s="66">
        <f aca="true" t="shared" si="3" ref="L22:L53">-(180/3.14)*ATAN(H22/f_plant)</f>
        <v>-0.027337497927620153</v>
      </c>
      <c r="M22" s="65">
        <f aca="true" t="shared" si="4" ref="M22:M53">-20*LOG10(H22/f_p_0)+20*LOG10(SQRT(1+(H22/f_z)^2))-20*LOG10(SQRT(1+(H22/f_p)^2))</f>
        <v>36.893546776976144</v>
      </c>
      <c r="N22" s="65">
        <f aca="true" t="shared" si="5" ref="N22:N53">-90+(180/3.14)*ATAN(H22/f_z)-(180/3.14)*ATAN(H22/f_p)+180</f>
        <v>90.0123965214459</v>
      </c>
      <c r="O22" s="67">
        <f>I22+M22</f>
        <v>72.87889800936071</v>
      </c>
      <c r="P22" s="67">
        <f>J22+N22</f>
        <v>89.98505902351828</v>
      </c>
      <c r="Q22" s="68">
        <f>K22+M22</f>
        <v>84.18419077205726</v>
      </c>
      <c r="R22" s="68">
        <f>L22+N22</f>
        <v>89.98505902351828</v>
      </c>
      <c r="T22">
        <f>SIGN(O23*O22)</f>
        <v>1</v>
      </c>
      <c r="U22">
        <f>SIGN(Q23*Q22)</f>
        <v>1</v>
      </c>
    </row>
    <row r="23" spans="7:21" ht="12.75">
      <c r="G23" s="88"/>
      <c r="H23" s="55">
        <v>0.0011220184543019622</v>
      </c>
      <c r="I23" s="65">
        <f t="shared" si="0"/>
        <v>35.98535097664923</v>
      </c>
      <c r="J23" s="65">
        <f t="shared" si="1"/>
        <v>-0.030673176567165655</v>
      </c>
      <c r="K23" s="66">
        <f t="shared" si="2"/>
        <v>47.29064373934578</v>
      </c>
      <c r="L23" s="66">
        <f t="shared" si="3"/>
        <v>-0.030673176567165655</v>
      </c>
      <c r="M23" s="65">
        <f t="shared" si="4"/>
        <v>35.89354684533839</v>
      </c>
      <c r="N23" s="65">
        <f t="shared" si="5"/>
        <v>90.01390912574625</v>
      </c>
      <c r="O23" s="67">
        <f aca="true" t="shared" si="6" ref="O23:O86">I23+M23</f>
        <v>71.87889782198762</v>
      </c>
      <c r="P23" s="67">
        <f aca="true" t="shared" si="7" ref="P23:P86">J23+N23</f>
        <v>89.98323594917909</v>
      </c>
      <c r="Q23" s="68">
        <f aca="true" t="shared" si="8" ref="Q23:Q86">K23+M23</f>
        <v>83.18419058468417</v>
      </c>
      <c r="R23" s="68">
        <f aca="true" t="shared" si="9" ref="R23:R86">L23+N23</f>
        <v>89.98323594917909</v>
      </c>
      <c r="T23">
        <f aca="true" t="shared" si="10" ref="T23:T86">SIGN(O24*O23)</f>
        <v>1</v>
      </c>
      <c r="U23">
        <f aca="true" t="shared" si="11" ref="U23:U86">SIGN(Q24*Q23)</f>
        <v>1</v>
      </c>
    </row>
    <row r="24" spans="7:21" ht="12.75">
      <c r="G24" s="88"/>
      <c r="H24" s="55">
        <v>0.001258925411794165</v>
      </c>
      <c r="I24" s="65">
        <f t="shared" si="0"/>
        <v>35.98535065469753</v>
      </c>
      <c r="J24" s="65">
        <f t="shared" si="1"/>
        <v>-0.03441586930998191</v>
      </c>
      <c r="K24" s="66">
        <f t="shared" si="2"/>
        <v>47.29064341739409</v>
      </c>
      <c r="L24" s="66">
        <f t="shared" si="3"/>
        <v>-0.03441586930998191</v>
      </c>
      <c r="M24" s="65">
        <f t="shared" si="4"/>
        <v>34.89354693140136</v>
      </c>
      <c r="N24" s="65">
        <f t="shared" si="5"/>
        <v>90.01560629565017</v>
      </c>
      <c r="O24" s="67">
        <f t="shared" si="6"/>
        <v>70.87889758609889</v>
      </c>
      <c r="P24" s="67">
        <f t="shared" si="7"/>
        <v>89.98119042634019</v>
      </c>
      <c r="Q24" s="68">
        <f t="shared" si="8"/>
        <v>82.18419034879545</v>
      </c>
      <c r="R24" s="68">
        <f t="shared" si="9"/>
        <v>89.98119042634019</v>
      </c>
      <c r="T24">
        <f t="shared" si="10"/>
        <v>1</v>
      </c>
      <c r="U24">
        <f t="shared" si="11"/>
        <v>1</v>
      </c>
    </row>
    <row r="25" spans="7:21" ht="12.75">
      <c r="G25" s="88"/>
      <c r="H25" s="55">
        <v>0.0014125375446227514</v>
      </c>
      <c r="I25" s="65">
        <f t="shared" si="0"/>
        <v>35.98535024938438</v>
      </c>
      <c r="J25" s="65">
        <f t="shared" si="1"/>
        <v>-0.03861523928536527</v>
      </c>
      <c r="K25" s="66">
        <f t="shared" si="2"/>
        <v>47.29064301208094</v>
      </c>
      <c r="L25" s="66">
        <f t="shared" si="3"/>
        <v>-0.03861523928536527</v>
      </c>
      <c r="M25" s="65">
        <f t="shared" si="4"/>
        <v>33.8935470397482</v>
      </c>
      <c r="N25" s="65">
        <f t="shared" si="5"/>
        <v>90.0175105515528</v>
      </c>
      <c r="O25" s="67">
        <f t="shared" si="6"/>
        <v>69.87889728913258</v>
      </c>
      <c r="P25" s="67">
        <f t="shared" si="7"/>
        <v>89.97889531226744</v>
      </c>
      <c r="Q25" s="68">
        <f t="shared" si="8"/>
        <v>81.18419005182915</v>
      </c>
      <c r="R25" s="68">
        <f t="shared" si="9"/>
        <v>89.97889531226744</v>
      </c>
      <c r="T25">
        <f t="shared" si="10"/>
        <v>1</v>
      </c>
      <c r="U25">
        <f t="shared" si="11"/>
        <v>1</v>
      </c>
    </row>
    <row r="26" spans="7:21" ht="12.75">
      <c r="G26" s="88"/>
      <c r="H26" s="55">
        <v>0.0015848931924611095</v>
      </c>
      <c r="I26" s="65">
        <f t="shared" si="0"/>
        <v>35.98534973912542</v>
      </c>
      <c r="J26" s="65">
        <f t="shared" si="1"/>
        <v>-0.043327009398614516</v>
      </c>
      <c r="K26" s="66">
        <f t="shared" si="2"/>
        <v>47.29064250182198</v>
      </c>
      <c r="L26" s="66">
        <f t="shared" si="3"/>
        <v>-0.043327009398614516</v>
      </c>
      <c r="M26" s="65">
        <f t="shared" si="4"/>
        <v>32.8935471761488</v>
      </c>
      <c r="N26" s="65">
        <f t="shared" si="5"/>
        <v>90.01964716174714</v>
      </c>
      <c r="O26" s="67">
        <f t="shared" si="6"/>
        <v>68.87889691527423</v>
      </c>
      <c r="P26" s="67">
        <f t="shared" si="7"/>
        <v>89.97632015234853</v>
      </c>
      <c r="Q26" s="68">
        <f t="shared" si="8"/>
        <v>80.18418967797078</v>
      </c>
      <c r="R26" s="68">
        <f t="shared" si="9"/>
        <v>89.97632015234853</v>
      </c>
      <c r="T26">
        <f t="shared" si="10"/>
        <v>1</v>
      </c>
      <c r="U26">
        <f t="shared" si="11"/>
        <v>1</v>
      </c>
    </row>
    <row r="27" spans="7:21" ht="12.75">
      <c r="G27" s="88"/>
      <c r="H27" s="55">
        <v>0.0017782794100389175</v>
      </c>
      <c r="I27" s="65">
        <f t="shared" si="0"/>
        <v>35.98534909674753</v>
      </c>
      <c r="J27" s="65">
        <f t="shared" si="1"/>
        <v>-0.04861370171809405</v>
      </c>
      <c r="K27" s="66">
        <f t="shared" si="2"/>
        <v>47.29064185944409</v>
      </c>
      <c r="L27" s="66">
        <f t="shared" si="3"/>
        <v>-0.04861370171809405</v>
      </c>
      <c r="M27" s="65">
        <f t="shared" si="4"/>
        <v>31.893547347866967</v>
      </c>
      <c r="N27" s="65">
        <f t="shared" si="5"/>
        <v>90.02204447771578</v>
      </c>
      <c r="O27" s="67">
        <f t="shared" si="6"/>
        <v>67.8788964446145</v>
      </c>
      <c r="P27" s="67">
        <f t="shared" si="7"/>
        <v>89.97343077599768</v>
      </c>
      <c r="Q27" s="68">
        <f t="shared" si="8"/>
        <v>79.18418920731105</v>
      </c>
      <c r="R27" s="68">
        <f t="shared" si="9"/>
        <v>89.97343077599768</v>
      </c>
      <c r="T27">
        <f t="shared" si="10"/>
        <v>1</v>
      </c>
      <c r="U27">
        <f t="shared" si="11"/>
        <v>1</v>
      </c>
    </row>
    <row r="28" spans="7:21" ht="12.75">
      <c r="G28" s="88"/>
      <c r="H28" s="55">
        <v>0.0019952623149688746</v>
      </c>
      <c r="I28" s="65">
        <f t="shared" si="0"/>
        <v>35.98534828804182</v>
      </c>
      <c r="J28" s="65">
        <f t="shared" si="1"/>
        <v>-0.05454546707397006</v>
      </c>
      <c r="K28" s="66">
        <f t="shared" si="2"/>
        <v>47.29064105073837</v>
      </c>
      <c r="L28" s="66">
        <f t="shared" si="3"/>
        <v>-0.05454546707397006</v>
      </c>
      <c r="M28" s="65">
        <f t="shared" si="4"/>
        <v>30.893547564047314</v>
      </c>
      <c r="N28" s="65">
        <f t="shared" si="5"/>
        <v>90.0247343103335</v>
      </c>
      <c r="O28" s="67">
        <f t="shared" si="6"/>
        <v>66.87889585208913</v>
      </c>
      <c r="P28" s="67">
        <f t="shared" si="7"/>
        <v>89.97018884325954</v>
      </c>
      <c r="Q28" s="68">
        <f t="shared" si="8"/>
        <v>78.18418861478568</v>
      </c>
      <c r="R28" s="68">
        <f t="shared" si="9"/>
        <v>89.97018884325954</v>
      </c>
      <c r="T28">
        <f t="shared" si="10"/>
        <v>1</v>
      </c>
      <c r="U28">
        <f t="shared" si="11"/>
        <v>1</v>
      </c>
    </row>
    <row r="29" spans="7:21" ht="12.75">
      <c r="G29" s="88"/>
      <c r="H29" s="55">
        <v>0.0022387211385683325</v>
      </c>
      <c r="I29" s="65">
        <f t="shared" si="0"/>
        <v>35.985347269941855</v>
      </c>
      <c r="J29" s="65">
        <f t="shared" si="1"/>
        <v>-0.06120101587314019</v>
      </c>
      <c r="K29" s="66">
        <f t="shared" si="2"/>
        <v>47.29064003263841</v>
      </c>
      <c r="L29" s="66">
        <f t="shared" si="3"/>
        <v>-0.06120101587314019</v>
      </c>
      <c r="M29" s="65">
        <f t="shared" si="4"/>
        <v>29.89354783620225</v>
      </c>
      <c r="N29" s="65">
        <f t="shared" si="5"/>
        <v>90.02775235197193</v>
      </c>
      <c r="O29" s="67">
        <f t="shared" si="6"/>
        <v>65.8788951061441</v>
      </c>
      <c r="P29" s="67">
        <f t="shared" si="7"/>
        <v>89.96655133609879</v>
      </c>
      <c r="Q29" s="68">
        <f t="shared" si="8"/>
        <v>77.18418786884065</v>
      </c>
      <c r="R29" s="68">
        <f t="shared" si="9"/>
        <v>89.96655133609879</v>
      </c>
      <c r="T29">
        <f t="shared" si="10"/>
        <v>1</v>
      </c>
      <c r="U29">
        <f t="shared" si="11"/>
        <v>1</v>
      </c>
    </row>
    <row r="30" spans="7:21" ht="12.75">
      <c r="G30" s="88"/>
      <c r="H30" s="55">
        <v>0.002511886431509571</v>
      </c>
      <c r="I30" s="65">
        <f t="shared" si="0"/>
        <v>35.98534598823028</v>
      </c>
      <c r="J30" s="65">
        <f t="shared" si="1"/>
        <v>-0.0686686624764096</v>
      </c>
      <c r="K30" s="66">
        <f t="shared" si="2"/>
        <v>47.29063875092684</v>
      </c>
      <c r="L30" s="66">
        <f t="shared" si="3"/>
        <v>-0.0686686624764096</v>
      </c>
      <c r="M30" s="65">
        <f t="shared" si="4"/>
        <v>28.89354817882497</v>
      </c>
      <c r="N30" s="65">
        <f t="shared" si="5"/>
        <v>90.03113865010693</v>
      </c>
      <c r="O30" s="67">
        <f t="shared" si="6"/>
        <v>64.87889416705525</v>
      </c>
      <c r="P30" s="67">
        <f t="shared" si="7"/>
        <v>89.96246998763051</v>
      </c>
      <c r="Q30" s="68">
        <f t="shared" si="8"/>
        <v>76.1841869297518</v>
      </c>
      <c r="R30" s="68">
        <f t="shared" si="9"/>
        <v>89.96246998763051</v>
      </c>
      <c r="T30">
        <f t="shared" si="10"/>
        <v>1</v>
      </c>
      <c r="U30">
        <f t="shared" si="11"/>
        <v>1</v>
      </c>
    </row>
    <row r="31" spans="7:21" ht="12.75">
      <c r="G31" s="88"/>
      <c r="H31" s="55">
        <v>0.002818382931264442</v>
      </c>
      <c r="I31" s="65">
        <f t="shared" si="0"/>
        <v>35.98534437465155</v>
      </c>
      <c r="J31" s="65">
        <f t="shared" si="1"/>
        <v>-0.07704749698867995</v>
      </c>
      <c r="K31" s="66">
        <f t="shared" si="2"/>
        <v>47.2906371373481</v>
      </c>
      <c r="L31" s="66">
        <f t="shared" si="3"/>
        <v>-0.07704749698867995</v>
      </c>
      <c r="M31" s="65">
        <f t="shared" si="4"/>
        <v>27.893548610161393</v>
      </c>
      <c r="N31" s="65">
        <f t="shared" si="5"/>
        <v>90.03493813871182</v>
      </c>
      <c r="O31" s="67">
        <f t="shared" si="6"/>
        <v>63.878892984812936</v>
      </c>
      <c r="P31" s="67">
        <f t="shared" si="7"/>
        <v>89.95789064172314</v>
      </c>
      <c r="Q31" s="68">
        <f t="shared" si="8"/>
        <v>75.18418574750949</v>
      </c>
      <c r="R31" s="68">
        <f t="shared" si="9"/>
        <v>89.95789064172314</v>
      </c>
      <c r="T31">
        <f t="shared" si="10"/>
        <v>1</v>
      </c>
      <c r="U31">
        <f t="shared" si="11"/>
        <v>1</v>
      </c>
    </row>
    <row r="32" spans="7:21" ht="12.75">
      <c r="G32" s="88"/>
      <c r="H32" s="55">
        <v>0.0031622776601683646</v>
      </c>
      <c r="I32" s="65">
        <f t="shared" si="0"/>
        <v>35.98534234327713</v>
      </c>
      <c r="J32" s="65">
        <f t="shared" si="1"/>
        <v>-0.08644870000052825</v>
      </c>
      <c r="K32" s="66">
        <f t="shared" si="2"/>
        <v>47.29063510597369</v>
      </c>
      <c r="L32" s="66">
        <f t="shared" si="3"/>
        <v>-0.08644870000052825</v>
      </c>
      <c r="M32" s="65">
        <f t="shared" si="4"/>
        <v>26.89354915318171</v>
      </c>
      <c r="N32" s="65">
        <f t="shared" si="5"/>
        <v>90.03920123448643</v>
      </c>
      <c r="O32" s="67">
        <f t="shared" si="6"/>
        <v>62.87889149645884</v>
      </c>
      <c r="P32" s="67">
        <f t="shared" si="7"/>
        <v>89.9527525344859</v>
      </c>
      <c r="Q32" s="68">
        <f t="shared" si="8"/>
        <v>74.1841842591554</v>
      </c>
      <c r="R32" s="68">
        <f t="shared" si="9"/>
        <v>89.9527525344859</v>
      </c>
      <c r="T32">
        <f t="shared" si="10"/>
        <v>1</v>
      </c>
      <c r="U32">
        <f t="shared" si="11"/>
        <v>1</v>
      </c>
    </row>
    <row r="33" spans="7:21" ht="12.75">
      <c r="G33" s="88"/>
      <c r="H33" s="55">
        <v>0.0035481338923357367</v>
      </c>
      <c r="I33" s="65">
        <f t="shared" si="0"/>
        <v>35.985339785929604</v>
      </c>
      <c r="J33" s="65">
        <f t="shared" si="1"/>
        <v>-0.09699701771206719</v>
      </c>
      <c r="K33" s="66">
        <f t="shared" si="2"/>
        <v>47.290632548626164</v>
      </c>
      <c r="L33" s="66">
        <f t="shared" si="3"/>
        <v>-0.09699701771206719</v>
      </c>
      <c r="M33" s="65">
        <f t="shared" si="4"/>
        <v>25.893549836803675</v>
      </c>
      <c r="N33" s="65">
        <f t="shared" si="5"/>
        <v>90.0439845058312</v>
      </c>
      <c r="O33" s="67">
        <f t="shared" si="6"/>
        <v>61.87888962273328</v>
      </c>
      <c r="P33" s="67">
        <f t="shared" si="7"/>
        <v>89.94698748811913</v>
      </c>
      <c r="Q33" s="68">
        <f t="shared" si="8"/>
        <v>73.18418238542984</v>
      </c>
      <c r="R33" s="68">
        <f t="shared" si="9"/>
        <v>89.94698748811913</v>
      </c>
      <c r="T33">
        <f t="shared" si="10"/>
        <v>1</v>
      </c>
      <c r="U33">
        <f t="shared" si="11"/>
        <v>1</v>
      </c>
    </row>
    <row r="34" spans="7:21" ht="12.75">
      <c r="G34" s="88"/>
      <c r="H34" s="55">
        <v>0.003981071705534951</v>
      </c>
      <c r="I34" s="65">
        <f t="shared" si="0"/>
        <v>35.985336566421964</v>
      </c>
      <c r="J34" s="65">
        <f t="shared" si="1"/>
        <v>-0.10883241699199822</v>
      </c>
      <c r="K34" s="66">
        <f t="shared" si="2"/>
        <v>47.29062932911852</v>
      </c>
      <c r="L34" s="66">
        <f t="shared" si="3"/>
        <v>-0.10883241699199822</v>
      </c>
      <c r="M34" s="65">
        <f t="shared" si="4"/>
        <v>24.89355069743259</v>
      </c>
      <c r="N34" s="65">
        <f t="shared" si="5"/>
        <v>90.0493514234406</v>
      </c>
      <c r="O34" s="67">
        <f t="shared" si="6"/>
        <v>60.87888726385455</v>
      </c>
      <c r="P34" s="67">
        <f t="shared" si="7"/>
        <v>89.9405190064486</v>
      </c>
      <c r="Q34" s="68">
        <f t="shared" si="8"/>
        <v>72.1841800265511</v>
      </c>
      <c r="R34" s="68">
        <f t="shared" si="9"/>
        <v>89.9405190064486</v>
      </c>
      <c r="T34">
        <f t="shared" si="10"/>
        <v>1</v>
      </c>
      <c r="U34">
        <f t="shared" si="11"/>
        <v>1</v>
      </c>
    </row>
    <row r="35" spans="7:21" ht="12.75">
      <c r="G35" s="88"/>
      <c r="H35" s="55">
        <v>0.0044668359215096045</v>
      </c>
      <c r="I35" s="65">
        <f t="shared" si="0"/>
        <v>35.98533251330537</v>
      </c>
      <c r="J35" s="65">
        <f t="shared" si="1"/>
        <v>-0.12211194230369829</v>
      </c>
      <c r="K35" s="66">
        <f t="shared" si="2"/>
        <v>47.290625276001926</v>
      </c>
      <c r="L35" s="66">
        <f t="shared" si="3"/>
        <v>-0.12211194230369829</v>
      </c>
      <c r="M35" s="65">
        <f t="shared" si="4"/>
        <v>23.89355178089994</v>
      </c>
      <c r="N35" s="65">
        <f t="shared" si="5"/>
        <v>90.05537320247122</v>
      </c>
      <c r="O35" s="67">
        <f t="shared" si="6"/>
        <v>59.878884294205314</v>
      </c>
      <c r="P35" s="67">
        <f t="shared" si="7"/>
        <v>89.93326126016751</v>
      </c>
      <c r="Q35" s="68">
        <f t="shared" si="8"/>
        <v>71.18417705690186</v>
      </c>
      <c r="R35" s="68">
        <f t="shared" si="9"/>
        <v>89.93326126016751</v>
      </c>
      <c r="T35">
        <f t="shared" si="10"/>
        <v>1</v>
      </c>
      <c r="U35">
        <f t="shared" si="11"/>
        <v>1</v>
      </c>
    </row>
    <row r="36" spans="7:21" ht="12.75">
      <c r="G36" s="88"/>
      <c r="H36" s="55">
        <v>0.005011872336272691</v>
      </c>
      <c r="I36" s="65">
        <f t="shared" si="0"/>
        <v>35.98532741073927</v>
      </c>
      <c r="J36" s="65">
        <f t="shared" si="1"/>
        <v>-0.1370117990965482</v>
      </c>
      <c r="K36" s="66">
        <f t="shared" si="2"/>
        <v>47.290620173435826</v>
      </c>
      <c r="L36" s="66">
        <f t="shared" si="3"/>
        <v>-0.1370117990965482</v>
      </c>
      <c r="M36" s="65">
        <f t="shared" si="4"/>
        <v>22.89355314490413</v>
      </c>
      <c r="N36" s="65">
        <f t="shared" si="5"/>
        <v>90.06212974745382</v>
      </c>
      <c r="O36" s="67">
        <f t="shared" si="6"/>
        <v>58.878880555643406</v>
      </c>
      <c r="P36" s="67">
        <f t="shared" si="7"/>
        <v>89.92511794835728</v>
      </c>
      <c r="Q36" s="68">
        <f t="shared" si="8"/>
        <v>70.18417331833996</v>
      </c>
      <c r="R36" s="68">
        <f t="shared" si="9"/>
        <v>89.92511794835728</v>
      </c>
      <c r="T36">
        <f t="shared" si="10"/>
        <v>1</v>
      </c>
      <c r="U36">
        <f t="shared" si="11"/>
        <v>1</v>
      </c>
    </row>
    <row r="37" spans="7:21" ht="12.75">
      <c r="G37" s="88"/>
      <c r="H37" s="55">
        <v>0.005623413251903452</v>
      </c>
      <c r="I37" s="65">
        <f t="shared" si="0"/>
        <v>35.98532098699767</v>
      </c>
      <c r="J37" s="65">
        <f t="shared" si="1"/>
        <v>-0.15372969124840952</v>
      </c>
      <c r="K37" s="66">
        <f t="shared" si="2"/>
        <v>47.290613749694224</v>
      </c>
      <c r="L37" s="66">
        <f t="shared" si="3"/>
        <v>-0.15372969124840952</v>
      </c>
      <c r="M37" s="65">
        <f t="shared" si="4"/>
        <v>21.893554862083036</v>
      </c>
      <c r="N37" s="65">
        <f t="shared" si="5"/>
        <v>90.06971071247936</v>
      </c>
      <c r="O37" s="67">
        <f t="shared" si="6"/>
        <v>57.87887584908071</v>
      </c>
      <c r="P37" s="67">
        <f t="shared" si="7"/>
        <v>89.91598102123095</v>
      </c>
      <c r="Q37" s="68">
        <f t="shared" si="8"/>
        <v>69.18416861177727</v>
      </c>
      <c r="R37" s="68">
        <f t="shared" si="9"/>
        <v>89.91598102123095</v>
      </c>
      <c r="T37">
        <f t="shared" si="10"/>
        <v>1</v>
      </c>
      <c r="U37">
        <f t="shared" si="11"/>
        <v>1</v>
      </c>
    </row>
    <row r="38" spans="7:21" ht="12.75">
      <c r="G38" s="88"/>
      <c r="H38" s="55">
        <v>0.006309573444801885</v>
      </c>
      <c r="I38" s="65">
        <f t="shared" si="0"/>
        <v>35.98531289999964</v>
      </c>
      <c r="J38" s="65">
        <f t="shared" si="1"/>
        <v>-0.1724874434917467</v>
      </c>
      <c r="K38" s="66">
        <f t="shared" si="2"/>
        <v>47.2906056626962</v>
      </c>
      <c r="L38" s="66">
        <f t="shared" si="3"/>
        <v>-0.1724874434917467</v>
      </c>
      <c r="M38" s="65">
        <f t="shared" si="4"/>
        <v>20.893557023882188</v>
      </c>
      <c r="N38" s="65">
        <f t="shared" si="5"/>
        <v>90.07821669071501</v>
      </c>
      <c r="O38" s="67">
        <f t="shared" si="6"/>
        <v>56.87886992388183</v>
      </c>
      <c r="P38" s="67">
        <f t="shared" si="7"/>
        <v>89.90572924722326</v>
      </c>
      <c r="Q38" s="68">
        <f t="shared" si="8"/>
        <v>68.18416268657839</v>
      </c>
      <c r="R38" s="68">
        <f t="shared" si="9"/>
        <v>89.90572924722326</v>
      </c>
      <c r="T38">
        <f t="shared" si="10"/>
        <v>1</v>
      </c>
      <c r="U38">
        <f t="shared" si="11"/>
        <v>1</v>
      </c>
    </row>
    <row r="39" spans="7:21" ht="12.75">
      <c r="G39" s="88"/>
      <c r="H39" s="55">
        <v>0.007079457843841329</v>
      </c>
      <c r="I39" s="65">
        <f t="shared" si="0"/>
        <v>35.98530271909373</v>
      </c>
      <c r="J39" s="65">
        <f t="shared" si="1"/>
        <v>-0.19353394350282369</v>
      </c>
      <c r="K39" s="66">
        <f t="shared" si="2"/>
        <v>47.29059548179029</v>
      </c>
      <c r="L39" s="66">
        <f t="shared" si="3"/>
        <v>-0.19353394350282369</v>
      </c>
      <c r="M39" s="65">
        <f t="shared" si="4"/>
        <v>19.893559745424486</v>
      </c>
      <c r="N39" s="65">
        <f t="shared" si="5"/>
        <v>90.08776054901762</v>
      </c>
      <c r="O39" s="67">
        <f t="shared" si="6"/>
        <v>55.87886246451822</v>
      </c>
      <c r="P39" s="67">
        <f t="shared" si="7"/>
        <v>89.89422660551479</v>
      </c>
      <c r="Q39" s="68">
        <f t="shared" si="8"/>
        <v>67.18415522721477</v>
      </c>
      <c r="R39" s="68">
        <f t="shared" si="9"/>
        <v>89.89422660551479</v>
      </c>
      <c r="T39">
        <f t="shared" si="10"/>
        <v>1</v>
      </c>
      <c r="U39">
        <f t="shared" si="11"/>
        <v>1</v>
      </c>
    </row>
    <row r="40" spans="7:21" ht="12.75">
      <c r="G40" s="88"/>
      <c r="H40" s="55">
        <v>0.007943282347242755</v>
      </c>
      <c r="I40" s="65">
        <f t="shared" si="0"/>
        <v>35.985289902126496</v>
      </c>
      <c r="J40" s="65">
        <f t="shared" si="1"/>
        <v>-0.2171484425262273</v>
      </c>
      <c r="K40" s="66">
        <f t="shared" si="2"/>
        <v>47.290582664823056</v>
      </c>
      <c r="L40" s="66">
        <f t="shared" si="3"/>
        <v>-0.2171484425262273</v>
      </c>
      <c r="M40" s="65">
        <f t="shared" si="4"/>
        <v>18.893563171640753</v>
      </c>
      <c r="N40" s="65">
        <f t="shared" si="5"/>
        <v>90.0984689253305</v>
      </c>
      <c r="O40" s="67">
        <f t="shared" si="6"/>
        <v>54.878853073767246</v>
      </c>
      <c r="P40" s="67">
        <f t="shared" si="7"/>
        <v>89.88132048280427</v>
      </c>
      <c r="Q40" s="68">
        <f t="shared" si="8"/>
        <v>66.18414583646381</v>
      </c>
      <c r="R40" s="68">
        <f t="shared" si="9"/>
        <v>89.88132048280427</v>
      </c>
      <c r="T40">
        <f t="shared" si="10"/>
        <v>1</v>
      </c>
      <c r="U40">
        <f t="shared" si="11"/>
        <v>1</v>
      </c>
    </row>
    <row r="41" spans="7:21" ht="12.75">
      <c r="G41" s="88"/>
      <c r="H41" s="55">
        <v>0.008912509381337384</v>
      </c>
      <c r="I41" s="65">
        <f t="shared" si="0"/>
        <v>35.98527376657453</v>
      </c>
      <c r="J41" s="65">
        <f t="shared" si="1"/>
        <v>-0.24364425809543674</v>
      </c>
      <c r="K41" s="66">
        <f t="shared" si="2"/>
        <v>47.29056652927109</v>
      </c>
      <c r="L41" s="66">
        <f t="shared" si="3"/>
        <v>-0.24364425809543674</v>
      </c>
      <c r="M41" s="65">
        <f t="shared" si="4"/>
        <v>17.89356748498749</v>
      </c>
      <c r="N41" s="65">
        <f t="shared" si="5"/>
        <v>90.11048390869948</v>
      </c>
      <c r="O41" s="67">
        <f t="shared" si="6"/>
        <v>53.87884125156202</v>
      </c>
      <c r="P41" s="67">
        <f t="shared" si="7"/>
        <v>89.86683965060404</v>
      </c>
      <c r="Q41" s="68">
        <f t="shared" si="8"/>
        <v>65.18413401425858</v>
      </c>
      <c r="R41" s="68">
        <f t="shared" si="9"/>
        <v>89.86683965060404</v>
      </c>
      <c r="T41">
        <f t="shared" si="10"/>
        <v>1</v>
      </c>
      <c r="U41">
        <f t="shared" si="11"/>
        <v>1</v>
      </c>
    </row>
    <row r="42" spans="8:21" ht="12.75">
      <c r="H42" s="55">
        <v>0.009999999999999917</v>
      </c>
      <c r="I42" s="65">
        <f t="shared" si="0"/>
        <v>35.98525345320337</v>
      </c>
      <c r="J42" s="65">
        <f t="shared" si="1"/>
        <v>-0.27337292764814675</v>
      </c>
      <c r="K42" s="66">
        <f t="shared" si="2"/>
        <v>47.29054621589992</v>
      </c>
      <c r="L42" s="66">
        <f t="shared" si="3"/>
        <v>-0.27337292764814675</v>
      </c>
      <c r="M42" s="65">
        <f t="shared" si="4"/>
        <v>16.893572915163013</v>
      </c>
      <c r="N42" s="65">
        <f t="shared" si="5"/>
        <v>90.1239649241537</v>
      </c>
      <c r="O42" s="67">
        <f t="shared" si="6"/>
        <v>52.87882636836638</v>
      </c>
      <c r="P42" s="67">
        <f t="shared" si="7"/>
        <v>89.85059199650556</v>
      </c>
      <c r="Q42" s="68">
        <f t="shared" si="8"/>
        <v>64.18411913106294</v>
      </c>
      <c r="R42" s="68">
        <f t="shared" si="9"/>
        <v>89.85059199650556</v>
      </c>
      <c r="T42">
        <f t="shared" si="10"/>
        <v>1</v>
      </c>
      <c r="U42">
        <f t="shared" si="11"/>
        <v>1</v>
      </c>
    </row>
    <row r="43" spans="8:21" ht="12.75">
      <c r="H43" s="55">
        <v>0.011220184543019535</v>
      </c>
      <c r="I43" s="65">
        <f t="shared" si="0"/>
        <v>35.98522788031931</v>
      </c>
      <c r="J43" s="65">
        <f t="shared" si="1"/>
        <v>-0.30672886768034346</v>
      </c>
      <c r="K43" s="66">
        <f t="shared" si="2"/>
        <v>47.29052064301587</v>
      </c>
      <c r="L43" s="66">
        <f t="shared" si="3"/>
        <v>-0.30672886768034346</v>
      </c>
      <c r="M43" s="65">
        <f t="shared" si="4"/>
        <v>15.893579751338974</v>
      </c>
      <c r="N43" s="65">
        <f t="shared" si="5"/>
        <v>90.13909084739588</v>
      </c>
      <c r="O43" s="67">
        <f t="shared" si="6"/>
        <v>51.87880763165828</v>
      </c>
      <c r="P43" s="67">
        <f t="shared" si="7"/>
        <v>89.83236197971553</v>
      </c>
      <c r="Q43" s="68">
        <f t="shared" si="8"/>
        <v>63.18410039435484</v>
      </c>
      <c r="R43" s="68">
        <f t="shared" si="9"/>
        <v>89.83236197971553</v>
      </c>
      <c r="T43">
        <f t="shared" si="10"/>
        <v>1</v>
      </c>
      <c r="U43">
        <f t="shared" si="11"/>
        <v>1</v>
      </c>
    </row>
    <row r="44" spans="8:21" ht="12.75">
      <c r="H44" s="55">
        <v>0.012589254117941566</v>
      </c>
      <c r="I44" s="65">
        <f t="shared" si="0"/>
        <v>35.985195686179836</v>
      </c>
      <c r="J44" s="65">
        <f t="shared" si="1"/>
        <v>-0.34415459959667566</v>
      </c>
      <c r="K44" s="66">
        <f t="shared" si="2"/>
        <v>47.29048844887639</v>
      </c>
      <c r="L44" s="66">
        <f t="shared" si="3"/>
        <v>-0.34415459959667566</v>
      </c>
      <c r="M44" s="65">
        <f t="shared" si="4"/>
        <v>14.893588357558775</v>
      </c>
      <c r="N44" s="65">
        <f t="shared" si="5"/>
        <v>90.15606237726784</v>
      </c>
      <c r="O44" s="67">
        <f t="shared" si="6"/>
        <v>50.87878404373861</v>
      </c>
      <c r="P44" s="67">
        <f t="shared" si="7"/>
        <v>89.81190777767117</v>
      </c>
      <c r="Q44" s="68">
        <f t="shared" si="8"/>
        <v>62.184076806435165</v>
      </c>
      <c r="R44" s="68">
        <f t="shared" si="9"/>
        <v>89.81190777767117</v>
      </c>
      <c r="T44">
        <f t="shared" si="10"/>
        <v>1</v>
      </c>
      <c r="U44">
        <f t="shared" si="11"/>
        <v>1</v>
      </c>
    </row>
    <row r="45" spans="8:21" ht="12.75">
      <c r="H45" s="55">
        <v>0.014125375446227429</v>
      </c>
      <c r="I45" s="65">
        <f t="shared" si="0"/>
        <v>35.98515515649887</v>
      </c>
      <c r="J45" s="65">
        <f t="shared" si="1"/>
        <v>-0.3861466106594755</v>
      </c>
      <c r="K45" s="66">
        <f t="shared" si="2"/>
        <v>47.29044791919543</v>
      </c>
      <c r="L45" s="66">
        <f t="shared" si="3"/>
        <v>-0.3861466106594755</v>
      </c>
      <c r="M45" s="65">
        <f t="shared" si="4"/>
        <v>13.893599192122487</v>
      </c>
      <c r="N45" s="65">
        <f t="shared" si="5"/>
        <v>90.17510469733975</v>
      </c>
      <c r="O45" s="67">
        <f t="shared" si="6"/>
        <v>49.87875434862136</v>
      </c>
      <c r="P45" s="67">
        <f t="shared" si="7"/>
        <v>89.78895808668027</v>
      </c>
      <c r="Q45" s="68">
        <f t="shared" si="8"/>
        <v>61.184047111317916</v>
      </c>
      <c r="R45" s="68">
        <f t="shared" si="9"/>
        <v>89.78895808668027</v>
      </c>
      <c r="T45">
        <f t="shared" si="10"/>
        <v>1</v>
      </c>
      <c r="U45">
        <f t="shared" si="11"/>
        <v>1</v>
      </c>
    </row>
    <row r="46" spans="8:21" ht="12.75">
      <c r="H46" s="55">
        <v>0.015848931924611</v>
      </c>
      <c r="I46" s="65">
        <f t="shared" si="0"/>
        <v>35.98510413319139</v>
      </c>
      <c r="J46" s="65">
        <f t="shared" si="1"/>
        <v>-0.43326192647793044</v>
      </c>
      <c r="K46" s="66">
        <f t="shared" si="2"/>
        <v>47.29039689588795</v>
      </c>
      <c r="L46" s="66">
        <f t="shared" si="3"/>
        <v>-0.43326192647793044</v>
      </c>
      <c r="M46" s="65">
        <f t="shared" si="4"/>
        <v>12.893612831990323</v>
      </c>
      <c r="N46" s="65">
        <f t="shared" si="5"/>
        <v>90.1964704617521</v>
      </c>
      <c r="O46" s="67">
        <f t="shared" si="6"/>
        <v>48.87871696518172</v>
      </c>
      <c r="P46" s="67">
        <f t="shared" si="7"/>
        <v>89.76320853527417</v>
      </c>
      <c r="Q46" s="68">
        <f t="shared" si="8"/>
        <v>60.184009727878276</v>
      </c>
      <c r="R46" s="68">
        <f t="shared" si="9"/>
        <v>89.76320853527417</v>
      </c>
      <c r="T46">
        <f t="shared" si="10"/>
        <v>1</v>
      </c>
      <c r="U46">
        <f t="shared" si="11"/>
        <v>1</v>
      </c>
    </row>
    <row r="47" spans="8:21" ht="12.75">
      <c r="H47" s="55">
        <v>0.017782794100389084</v>
      </c>
      <c r="I47" s="65">
        <f t="shared" si="0"/>
        <v>35.98503989950536</v>
      </c>
      <c r="J47" s="65">
        <f t="shared" si="1"/>
        <v>-0.48612548037234793</v>
      </c>
      <c r="K47" s="66">
        <f t="shared" si="2"/>
        <v>47.29033266220192</v>
      </c>
      <c r="L47" s="66">
        <f t="shared" si="3"/>
        <v>-0.48612548037234793</v>
      </c>
      <c r="M47" s="65">
        <f t="shared" si="4"/>
        <v>11.89363000350352</v>
      </c>
      <c r="N47" s="65">
        <f t="shared" si="5"/>
        <v>90.22044314466501</v>
      </c>
      <c r="O47" s="67">
        <f t="shared" si="6"/>
        <v>47.87866990300888</v>
      </c>
      <c r="P47" s="67">
        <f t="shared" si="7"/>
        <v>89.73431766429266</v>
      </c>
      <c r="Q47" s="68">
        <f t="shared" si="8"/>
        <v>59.18396266570544</v>
      </c>
      <c r="R47" s="68">
        <f t="shared" si="9"/>
        <v>89.73431766429266</v>
      </c>
      <c r="T47">
        <f t="shared" si="10"/>
        <v>1</v>
      </c>
      <c r="U47">
        <f t="shared" si="11"/>
        <v>1</v>
      </c>
    </row>
    <row r="48" spans="8:21" ht="12.75">
      <c r="H48" s="55">
        <v>0.019952623149688643</v>
      </c>
      <c r="I48" s="65">
        <f t="shared" si="0"/>
        <v>35.984959035436574</v>
      </c>
      <c r="J48" s="65">
        <f t="shared" si="1"/>
        <v>-0.5454383747482986</v>
      </c>
      <c r="K48" s="66">
        <f t="shared" si="2"/>
        <v>47.290251798133134</v>
      </c>
      <c r="L48" s="66">
        <f t="shared" si="3"/>
        <v>-0.5454383747482986</v>
      </c>
      <c r="M48" s="65">
        <f t="shared" si="4"/>
        <v>10.89365162105796</v>
      </c>
      <c r="N48" s="65">
        <f t="shared" si="5"/>
        <v>90.24734079738458</v>
      </c>
      <c r="O48" s="67">
        <f t="shared" si="6"/>
        <v>46.87861065649454</v>
      </c>
      <c r="P48" s="67">
        <f t="shared" si="7"/>
        <v>89.70190242263628</v>
      </c>
      <c r="Q48" s="68">
        <f t="shared" si="8"/>
        <v>58.1839034191911</v>
      </c>
      <c r="R48" s="68">
        <f t="shared" si="9"/>
        <v>89.70190242263628</v>
      </c>
      <c r="T48">
        <f t="shared" si="10"/>
        <v>1</v>
      </c>
      <c r="U48">
        <f t="shared" si="11"/>
        <v>1</v>
      </c>
    </row>
    <row r="49" spans="8:21" ht="12.75">
      <c r="H49" s="55">
        <v>0.022387211385683222</v>
      </c>
      <c r="I49" s="65">
        <f t="shared" si="0"/>
        <v>35.98485723574634</v>
      </c>
      <c r="J49" s="65">
        <f t="shared" si="1"/>
        <v>-0.6119871403587005</v>
      </c>
      <c r="K49" s="66">
        <f t="shared" si="2"/>
        <v>47.29014999844289</v>
      </c>
      <c r="L49" s="66">
        <f t="shared" si="3"/>
        <v>-0.6119871403587005</v>
      </c>
      <c r="M49" s="65">
        <f t="shared" si="4"/>
        <v>9.8936788357883</v>
      </c>
      <c r="N49" s="65">
        <f t="shared" si="5"/>
        <v>90.27752026249023</v>
      </c>
      <c r="O49" s="67">
        <f t="shared" si="6"/>
        <v>45.87853607153464</v>
      </c>
      <c r="P49" s="67">
        <f t="shared" si="7"/>
        <v>89.66553312213152</v>
      </c>
      <c r="Q49" s="68">
        <f t="shared" si="8"/>
        <v>57.18382883423119</v>
      </c>
      <c r="R49" s="68">
        <f t="shared" si="9"/>
        <v>89.66553312213152</v>
      </c>
      <c r="T49">
        <f t="shared" si="10"/>
        <v>1</v>
      </c>
      <c r="U49">
        <f t="shared" si="11"/>
        <v>1</v>
      </c>
    </row>
    <row r="50" spans="8:21" ht="12.75">
      <c r="H50" s="55">
        <v>0.025118864315095607</v>
      </c>
      <c r="I50" s="65">
        <f t="shared" si="0"/>
        <v>35.98472908092227</v>
      </c>
      <c r="J50" s="65">
        <f t="shared" si="1"/>
        <v>-0.6866541110298787</v>
      </c>
      <c r="K50" s="66">
        <f t="shared" si="2"/>
        <v>47.290021843618824</v>
      </c>
      <c r="L50" s="66">
        <f t="shared" si="3"/>
        <v>-0.6866541110298787</v>
      </c>
      <c r="M50" s="65">
        <f t="shared" si="4"/>
        <v>8.89371309685301</v>
      </c>
      <c r="N50" s="65">
        <f t="shared" si="5"/>
        <v>90.31138190013337</v>
      </c>
      <c r="O50" s="67">
        <f t="shared" si="6"/>
        <v>44.878442177775284</v>
      </c>
      <c r="P50" s="67">
        <f t="shared" si="7"/>
        <v>89.62472778910349</v>
      </c>
      <c r="Q50" s="68">
        <f t="shared" si="8"/>
        <v>56.18373494047184</v>
      </c>
      <c r="R50" s="68">
        <f t="shared" si="9"/>
        <v>89.62472778910349</v>
      </c>
      <c r="T50">
        <f t="shared" si="10"/>
        <v>1</v>
      </c>
      <c r="U50">
        <f t="shared" si="11"/>
        <v>1</v>
      </c>
    </row>
    <row r="51" spans="8:21" ht="12.75">
      <c r="H51" s="55">
        <v>0.028183829312644328</v>
      </c>
      <c r="I51" s="65">
        <f t="shared" si="0"/>
        <v>35.98456774893463</v>
      </c>
      <c r="J51" s="65">
        <f t="shared" si="1"/>
        <v>-0.7704290440504145</v>
      </c>
      <c r="K51" s="66">
        <f t="shared" si="2"/>
        <v>47.28986051163119</v>
      </c>
      <c r="L51" s="66">
        <f t="shared" si="3"/>
        <v>-0.7704290440504145</v>
      </c>
      <c r="M51" s="65">
        <f t="shared" si="4"/>
        <v>7.893756228580389</v>
      </c>
      <c r="N51" s="65">
        <f t="shared" si="5"/>
        <v>90.34937488816352</v>
      </c>
      <c r="O51" s="67">
        <f t="shared" si="6"/>
        <v>43.87832397751502</v>
      </c>
      <c r="P51" s="67">
        <f t="shared" si="7"/>
        <v>89.57894584411311</v>
      </c>
      <c r="Q51" s="68">
        <f t="shared" si="8"/>
        <v>55.183616740211576</v>
      </c>
      <c r="R51" s="68">
        <f t="shared" si="9"/>
        <v>89.57894584411311</v>
      </c>
      <c r="T51">
        <f t="shared" si="10"/>
        <v>1</v>
      </c>
      <c r="U51">
        <f t="shared" si="11"/>
        <v>1</v>
      </c>
    </row>
    <row r="52" spans="8:21" ht="12.75">
      <c r="H52" s="55">
        <v>0.03162277660168356</v>
      </c>
      <c r="I52" s="65">
        <f t="shared" si="0"/>
        <v>35.984364652517044</v>
      </c>
      <c r="J52" s="65">
        <f t="shared" si="1"/>
        <v>-0.8644221298755944</v>
      </c>
      <c r="K52" s="66">
        <f t="shared" si="2"/>
        <v>47.2896574152136</v>
      </c>
      <c r="L52" s="66">
        <f t="shared" si="3"/>
        <v>-0.8644221298755944</v>
      </c>
      <c r="M52" s="65">
        <f t="shared" si="4"/>
        <v>6.893810527577879</v>
      </c>
      <c r="N52" s="65">
        <f t="shared" si="5"/>
        <v>90.3920031649177</v>
      </c>
      <c r="O52" s="67">
        <f t="shared" si="6"/>
        <v>42.87817518009492</v>
      </c>
      <c r="P52" s="67">
        <f t="shared" si="7"/>
        <v>89.5275810350421</v>
      </c>
      <c r="Q52" s="68">
        <f t="shared" si="8"/>
        <v>54.183467942791474</v>
      </c>
      <c r="R52" s="68">
        <f t="shared" si="9"/>
        <v>89.5275810350421</v>
      </c>
      <c r="T52">
        <f t="shared" si="10"/>
        <v>1</v>
      </c>
      <c r="U52">
        <f t="shared" si="11"/>
        <v>1</v>
      </c>
    </row>
    <row r="53" spans="8:21" ht="12.75">
      <c r="H53" s="55">
        <v>0.03548133892335728</v>
      </c>
      <c r="I53" s="65">
        <f t="shared" si="0"/>
        <v>35.98410898278007</v>
      </c>
      <c r="J53" s="65">
        <f t="shared" si="1"/>
        <v>-0.9698785488960356</v>
      </c>
      <c r="K53" s="66">
        <f t="shared" si="2"/>
        <v>47.289401745476624</v>
      </c>
      <c r="L53" s="66">
        <f t="shared" si="3"/>
        <v>-0.9698785488960356</v>
      </c>
      <c r="M53" s="65">
        <f t="shared" si="4"/>
        <v>5.893878884966937</v>
      </c>
      <c r="N53" s="65">
        <f t="shared" si="5"/>
        <v>90.43983209141894</v>
      </c>
      <c r="O53" s="67">
        <f t="shared" si="6"/>
        <v>41.87798786774701</v>
      </c>
      <c r="P53" s="67">
        <f t="shared" si="7"/>
        <v>89.4699535425229</v>
      </c>
      <c r="Q53" s="68">
        <f t="shared" si="8"/>
        <v>53.18328063044356</v>
      </c>
      <c r="R53" s="68">
        <f t="shared" si="9"/>
        <v>89.4699535425229</v>
      </c>
      <c r="T53">
        <f t="shared" si="10"/>
        <v>1</v>
      </c>
      <c r="U53">
        <f t="shared" si="11"/>
        <v>1</v>
      </c>
    </row>
    <row r="54" spans="8:21" ht="12.75">
      <c r="H54" s="55">
        <v>0.03981071705534944</v>
      </c>
      <c r="I54" s="65">
        <f aca="true" t="shared" si="12" ref="I54:I85">20*LOG10(_G_0_LL_min/SQRT(1+(H54/f_plant)^2))</f>
        <v>35.98378713505129</v>
      </c>
      <c r="J54" s="65">
        <f aca="true" t="shared" si="13" ref="J54:J85">-(180/3.14)*ATAN(H54/f_plant)</f>
        <v>-1.088194747425308</v>
      </c>
      <c r="K54" s="66">
        <f aca="true" t="shared" si="14" ref="K54:K85">20*LOG10(G_0_HL_max/SQRT(1+(H54/f_plant)^2))</f>
        <v>47.28907989774784</v>
      </c>
      <c r="L54" s="66">
        <f aca="true" t="shared" si="15" ref="L54:L85">-(180/3.14)*ATAN(H54/f_plant)</f>
        <v>-1.088194747425308</v>
      </c>
      <c r="M54" s="65">
        <f aca="true" t="shared" si="16" ref="M54:M85">-20*LOG10(H54/f_p_0)+20*LOG10(SQRT(1+(H54/f_z)^2))-20*LOG10(SQRT(1+(H54/f_p)^2))</f>
        <v>4.893964940238282</v>
      </c>
      <c r="N54" s="65">
        <f aca="true" t="shared" si="17" ref="N54:N85">-90+(180/3.14)*ATAN(H54/f_z)-(180/3.14)*ATAN(H54/f_p)+180</f>
        <v>90.49349591840695</v>
      </c>
      <c r="O54" s="67">
        <f t="shared" si="6"/>
        <v>40.87775207528957</v>
      </c>
      <c r="P54" s="67">
        <f t="shared" si="7"/>
        <v>89.40530117098164</v>
      </c>
      <c r="Q54" s="68">
        <f t="shared" si="8"/>
        <v>52.183044837986124</v>
      </c>
      <c r="R54" s="68">
        <f t="shared" si="9"/>
        <v>89.40530117098164</v>
      </c>
      <c r="T54">
        <f t="shared" si="10"/>
        <v>1</v>
      </c>
      <c r="U54">
        <f t="shared" si="11"/>
        <v>1</v>
      </c>
    </row>
    <row r="55" spans="8:21" ht="12.75">
      <c r="H55" s="55">
        <v>0.044668359215096</v>
      </c>
      <c r="I55" s="65">
        <f t="shared" si="12"/>
        <v>35.9833819866786</v>
      </c>
      <c r="J55" s="65">
        <f t="shared" si="13"/>
        <v>-1.2209366192396323</v>
      </c>
      <c r="K55" s="66">
        <f t="shared" si="14"/>
        <v>47.288674749375154</v>
      </c>
      <c r="L55" s="66">
        <f t="shared" si="15"/>
        <v>-1.2209366192396323</v>
      </c>
      <c r="M55" s="65">
        <f t="shared" si="16"/>
        <v>3.894073274897708</v>
      </c>
      <c r="N55" s="65">
        <f t="shared" si="17"/>
        <v>90.55370615307459</v>
      </c>
      <c r="O55" s="67">
        <f t="shared" si="6"/>
        <v>39.87745526157631</v>
      </c>
      <c r="P55" s="67">
        <f t="shared" si="7"/>
        <v>89.33276953383495</v>
      </c>
      <c r="Q55" s="68">
        <f t="shared" si="8"/>
        <v>51.18274802427286</v>
      </c>
      <c r="R55" s="68">
        <f t="shared" si="9"/>
        <v>89.33276953383495</v>
      </c>
      <c r="T55">
        <f t="shared" si="10"/>
        <v>1</v>
      </c>
      <c r="U55">
        <f t="shared" si="11"/>
        <v>1</v>
      </c>
    </row>
    <row r="56" spans="8:21" ht="12.75">
      <c r="H56" s="55">
        <v>0.050118723362726866</v>
      </c>
      <c r="I56" s="65">
        <f t="shared" si="12"/>
        <v>35.982871988833026</v>
      </c>
      <c r="J56" s="65">
        <f t="shared" si="13"/>
        <v>-1.3698597921150548</v>
      </c>
      <c r="K56" s="66">
        <f t="shared" si="14"/>
        <v>47.28816475152959</v>
      </c>
      <c r="L56" s="66">
        <f t="shared" si="15"/>
        <v>-1.3698597921150548</v>
      </c>
      <c r="M56" s="65">
        <f t="shared" si="16"/>
        <v>2.894209656177961</v>
      </c>
      <c r="N56" s="65">
        <f t="shared" si="17"/>
        <v>90.62126093058782</v>
      </c>
      <c r="O56" s="67">
        <f t="shared" si="6"/>
        <v>38.87708164501099</v>
      </c>
      <c r="P56" s="67">
        <f t="shared" si="7"/>
        <v>89.25140113847277</v>
      </c>
      <c r="Q56" s="68">
        <f t="shared" si="8"/>
        <v>50.182374407707556</v>
      </c>
      <c r="R56" s="68">
        <f t="shared" si="9"/>
        <v>89.25140113847277</v>
      </c>
      <c r="T56">
        <f t="shared" si="10"/>
        <v>1</v>
      </c>
      <c r="U56">
        <f t="shared" si="11"/>
        <v>1</v>
      </c>
    </row>
    <row r="57" spans="8:21" ht="12.75">
      <c r="H57" s="55">
        <v>0.05623413251903454</v>
      </c>
      <c r="I57" s="65">
        <f t="shared" si="12"/>
        <v>35.98223002473132</v>
      </c>
      <c r="J57" s="65">
        <f t="shared" si="13"/>
        <v>-1.536932229586481</v>
      </c>
      <c r="K57" s="66">
        <f t="shared" si="14"/>
        <v>47.28752278742788</v>
      </c>
      <c r="L57" s="66">
        <f t="shared" si="15"/>
        <v>-1.536932229586481</v>
      </c>
      <c r="M57" s="65">
        <f t="shared" si="16"/>
        <v>1.8943813437370483</v>
      </c>
      <c r="N57" s="65">
        <f t="shared" si="17"/>
        <v>90.69705550635251</v>
      </c>
      <c r="O57" s="67">
        <f t="shared" si="6"/>
        <v>37.87661136846837</v>
      </c>
      <c r="P57" s="67">
        <f t="shared" si="7"/>
        <v>89.16012327676603</v>
      </c>
      <c r="Q57" s="68">
        <f t="shared" si="8"/>
        <v>49.18190413116493</v>
      </c>
      <c r="R57" s="68">
        <f t="shared" si="9"/>
        <v>89.16012327676603</v>
      </c>
      <c r="T57">
        <f t="shared" si="10"/>
        <v>1</v>
      </c>
      <c r="U57">
        <f t="shared" si="11"/>
        <v>1</v>
      </c>
    </row>
    <row r="58" spans="8:21" ht="12.75">
      <c r="H58" s="55">
        <v>0.0630957344480189</v>
      </c>
      <c r="I58" s="65">
        <f t="shared" si="12"/>
        <v>35.981421974717016</v>
      </c>
      <c r="J58" s="65">
        <f t="shared" si="13"/>
        <v>-1.7243593647198432</v>
      </c>
      <c r="K58" s="66">
        <f t="shared" si="14"/>
        <v>47.286714737413575</v>
      </c>
      <c r="L58" s="66">
        <f t="shared" si="15"/>
        <v>-1.7243593647198432</v>
      </c>
      <c r="M58" s="65">
        <f t="shared" si="16"/>
        <v>0.8945974755835786</v>
      </c>
      <c r="N58" s="65">
        <f t="shared" si="17"/>
        <v>90.78209399640593</v>
      </c>
      <c r="O58" s="67">
        <f t="shared" si="6"/>
        <v>36.876019450300596</v>
      </c>
      <c r="P58" s="67">
        <f t="shared" si="7"/>
        <v>89.05773463168609</v>
      </c>
      <c r="Q58" s="68">
        <f t="shared" si="8"/>
        <v>48.181312212997156</v>
      </c>
      <c r="R58" s="68">
        <f t="shared" si="9"/>
        <v>89.05773463168609</v>
      </c>
      <c r="T58">
        <f t="shared" si="10"/>
        <v>1</v>
      </c>
      <c r="U58">
        <f t="shared" si="11"/>
        <v>1</v>
      </c>
    </row>
    <row r="59" spans="8:21" ht="12.75">
      <c r="H59" s="55">
        <v>0.07079457843841332</v>
      </c>
      <c r="I59" s="65">
        <f t="shared" si="12"/>
        <v>35.9804049137519</v>
      </c>
      <c r="J59" s="65">
        <f t="shared" si="13"/>
        <v>-1.9346119823001284</v>
      </c>
      <c r="K59" s="66">
        <f t="shared" si="14"/>
        <v>47.28569767644845</v>
      </c>
      <c r="L59" s="66">
        <f t="shared" si="15"/>
        <v>-1.9346119823001284</v>
      </c>
      <c r="M59" s="65">
        <f t="shared" si="16"/>
        <v>-0.10513044636525809</v>
      </c>
      <c r="N59" s="65">
        <f t="shared" si="17"/>
        <v>90.87750250499914</v>
      </c>
      <c r="O59" s="67">
        <f t="shared" si="6"/>
        <v>35.87527446738664</v>
      </c>
      <c r="P59" s="67">
        <f t="shared" si="7"/>
        <v>88.94289052269902</v>
      </c>
      <c r="Q59" s="68">
        <f t="shared" si="8"/>
        <v>47.18056723008319</v>
      </c>
      <c r="R59" s="68">
        <f t="shared" si="9"/>
        <v>88.94289052269902</v>
      </c>
      <c r="T59">
        <f t="shared" si="10"/>
        <v>1</v>
      </c>
      <c r="U59">
        <f t="shared" si="11"/>
        <v>1</v>
      </c>
    </row>
    <row r="60" spans="8:21" ht="12.75">
      <c r="H60" s="55">
        <v>0.07943282347242764</v>
      </c>
      <c r="I60" s="65">
        <f t="shared" si="12"/>
        <v>35.979124848438346</v>
      </c>
      <c r="J60" s="65">
        <f t="shared" si="13"/>
        <v>-2.1704570545350204</v>
      </c>
      <c r="K60" s="66">
        <f t="shared" si="14"/>
        <v>47.284417611134906</v>
      </c>
      <c r="L60" s="66">
        <f t="shared" si="15"/>
        <v>-2.1704570545350204</v>
      </c>
      <c r="M60" s="65">
        <f t="shared" si="16"/>
        <v>-1.1047879454667449</v>
      </c>
      <c r="N60" s="65">
        <f t="shared" si="17"/>
        <v>90.98454378996429</v>
      </c>
      <c r="O60" s="67">
        <f t="shared" si="6"/>
        <v>34.8743369029716</v>
      </c>
      <c r="P60" s="67">
        <f t="shared" si="7"/>
        <v>88.81408673542927</v>
      </c>
      <c r="Q60" s="68">
        <f t="shared" si="8"/>
        <v>46.17962966566816</v>
      </c>
      <c r="R60" s="68">
        <f t="shared" si="9"/>
        <v>88.81408673542927</v>
      </c>
      <c r="T60">
        <f t="shared" si="10"/>
        <v>1</v>
      </c>
      <c r="U60">
        <f t="shared" si="11"/>
        <v>1</v>
      </c>
    </row>
    <row r="61" spans="8:21" ht="12.75">
      <c r="H61" s="55">
        <v>0.089125093813374</v>
      </c>
      <c r="I61" s="65">
        <f t="shared" si="12"/>
        <v>35.97751387797893</v>
      </c>
      <c r="J61" s="65">
        <f t="shared" si="13"/>
        <v>-2.434991707501211</v>
      </c>
      <c r="K61" s="66">
        <f t="shared" si="14"/>
        <v>47.28280664067548</v>
      </c>
      <c r="L61" s="66">
        <f t="shared" si="15"/>
        <v>-2.434991707501211</v>
      </c>
      <c r="M61" s="65">
        <f t="shared" si="16"/>
        <v>-2.104356802115299</v>
      </c>
      <c r="N61" s="65">
        <f t="shared" si="17"/>
        <v>91.10463362716797</v>
      </c>
      <c r="O61" s="67">
        <f t="shared" si="6"/>
        <v>33.87315707586363</v>
      </c>
      <c r="P61" s="67">
        <f t="shared" si="7"/>
        <v>88.66964191966676</v>
      </c>
      <c r="Q61" s="68">
        <f t="shared" si="8"/>
        <v>45.178449838560184</v>
      </c>
      <c r="R61" s="68">
        <f t="shared" si="9"/>
        <v>88.66964191966676</v>
      </c>
      <c r="T61">
        <f t="shared" si="10"/>
        <v>1</v>
      </c>
      <c r="U61">
        <f t="shared" si="11"/>
        <v>1</v>
      </c>
    </row>
    <row r="62" spans="8:21" ht="12.75">
      <c r="H62" s="55">
        <v>0.09999999999999937</v>
      </c>
      <c r="I62" s="65">
        <f t="shared" si="12"/>
        <v>35.97548663565487</v>
      </c>
      <c r="J62" s="65">
        <f t="shared" si="13"/>
        <v>-2.7316804431108093</v>
      </c>
      <c r="K62" s="66">
        <f t="shared" si="14"/>
        <v>47.28077939835142</v>
      </c>
      <c r="L62" s="66">
        <f t="shared" si="15"/>
        <v>-2.7316804431108093</v>
      </c>
      <c r="M62" s="65">
        <f t="shared" si="16"/>
        <v>-3.1038140877540585</v>
      </c>
      <c r="N62" s="65">
        <f t="shared" si="17"/>
        <v>91.2393590442266</v>
      </c>
      <c r="O62" s="67">
        <f t="shared" si="6"/>
        <v>32.87167254790081</v>
      </c>
      <c r="P62" s="67">
        <f t="shared" si="7"/>
        <v>88.5076786011158</v>
      </c>
      <c r="Q62" s="68">
        <f t="shared" si="8"/>
        <v>44.17696531059736</v>
      </c>
      <c r="R62" s="68">
        <f t="shared" si="9"/>
        <v>88.5076786011158</v>
      </c>
      <c r="T62">
        <f t="shared" si="10"/>
        <v>1</v>
      </c>
      <c r="U62">
        <f t="shared" si="11"/>
        <v>1</v>
      </c>
    </row>
    <row r="63" spans="8:21" ht="12.75">
      <c r="H63" s="55">
        <v>0.11220184543019567</v>
      </c>
      <c r="I63" s="65">
        <f t="shared" si="12"/>
        <v>35.9729358335883</v>
      </c>
      <c r="J63" s="65">
        <f t="shared" si="13"/>
        <v>-3.0643956531115237</v>
      </c>
      <c r="K63" s="66">
        <f t="shared" si="14"/>
        <v>47.278228596284855</v>
      </c>
      <c r="L63" s="66">
        <f t="shared" si="15"/>
        <v>-3.0643956531115237</v>
      </c>
      <c r="M63" s="65">
        <f t="shared" si="16"/>
        <v>-4.103130950612433</v>
      </c>
      <c r="N63" s="65">
        <f t="shared" si="17"/>
        <v>91.39049859920327</v>
      </c>
      <c r="O63" s="67">
        <f t="shared" si="6"/>
        <v>31.86980488297587</v>
      </c>
      <c r="P63" s="67">
        <f t="shared" si="7"/>
        <v>88.32610294609175</v>
      </c>
      <c r="Q63" s="68">
        <f t="shared" si="8"/>
        <v>43.17509764567242</v>
      </c>
      <c r="R63" s="68">
        <f t="shared" si="9"/>
        <v>88.32610294609175</v>
      </c>
      <c r="T63">
        <f t="shared" si="10"/>
        <v>1</v>
      </c>
      <c r="U63">
        <f t="shared" si="11"/>
        <v>1</v>
      </c>
    </row>
    <row r="64" spans="8:21" ht="12.75">
      <c r="H64" s="55">
        <v>0.12589254117941595</v>
      </c>
      <c r="I64" s="65">
        <f t="shared" si="12"/>
        <v>35.9697266928818</v>
      </c>
      <c r="J64" s="65">
        <f t="shared" si="13"/>
        <v>-3.437461321928906</v>
      </c>
      <c r="K64" s="66">
        <f t="shared" si="14"/>
        <v>47.27501945557836</v>
      </c>
      <c r="L64" s="66">
        <f t="shared" si="15"/>
        <v>-3.437461321928906</v>
      </c>
      <c r="M64" s="65">
        <f t="shared" si="16"/>
        <v>-5.102271089961085</v>
      </c>
      <c r="N64" s="65">
        <f t="shared" si="17"/>
        <v>91.56004488002755</v>
      </c>
      <c r="O64" s="67">
        <f t="shared" si="6"/>
        <v>30.867455602920714</v>
      </c>
      <c r="P64" s="67">
        <f t="shared" si="7"/>
        <v>88.12258355809864</v>
      </c>
      <c r="Q64" s="68">
        <f t="shared" si="8"/>
        <v>42.172748365617274</v>
      </c>
      <c r="R64" s="68">
        <f t="shared" si="9"/>
        <v>88.12258355809864</v>
      </c>
      <c r="T64">
        <f t="shared" si="10"/>
        <v>1</v>
      </c>
      <c r="U64">
        <f t="shared" si="11"/>
        <v>1</v>
      </c>
    </row>
    <row r="65" spans="8:21" ht="12.75">
      <c r="H65" s="55">
        <v>0.14125375446227456</v>
      </c>
      <c r="I65" s="65">
        <f t="shared" si="12"/>
        <v>35.96568999300309</v>
      </c>
      <c r="J65" s="65">
        <f t="shared" si="13"/>
        <v>-3.855699602499474</v>
      </c>
      <c r="K65" s="66">
        <f t="shared" si="14"/>
        <v>47.27098275569965</v>
      </c>
      <c r="L65" s="66">
        <f t="shared" si="15"/>
        <v>-3.855699602499474</v>
      </c>
      <c r="M65" s="65">
        <f t="shared" si="16"/>
        <v>-6.101188839935652</v>
      </c>
      <c r="N65" s="65">
        <f t="shared" si="17"/>
        <v>91.7502293917082</v>
      </c>
      <c r="O65" s="67">
        <f t="shared" si="6"/>
        <v>29.864501153067437</v>
      </c>
      <c r="P65" s="67">
        <f t="shared" si="7"/>
        <v>87.89452978920873</v>
      </c>
      <c r="Q65" s="68">
        <f t="shared" si="8"/>
        <v>41.169793915764</v>
      </c>
      <c r="R65" s="68">
        <f t="shared" si="9"/>
        <v>87.89452978920873</v>
      </c>
      <c r="T65">
        <f t="shared" si="10"/>
        <v>1</v>
      </c>
      <c r="U65">
        <f t="shared" si="11"/>
        <v>1</v>
      </c>
    </row>
    <row r="66" spans="8:21" ht="12.75">
      <c r="H66" s="55">
        <v>0.1584893192461104</v>
      </c>
      <c r="I66" s="65">
        <f t="shared" si="12"/>
        <v>35.96061341821281</v>
      </c>
      <c r="J66" s="65">
        <f t="shared" si="13"/>
        <v>-4.324479634371397</v>
      </c>
      <c r="K66" s="66">
        <f t="shared" si="14"/>
        <v>47.26590618090937</v>
      </c>
      <c r="L66" s="66">
        <f t="shared" si="15"/>
        <v>-4.324479634371397</v>
      </c>
      <c r="M66" s="65">
        <f t="shared" si="16"/>
        <v>-7.099826764527848</v>
      </c>
      <c r="N66" s="65">
        <f t="shared" si="17"/>
        <v>91.9635499765083</v>
      </c>
      <c r="O66" s="67">
        <f t="shared" si="6"/>
        <v>28.86078665368496</v>
      </c>
      <c r="P66" s="67">
        <f t="shared" si="7"/>
        <v>87.6390703421369</v>
      </c>
      <c r="Q66" s="68">
        <f t="shared" si="8"/>
        <v>40.16607941638152</v>
      </c>
      <c r="R66" s="68">
        <f t="shared" si="9"/>
        <v>87.6390703421369</v>
      </c>
      <c r="T66">
        <f t="shared" si="10"/>
        <v>1</v>
      </c>
      <c r="U66">
        <f t="shared" si="11"/>
        <v>1</v>
      </c>
    </row>
    <row r="67" spans="8:21" ht="12.75">
      <c r="H67" s="55">
        <v>0.17782794100389127</v>
      </c>
      <c r="I67" s="65">
        <f t="shared" si="12"/>
        <v>35.95423081545481</v>
      </c>
      <c r="J67" s="65">
        <f t="shared" si="13"/>
        <v>-4.849767517064057</v>
      </c>
      <c r="K67" s="66">
        <f t="shared" si="14"/>
        <v>47.25952357815136</v>
      </c>
      <c r="L67" s="66">
        <f t="shared" si="15"/>
        <v>-4.849767517064057</v>
      </c>
      <c r="M67" s="65">
        <f t="shared" si="16"/>
        <v>-8.098112641425617</v>
      </c>
      <c r="N67" s="65">
        <f t="shared" si="17"/>
        <v>92.20280087067763</v>
      </c>
      <c r="O67" s="67">
        <f t="shared" si="6"/>
        <v>27.85611817402919</v>
      </c>
      <c r="P67" s="67">
        <f t="shared" si="7"/>
        <v>87.35303335361358</v>
      </c>
      <c r="Q67" s="68">
        <f t="shared" si="8"/>
        <v>39.161410936725744</v>
      </c>
      <c r="R67" s="68">
        <f t="shared" si="9"/>
        <v>87.35303335361358</v>
      </c>
      <c r="T67">
        <f t="shared" si="10"/>
        <v>1</v>
      </c>
      <c r="U67">
        <f t="shared" si="11"/>
        <v>1</v>
      </c>
    </row>
    <row r="68" spans="8:21" ht="12.75">
      <c r="H68" s="55">
        <v>0.19952623149688684</v>
      </c>
      <c r="I68" s="65">
        <f t="shared" si="12"/>
        <v>35.94620890947692</v>
      </c>
      <c r="J68" s="65">
        <f t="shared" si="13"/>
        <v>-5.438175702472648</v>
      </c>
      <c r="K68" s="66">
        <f t="shared" si="14"/>
        <v>47.251501672173475</v>
      </c>
      <c r="L68" s="66">
        <f t="shared" si="15"/>
        <v>-5.438175702472648</v>
      </c>
      <c r="M68" s="65">
        <f t="shared" si="16"/>
        <v>-9.095955683175193</v>
      </c>
      <c r="N68" s="65">
        <f t="shared" si="17"/>
        <v>92.47110543102151</v>
      </c>
      <c r="O68" s="67">
        <f t="shared" si="6"/>
        <v>26.85025322630173</v>
      </c>
      <c r="P68" s="67">
        <f t="shared" si="7"/>
        <v>87.03292972854887</v>
      </c>
      <c r="Q68" s="68">
        <f t="shared" si="8"/>
        <v>38.155545988998284</v>
      </c>
      <c r="R68" s="68">
        <f t="shared" si="9"/>
        <v>87.03292972854887</v>
      </c>
      <c r="T68">
        <f t="shared" si="10"/>
        <v>1</v>
      </c>
      <c r="U68">
        <f t="shared" si="11"/>
        <v>1</v>
      </c>
    </row>
    <row r="69" spans="8:21" ht="12.75">
      <c r="H69" s="55">
        <v>0.22387211385683273</v>
      </c>
      <c r="I69" s="65">
        <f t="shared" si="12"/>
        <v>35.93613095160548</v>
      </c>
      <c r="J69" s="65">
        <f t="shared" si="13"/>
        <v>-6.097009162074964</v>
      </c>
      <c r="K69" s="66">
        <f t="shared" si="14"/>
        <v>47.24142371430204</v>
      </c>
      <c r="L69" s="66">
        <f t="shared" si="15"/>
        <v>-6.097009162074964</v>
      </c>
      <c r="M69" s="65">
        <f t="shared" si="16"/>
        <v>-10.093241808781974</v>
      </c>
      <c r="N69" s="65">
        <f t="shared" si="17"/>
        <v>92.77195145285643</v>
      </c>
      <c r="O69" s="67">
        <f t="shared" si="6"/>
        <v>25.842889142823502</v>
      </c>
      <c r="P69" s="67">
        <f t="shared" si="7"/>
        <v>86.67494229078146</v>
      </c>
      <c r="Q69" s="68">
        <f t="shared" si="8"/>
        <v>37.14818190552006</v>
      </c>
      <c r="R69" s="68">
        <f t="shared" si="9"/>
        <v>86.67494229078146</v>
      </c>
      <c r="T69">
        <f t="shared" si="10"/>
        <v>1</v>
      </c>
      <c r="U69">
        <f t="shared" si="11"/>
        <v>1</v>
      </c>
    </row>
    <row r="70" spans="8:21" ht="12.75">
      <c r="H70" s="55">
        <v>0.2511886431509567</v>
      </c>
      <c r="I70" s="65">
        <f t="shared" si="12"/>
        <v>35.92347671726575</v>
      </c>
      <c r="J70" s="65">
        <f t="shared" si="13"/>
        <v>-6.83430443665373</v>
      </c>
      <c r="K70" s="66">
        <f t="shared" si="14"/>
        <v>47.2287694799623</v>
      </c>
      <c r="L70" s="66">
        <f t="shared" si="15"/>
        <v>-6.83430443665373</v>
      </c>
      <c r="M70" s="65">
        <f t="shared" si="16"/>
        <v>-11.08982773657599</v>
      </c>
      <c r="N70" s="65">
        <f t="shared" si="17"/>
        <v>93.10922883023464</v>
      </c>
      <c r="O70" s="67">
        <f t="shared" si="6"/>
        <v>24.83364898068976</v>
      </c>
      <c r="P70" s="67">
        <f t="shared" si="7"/>
        <v>86.27492439358092</v>
      </c>
      <c r="Q70" s="68">
        <f t="shared" si="8"/>
        <v>36.13894174338631</v>
      </c>
      <c r="R70" s="68">
        <f t="shared" si="9"/>
        <v>86.27492439358092</v>
      </c>
      <c r="T70">
        <f t="shared" si="10"/>
        <v>1</v>
      </c>
      <c r="U70">
        <f t="shared" si="11"/>
        <v>1</v>
      </c>
    </row>
    <row r="71" spans="8:21" ht="12.75">
      <c r="H71" s="55">
        <v>0.2818382931264439</v>
      </c>
      <c r="I71" s="65">
        <f t="shared" si="12"/>
        <v>35.90759822914833</v>
      </c>
      <c r="J71" s="65">
        <f t="shared" si="13"/>
        <v>-7.658855993808799</v>
      </c>
      <c r="K71" s="66">
        <f t="shared" si="14"/>
        <v>47.21289099184488</v>
      </c>
      <c r="L71" s="66">
        <f t="shared" si="15"/>
        <v>-7.658855993808799</v>
      </c>
      <c r="M71" s="65">
        <f t="shared" si="16"/>
        <v>-12.085533619396246</v>
      </c>
      <c r="N71" s="65">
        <f t="shared" si="17"/>
        <v>93.4872690556988</v>
      </c>
      <c r="O71" s="67">
        <f t="shared" si="6"/>
        <v>23.822064609752083</v>
      </c>
      <c r="P71" s="67">
        <f t="shared" si="7"/>
        <v>85.82841306189</v>
      </c>
      <c r="Q71" s="68">
        <f t="shared" si="8"/>
        <v>35.127357372448635</v>
      </c>
      <c r="R71" s="68">
        <f t="shared" si="9"/>
        <v>85.82841306189</v>
      </c>
      <c r="T71">
        <f t="shared" si="10"/>
        <v>1</v>
      </c>
      <c r="U71">
        <f t="shared" si="11"/>
        <v>1</v>
      </c>
    </row>
    <row r="72" spans="8:21" ht="12.75">
      <c r="H72" s="55">
        <v>0.3162277660168363</v>
      </c>
      <c r="I72" s="65">
        <f t="shared" si="12"/>
        <v>35.88769059257575</v>
      </c>
      <c r="J72" s="65">
        <f t="shared" si="13"/>
        <v>-8.580222102369364</v>
      </c>
      <c r="K72" s="66">
        <f t="shared" si="14"/>
        <v>47.192983355272304</v>
      </c>
      <c r="L72" s="66">
        <f t="shared" si="15"/>
        <v>-8.580222102369364</v>
      </c>
      <c r="M72" s="65">
        <f t="shared" si="16"/>
        <v>-13.080133885894044</v>
      </c>
      <c r="N72" s="65">
        <f t="shared" si="17"/>
        <v>93.9108856877884</v>
      </c>
      <c r="O72" s="67">
        <f t="shared" si="6"/>
        <v>22.80755670668171</v>
      </c>
      <c r="P72" s="67">
        <f t="shared" si="7"/>
        <v>85.33066358541903</v>
      </c>
      <c r="Q72" s="68">
        <f t="shared" si="8"/>
        <v>34.11284946937826</v>
      </c>
      <c r="R72" s="68">
        <f t="shared" si="9"/>
        <v>85.33066358541903</v>
      </c>
      <c r="T72">
        <f t="shared" si="10"/>
        <v>1</v>
      </c>
      <c r="U72">
        <f t="shared" si="11"/>
        <v>1</v>
      </c>
    </row>
    <row r="73" spans="8:21" ht="12.75">
      <c r="H73" s="55">
        <v>0.3548133892335736</v>
      </c>
      <c r="I73" s="65">
        <f t="shared" si="12"/>
        <v>35.86275742548874</v>
      </c>
      <c r="J73" s="65">
        <f t="shared" si="13"/>
        <v>-9.608699598249407</v>
      </c>
      <c r="K73" s="66">
        <f t="shared" si="14"/>
        <v>47.1680501881853</v>
      </c>
      <c r="L73" s="66">
        <f t="shared" si="15"/>
        <v>-9.608699598249407</v>
      </c>
      <c r="M73" s="65">
        <f t="shared" si="16"/>
        <v>-14.07334588805534</v>
      </c>
      <c r="N73" s="65">
        <f t="shared" si="17"/>
        <v>94.38541438686164</v>
      </c>
      <c r="O73" s="67">
        <f t="shared" si="6"/>
        <v>21.7894115374334</v>
      </c>
      <c r="P73" s="67">
        <f t="shared" si="7"/>
        <v>84.77671478861224</v>
      </c>
      <c r="Q73" s="68">
        <f t="shared" si="8"/>
        <v>33.09470430012996</v>
      </c>
      <c r="R73" s="68">
        <f t="shared" si="9"/>
        <v>84.77671478861224</v>
      </c>
      <c r="T73">
        <f t="shared" si="10"/>
        <v>1</v>
      </c>
      <c r="U73">
        <f t="shared" si="11"/>
        <v>1</v>
      </c>
    </row>
    <row r="74" spans="8:21" ht="12.75">
      <c r="H74" s="55">
        <v>0.39810717055349515</v>
      </c>
      <c r="I74" s="65">
        <f t="shared" si="12"/>
        <v>35.831570604223906</v>
      </c>
      <c r="J74" s="65">
        <f t="shared" si="13"/>
        <v>-10.755253432245278</v>
      </c>
      <c r="K74" s="66">
        <f t="shared" si="14"/>
        <v>47.13686336692046</v>
      </c>
      <c r="L74" s="66">
        <f t="shared" si="15"/>
        <v>-10.755253432245278</v>
      </c>
      <c r="M74" s="65">
        <f t="shared" si="16"/>
        <v>-15.064815887762984</v>
      </c>
      <c r="N74" s="65">
        <f t="shared" si="17"/>
        <v>94.91675037726584</v>
      </c>
      <c r="O74" s="67">
        <f t="shared" si="6"/>
        <v>20.766754716460923</v>
      </c>
      <c r="P74" s="67">
        <f t="shared" si="7"/>
        <v>84.16149694502056</v>
      </c>
      <c r="Q74" s="68">
        <f t="shared" si="8"/>
        <v>32.072047479157476</v>
      </c>
      <c r="R74" s="68">
        <f t="shared" si="9"/>
        <v>84.16149694502056</v>
      </c>
      <c r="T74">
        <f t="shared" si="10"/>
        <v>1</v>
      </c>
      <c r="U74">
        <f t="shared" si="11"/>
        <v>1</v>
      </c>
    </row>
    <row r="75" spans="8:21" ht="12.75">
      <c r="H75" s="55">
        <v>0.44668359215096076</v>
      </c>
      <c r="I75" s="65">
        <f t="shared" si="12"/>
        <v>35.79262450703582</v>
      </c>
      <c r="J75" s="65">
        <f t="shared" si="13"/>
        <v>-12.031382848588311</v>
      </c>
      <c r="K75" s="66">
        <f t="shared" si="14"/>
        <v>47.09791726973237</v>
      </c>
      <c r="L75" s="66">
        <f t="shared" si="15"/>
        <v>-12.031382848588311</v>
      </c>
      <c r="M75" s="65">
        <f t="shared" si="16"/>
        <v>-16.05410185027188</v>
      </c>
      <c r="N75" s="65">
        <f t="shared" si="17"/>
        <v>95.51138016537399</v>
      </c>
      <c r="O75" s="67">
        <f t="shared" si="6"/>
        <v>19.738522656763937</v>
      </c>
      <c r="P75" s="67">
        <f t="shared" si="7"/>
        <v>83.47999731678568</v>
      </c>
      <c r="Q75" s="68">
        <f t="shared" si="8"/>
        <v>31.04381541946049</v>
      </c>
      <c r="R75" s="68">
        <f t="shared" si="9"/>
        <v>83.47999731678568</v>
      </c>
      <c r="T75">
        <f t="shared" si="10"/>
        <v>1</v>
      </c>
      <c r="U75">
        <f t="shared" si="11"/>
        <v>1</v>
      </c>
    </row>
    <row r="76" spans="8:21" ht="12.75">
      <c r="H76" s="55">
        <v>0.5011872336272697</v>
      </c>
      <c r="I76" s="65">
        <f t="shared" si="12"/>
        <v>35.74408572282049</v>
      </c>
      <c r="J76" s="65">
        <f t="shared" si="13"/>
        <v>-13.4489017708847</v>
      </c>
      <c r="K76" s="66">
        <f t="shared" si="14"/>
        <v>47.049378485517046</v>
      </c>
      <c r="L76" s="66">
        <f t="shared" si="15"/>
        <v>-13.4489017708847</v>
      </c>
      <c r="M76" s="65">
        <f t="shared" si="16"/>
        <v>-17.040652460621835</v>
      </c>
      <c r="N76" s="65">
        <f t="shared" si="17"/>
        <v>96.17640294245864</v>
      </c>
      <c r="O76" s="67">
        <f t="shared" si="6"/>
        <v>18.703433262198658</v>
      </c>
      <c r="P76" s="67">
        <f t="shared" si="7"/>
        <v>82.72750117157393</v>
      </c>
      <c r="Q76" s="68">
        <f t="shared" si="8"/>
        <v>30.00872602489521</v>
      </c>
      <c r="R76" s="68">
        <f t="shared" si="9"/>
        <v>82.72750117157393</v>
      </c>
      <c r="T76">
        <f t="shared" si="10"/>
        <v>1</v>
      </c>
      <c r="U76">
        <f t="shared" si="11"/>
        <v>1</v>
      </c>
    </row>
    <row r="77" spans="8:21" ht="12.75">
      <c r="H77" s="55">
        <v>0.5623413251903462</v>
      </c>
      <c r="I77" s="65">
        <f t="shared" si="12"/>
        <v>35.683740422019156</v>
      </c>
      <c r="J77" s="65">
        <f t="shared" si="13"/>
        <v>-15.0196071966869</v>
      </c>
      <c r="K77" s="66">
        <f t="shared" si="14"/>
        <v>46.98903318471571</v>
      </c>
      <c r="L77" s="66">
        <f t="shared" si="15"/>
        <v>-15.0196071966869</v>
      </c>
      <c r="M77" s="65">
        <f t="shared" si="16"/>
        <v>-18.02378175847256</v>
      </c>
      <c r="N77" s="65">
        <f t="shared" si="17"/>
        <v>96.91953523160743</v>
      </c>
      <c r="O77" s="67">
        <f t="shared" si="6"/>
        <v>17.659958663546597</v>
      </c>
      <c r="P77" s="67">
        <f t="shared" si="7"/>
        <v>81.89992803492052</v>
      </c>
      <c r="Q77" s="68">
        <f t="shared" si="8"/>
        <v>28.96525142624315</v>
      </c>
      <c r="R77" s="68">
        <f t="shared" si="9"/>
        <v>81.89992803492052</v>
      </c>
      <c r="T77">
        <f t="shared" si="10"/>
        <v>1</v>
      </c>
      <c r="U77">
        <f t="shared" si="11"/>
        <v>1</v>
      </c>
    </row>
    <row r="78" spans="8:21" ht="12.75">
      <c r="H78" s="55">
        <v>0.6309573444801899</v>
      </c>
      <c r="I78" s="65">
        <f t="shared" si="12"/>
        <v>35.60894337278049</v>
      </c>
      <c r="J78" s="65">
        <f t="shared" si="13"/>
        <v>-16.754807461472918</v>
      </c>
      <c r="K78" s="66">
        <f t="shared" si="14"/>
        <v>46.91423613547704</v>
      </c>
      <c r="L78" s="66">
        <f t="shared" si="15"/>
        <v>-16.754807461472918</v>
      </c>
      <c r="M78" s="65">
        <f t="shared" si="16"/>
        <v>-19.002638826756325</v>
      </c>
      <c r="N78" s="65">
        <f t="shared" si="17"/>
        <v>97.74908990208606</v>
      </c>
      <c r="O78" s="67">
        <f t="shared" si="6"/>
        <v>16.606304546024163</v>
      </c>
      <c r="P78" s="67">
        <f t="shared" si="7"/>
        <v>80.99428244061313</v>
      </c>
      <c r="Q78" s="68">
        <f t="shared" si="8"/>
        <v>27.911597308720715</v>
      </c>
      <c r="R78" s="68">
        <f t="shared" si="9"/>
        <v>80.99428244061313</v>
      </c>
      <c r="T78">
        <f t="shared" si="10"/>
        <v>1</v>
      </c>
      <c r="U78">
        <f t="shared" si="11"/>
        <v>1</v>
      </c>
    </row>
    <row r="79" spans="8:21" ht="12.75">
      <c r="H79" s="55">
        <v>0.7079457843841341</v>
      </c>
      <c r="I79" s="65">
        <f t="shared" si="12"/>
        <v>35.516574982508075</v>
      </c>
      <c r="J79" s="65">
        <f t="shared" si="13"/>
        <v>-18.664684286006764</v>
      </c>
      <c r="K79" s="66">
        <f t="shared" si="14"/>
        <v>46.82186774520463</v>
      </c>
      <c r="L79" s="66">
        <f t="shared" si="15"/>
        <v>-18.664684286006764</v>
      </c>
      <c r="M79" s="65">
        <f t="shared" si="16"/>
        <v>-19.97617211433218</v>
      </c>
      <c r="N79" s="65">
        <f t="shared" si="17"/>
        <v>98.67391760156703</v>
      </c>
      <c r="O79" s="67">
        <f t="shared" si="6"/>
        <v>15.540402868175896</v>
      </c>
      <c r="P79" s="67">
        <f t="shared" si="7"/>
        <v>80.00923331556027</v>
      </c>
      <c r="Q79" s="68">
        <f t="shared" si="8"/>
        <v>26.84569563087245</v>
      </c>
      <c r="R79" s="68">
        <f t="shared" si="9"/>
        <v>80.00923331556027</v>
      </c>
      <c r="T79">
        <f t="shared" si="10"/>
        <v>1</v>
      </c>
      <c r="U79">
        <f t="shared" si="11"/>
        <v>1</v>
      </c>
    </row>
    <row r="80" spans="8:21" ht="12.75">
      <c r="H80" s="55">
        <v>0.7943282347242773</v>
      </c>
      <c r="I80" s="65">
        <f t="shared" si="12"/>
        <v>35.403015657424085</v>
      </c>
      <c r="J80" s="65">
        <f t="shared" si="13"/>
        <v>-20.757471631793845</v>
      </c>
      <c r="K80" s="66">
        <f t="shared" si="14"/>
        <v>46.708308420120645</v>
      </c>
      <c r="L80" s="66">
        <f t="shared" si="15"/>
        <v>-20.757471631793845</v>
      </c>
      <c r="M80" s="65">
        <f t="shared" si="16"/>
        <v>-20.943088286872207</v>
      </c>
      <c r="N80" s="65">
        <f t="shared" si="17"/>
        <v>99.70329494912811</v>
      </c>
      <c r="O80" s="67">
        <f t="shared" si="6"/>
        <v>14.459927370551878</v>
      </c>
      <c r="P80" s="67">
        <f t="shared" si="7"/>
        <v>78.94582331733426</v>
      </c>
      <c r="Q80" s="68">
        <f t="shared" si="8"/>
        <v>25.765220133248437</v>
      </c>
      <c r="R80" s="68">
        <f t="shared" si="9"/>
        <v>78.94582331733426</v>
      </c>
      <c r="T80">
        <f t="shared" si="10"/>
        <v>1</v>
      </c>
      <c r="U80">
        <f t="shared" si="11"/>
        <v>1</v>
      </c>
    </row>
    <row r="81" spans="8:21" ht="12.75">
      <c r="H81" s="55">
        <v>0.8912509381337408</v>
      </c>
      <c r="I81" s="65">
        <f t="shared" si="12"/>
        <v>35.26414982047936</v>
      </c>
      <c r="J81" s="65">
        <f t="shared" si="13"/>
        <v>-23.038454245150124</v>
      </c>
      <c r="K81" s="66">
        <f t="shared" si="14"/>
        <v>46.56944258317593</v>
      </c>
      <c r="L81" s="66">
        <f t="shared" si="15"/>
        <v>-23.038454245150124</v>
      </c>
      <c r="M81" s="65">
        <f t="shared" si="16"/>
        <v>-21.901806071349547</v>
      </c>
      <c r="N81" s="65">
        <f t="shared" si="17"/>
        <v>100.84673964925268</v>
      </c>
      <c r="O81" s="67">
        <f t="shared" si="6"/>
        <v>13.362343749129813</v>
      </c>
      <c r="P81" s="67">
        <f t="shared" si="7"/>
        <v>77.80828540410256</v>
      </c>
      <c r="Q81" s="68">
        <f t="shared" si="8"/>
        <v>24.66763651182638</v>
      </c>
      <c r="R81" s="68">
        <f t="shared" si="9"/>
        <v>77.80828540410256</v>
      </c>
      <c r="T81">
        <f t="shared" si="10"/>
        <v>1</v>
      </c>
      <c r="U81">
        <f t="shared" si="11"/>
        <v>1</v>
      </c>
    </row>
    <row r="82" spans="8:21" ht="12.75">
      <c r="H82" s="55">
        <v>0.9999999999999947</v>
      </c>
      <c r="I82" s="65">
        <f t="shared" si="12"/>
        <v>35.09541429320354</v>
      </c>
      <c r="J82" s="65">
        <f t="shared" si="13"/>
        <v>-25.50882267918755</v>
      </c>
      <c r="K82" s="66">
        <f t="shared" si="14"/>
        <v>46.40070705590009</v>
      </c>
      <c r="L82" s="66">
        <f t="shared" si="15"/>
        <v>-25.50882267918755</v>
      </c>
      <c r="M82" s="65">
        <f t="shared" si="16"/>
        <v>-22.850406498057612</v>
      </c>
      <c r="N82" s="65">
        <f t="shared" si="17"/>
        <v>102.11372847541276</v>
      </c>
      <c r="O82" s="67">
        <f t="shared" si="6"/>
        <v>12.245007795145927</v>
      </c>
      <c r="P82" s="67">
        <f t="shared" si="7"/>
        <v>76.60490579622521</v>
      </c>
      <c r="Q82" s="68">
        <f t="shared" si="8"/>
        <v>23.55030055784248</v>
      </c>
      <c r="R82" s="68">
        <f t="shared" si="9"/>
        <v>76.60490579622521</v>
      </c>
      <c r="T82">
        <f t="shared" si="10"/>
        <v>1</v>
      </c>
      <c r="U82">
        <f t="shared" si="11"/>
        <v>1</v>
      </c>
    </row>
    <row r="83" spans="8:21" ht="12.75">
      <c r="H83" s="55">
        <v>1.1220184543019576</v>
      </c>
      <c r="I83" s="65">
        <f t="shared" si="12"/>
        <v>34.89190608614929</v>
      </c>
      <c r="J83" s="65">
        <f t="shared" si="13"/>
        <v>-28.164470405738427</v>
      </c>
      <c r="K83" s="66">
        <f t="shared" si="14"/>
        <v>46.19719884884585</v>
      </c>
      <c r="L83" s="66">
        <f t="shared" si="15"/>
        <v>-28.164470405738427</v>
      </c>
      <c r="M83" s="65">
        <f t="shared" si="16"/>
        <v>-23.786582371434676</v>
      </c>
      <c r="N83" s="65">
        <f t="shared" si="17"/>
        <v>103.51329074725666</v>
      </c>
      <c r="O83" s="67">
        <f t="shared" si="6"/>
        <v>11.105323714714615</v>
      </c>
      <c r="P83" s="67">
        <f t="shared" si="7"/>
        <v>75.34882034151823</v>
      </c>
      <c r="Q83" s="68">
        <f t="shared" si="8"/>
        <v>22.410616477411175</v>
      </c>
      <c r="R83" s="68">
        <f t="shared" si="9"/>
        <v>75.34882034151823</v>
      </c>
      <c r="T83">
        <f t="shared" si="10"/>
        <v>1</v>
      </c>
      <c r="U83">
        <f t="shared" si="11"/>
        <v>1</v>
      </c>
    </row>
    <row r="84" spans="8:21" ht="12.75">
      <c r="H84" s="55">
        <v>1.2589254117941606</v>
      </c>
      <c r="I84" s="65">
        <f t="shared" si="12"/>
        <v>34.648561215511684</v>
      </c>
      <c r="J84" s="65">
        <f t="shared" si="13"/>
        <v>-30.994877683076766</v>
      </c>
      <c r="K84" s="66">
        <f t="shared" si="14"/>
        <v>45.953853978208244</v>
      </c>
      <c r="L84" s="66">
        <f t="shared" si="15"/>
        <v>-30.994877683076766</v>
      </c>
      <c r="M84" s="65">
        <f t="shared" si="16"/>
        <v>-24.707591817924037</v>
      </c>
      <c r="N84" s="65">
        <f t="shared" si="17"/>
        <v>105.05344909305786</v>
      </c>
      <c r="O84" s="67">
        <f t="shared" si="6"/>
        <v>9.940969397587647</v>
      </c>
      <c r="P84" s="67">
        <f t="shared" si="7"/>
        <v>74.0585714099811</v>
      </c>
      <c r="Q84" s="68">
        <f t="shared" si="8"/>
        <v>21.246262160284207</v>
      </c>
      <c r="R84" s="68">
        <f t="shared" si="9"/>
        <v>74.0585714099811</v>
      </c>
      <c r="T84">
        <f t="shared" si="10"/>
        <v>1</v>
      </c>
      <c r="U84">
        <f t="shared" si="11"/>
        <v>1</v>
      </c>
    </row>
    <row r="85" spans="8:21" ht="12.75">
      <c r="H85" s="55">
        <v>1.412537544622747</v>
      </c>
      <c r="I85" s="65">
        <f t="shared" si="12"/>
        <v>34.3604073744958</v>
      </c>
      <c r="J85" s="65">
        <f t="shared" si="13"/>
        <v>-33.982282788108115</v>
      </c>
      <c r="K85" s="66">
        <f t="shared" si="14"/>
        <v>45.66570013719236</v>
      </c>
      <c r="L85" s="66">
        <f t="shared" si="15"/>
        <v>-33.982282788108115</v>
      </c>
      <c r="M85" s="65">
        <f t="shared" si="16"/>
        <v>-25.610223381822276</v>
      </c>
      <c r="N85" s="65">
        <f t="shared" si="17"/>
        <v>106.74048342947482</v>
      </c>
      <c r="O85" s="67">
        <f t="shared" si="6"/>
        <v>8.750183992673524</v>
      </c>
      <c r="P85" s="67">
        <f t="shared" si="7"/>
        <v>72.7582006413667</v>
      </c>
      <c r="Q85" s="68">
        <f t="shared" si="8"/>
        <v>20.055476755370083</v>
      </c>
      <c r="R85" s="68">
        <f t="shared" si="9"/>
        <v>72.7582006413667</v>
      </c>
      <c r="T85">
        <f t="shared" si="10"/>
        <v>1</v>
      </c>
      <c r="U85">
        <f t="shared" si="11"/>
        <v>1</v>
      </c>
    </row>
    <row r="86" spans="8:21" ht="12.75">
      <c r="H86" s="55">
        <v>1.5848931924611052</v>
      </c>
      <c r="I86" s="65">
        <f aca="true" t="shared" si="18" ref="I86:I117">20*LOG10(_G_0_LL_min/SQRT(1+(H86/f_plant)^2))</f>
        <v>34.02287871730553</v>
      </c>
      <c r="J86" s="65">
        <f aca="true" t="shared" si="19" ref="J86:J117">-(180/3.14)*ATAN(H86/f_plant)</f>
        <v>-37.101371373608394</v>
      </c>
      <c r="K86" s="66">
        <f aca="true" t="shared" si="20" ref="K86:K117">20*LOG10(G_0_HL_max/SQRT(1+(H86/f_plant)^2))</f>
        <v>45.32817148000209</v>
      </c>
      <c r="L86" s="66">
        <f aca="true" t="shared" si="21" ref="L86:L117">-(180/3.14)*ATAN(H86/f_plant)</f>
        <v>-37.101371373608394</v>
      </c>
      <c r="M86" s="65">
        <f aca="true" t="shared" si="22" ref="M86:M117">-20*LOG10(H86/f_p_0)+20*LOG10(SQRT(1+(H86/f_z)^2))-20*LOG10(SQRT(1+(H86/f_p)^2))</f>
        <v>-26.490783192842777</v>
      </c>
      <c r="N86" s="65">
        <f aca="true" t="shared" si="23" ref="N86:N117">-90+(180/3.14)*ATAN(H86/f_z)-(180/3.14)*ATAN(H86/f_p)+180</f>
        <v>108.57800655278498</v>
      </c>
      <c r="O86" s="67">
        <f t="shared" si="6"/>
        <v>7.532095524462754</v>
      </c>
      <c r="P86" s="67">
        <f t="shared" si="7"/>
        <v>71.47663517917658</v>
      </c>
      <c r="Q86" s="68">
        <f t="shared" si="8"/>
        <v>18.837388287159314</v>
      </c>
      <c r="R86" s="68">
        <f t="shared" si="9"/>
        <v>71.47663517917658</v>
      </c>
      <c r="T86">
        <f t="shared" si="10"/>
        <v>1</v>
      </c>
      <c r="U86">
        <f t="shared" si="11"/>
        <v>1</v>
      </c>
    </row>
    <row r="87" spans="8:21" ht="12.75">
      <c r="H87" s="55">
        <v>1.7782794100389137</v>
      </c>
      <c r="I87" s="65">
        <f t="shared" si="18"/>
        <v>33.632162660717256</v>
      </c>
      <c r="J87" s="65">
        <f t="shared" si="19"/>
        <v>-40.319692146780795</v>
      </c>
      <c r="K87" s="66">
        <f t="shared" si="20"/>
        <v>44.93745542341381</v>
      </c>
      <c r="L87" s="66">
        <f t="shared" si="21"/>
        <v>-40.319692146780795</v>
      </c>
      <c r="M87" s="65">
        <f t="shared" si="22"/>
        <v>-27.345117698189423</v>
      </c>
      <c r="N87" s="65">
        <f t="shared" si="23"/>
        <v>110.5658642517393</v>
      </c>
      <c r="O87" s="67">
        <f aca="true" t="shared" si="24" ref="O87:O150">I87+M87</f>
        <v>6.287044962527833</v>
      </c>
      <c r="P87" s="67">
        <f aca="true" t="shared" si="25" ref="P87:P150">J87+N87</f>
        <v>70.2461721049585</v>
      </c>
      <c r="Q87" s="68">
        <f aca="true" t="shared" si="26" ref="Q87:Q150">K87+M87</f>
        <v>17.592337725224386</v>
      </c>
      <c r="R87" s="68">
        <f aca="true" t="shared" si="27" ref="R87:R150">L87+N87</f>
        <v>70.2461721049585</v>
      </c>
      <c r="T87">
        <f aca="true" t="shared" si="28" ref="T87:T150">SIGN(O88*O87)</f>
        <v>1</v>
      </c>
      <c r="U87">
        <f aca="true" t="shared" si="29" ref="U87:U150">SIGN(Q88*Q87)</f>
        <v>1</v>
      </c>
    </row>
    <row r="88" spans="8:21" ht="12.75">
      <c r="H88" s="55">
        <v>1.9952623149688693</v>
      </c>
      <c r="I88" s="65">
        <f t="shared" si="18"/>
        <v>33.185531533785294</v>
      </c>
      <c r="J88" s="65">
        <f t="shared" si="19"/>
        <v>-43.598913151365934</v>
      </c>
      <c r="K88" s="66">
        <f t="shared" si="20"/>
        <v>44.49082429648185</v>
      </c>
      <c r="L88" s="66">
        <f t="shared" si="21"/>
        <v>-43.598913151365934</v>
      </c>
      <c r="M88" s="65">
        <f t="shared" si="22"/>
        <v>-28.1686873419411</v>
      </c>
      <c r="N88" s="65">
        <f t="shared" si="23"/>
        <v>112.69891219860001</v>
      </c>
      <c r="O88" s="67">
        <f t="shared" si="24"/>
        <v>5.016844191844193</v>
      </c>
      <c r="P88" s="67">
        <f t="shared" si="25"/>
        <v>69.09999904723408</v>
      </c>
      <c r="Q88" s="68">
        <f t="shared" si="26"/>
        <v>16.322136954540746</v>
      </c>
      <c r="R88" s="68">
        <f t="shared" si="27"/>
        <v>69.09999904723408</v>
      </c>
      <c r="T88">
        <f t="shared" si="28"/>
        <v>1</v>
      </c>
      <c r="U88">
        <f t="shared" si="29"/>
        <v>1</v>
      </c>
    </row>
    <row r="89" spans="8:21" ht="12.75">
      <c r="H89" s="55">
        <v>2.238721138568328</v>
      </c>
      <c r="I89" s="65">
        <f t="shared" si="18"/>
        <v>32.681603207610166</v>
      </c>
      <c r="J89" s="65">
        <f t="shared" si="19"/>
        <v>-46.89687350056183</v>
      </c>
      <c r="K89" s="66">
        <f t="shared" si="20"/>
        <v>43.98689597030672</v>
      </c>
      <c r="L89" s="66">
        <f t="shared" si="21"/>
        <v>-46.89687350056183</v>
      </c>
      <c r="M89" s="65">
        <f t="shared" si="22"/>
        <v>-28.956705873996675</v>
      </c>
      <c r="N89" s="65">
        <f t="shared" si="23"/>
        <v>114.96577541283021</v>
      </c>
      <c r="O89" s="67">
        <f t="shared" si="24"/>
        <v>3.724897333613491</v>
      </c>
      <c r="P89" s="67">
        <f t="shared" si="25"/>
        <v>68.06890191226839</v>
      </c>
      <c r="Q89" s="68">
        <f t="shared" si="26"/>
        <v>15.030190096310044</v>
      </c>
      <c r="R89" s="68">
        <f t="shared" si="27"/>
        <v>68.06890191226839</v>
      </c>
      <c r="T89">
        <f t="shared" si="28"/>
        <v>1</v>
      </c>
      <c r="U89">
        <f t="shared" si="29"/>
        <v>1</v>
      </c>
    </row>
    <row r="90" spans="8:21" ht="12.75">
      <c r="H90" s="55">
        <v>2.511886431509567</v>
      </c>
      <c r="I90" s="65">
        <f t="shared" si="18"/>
        <v>32.1204805636899</v>
      </c>
      <c r="J90" s="65">
        <f t="shared" si="19"/>
        <v>-50.170199914428686</v>
      </c>
      <c r="K90" s="66">
        <f t="shared" si="20"/>
        <v>43.42577332638646</v>
      </c>
      <c r="L90" s="66">
        <f t="shared" si="21"/>
        <v>-50.170199914428686</v>
      </c>
      <c r="M90" s="65">
        <f t="shared" si="22"/>
        <v>-29.70435490273854</v>
      </c>
      <c r="N90" s="65">
        <f t="shared" si="23"/>
        <v>117.34775648296107</v>
      </c>
      <c r="O90" s="67">
        <f t="shared" si="24"/>
        <v>2.416125660951362</v>
      </c>
      <c r="P90" s="67">
        <f t="shared" si="25"/>
        <v>67.1775565685324</v>
      </c>
      <c r="Q90" s="68">
        <f t="shared" si="26"/>
        <v>13.721418423647922</v>
      </c>
      <c r="R90" s="68">
        <f t="shared" si="27"/>
        <v>67.1775565685324</v>
      </c>
      <c r="T90">
        <f t="shared" si="28"/>
        <v>1</v>
      </c>
      <c r="U90">
        <f t="shared" si="29"/>
        <v>1</v>
      </c>
    </row>
    <row r="91" spans="8:21" ht="12.75">
      <c r="H91" s="55">
        <v>2.818382931264439</v>
      </c>
      <c r="I91" s="65">
        <f t="shared" si="18"/>
        <v>31.503740941091465</v>
      </c>
      <c r="J91" s="65">
        <f t="shared" si="19"/>
        <v>-53.377109527598385</v>
      </c>
      <c r="K91" s="66">
        <f t="shared" si="20"/>
        <v>42.80903370378802</v>
      </c>
      <c r="L91" s="66">
        <f t="shared" si="21"/>
        <v>-53.377109527598385</v>
      </c>
      <c r="M91" s="65">
        <f t="shared" si="22"/>
        <v>-30.407072540038552</v>
      </c>
      <c r="N91" s="65">
        <f t="shared" si="23"/>
        <v>119.81810931538044</v>
      </c>
      <c r="O91" s="67">
        <f t="shared" si="24"/>
        <v>1.0966684010529129</v>
      </c>
      <c r="P91" s="67">
        <f t="shared" si="25"/>
        <v>66.44099978778206</v>
      </c>
      <c r="Q91" s="68">
        <f t="shared" si="26"/>
        <v>12.401961163749466</v>
      </c>
      <c r="R91" s="68">
        <f t="shared" si="27"/>
        <v>66.44099978778206</v>
      </c>
      <c r="T91">
        <f t="shared" si="28"/>
        <v>-1</v>
      </c>
      <c r="U91">
        <f t="shared" si="29"/>
        <v>1</v>
      </c>
    </row>
    <row r="92" spans="8:21" ht="12.75">
      <c r="H92" s="55">
        <v>3.1622776601683626</v>
      </c>
      <c r="I92" s="65">
        <f t="shared" si="18"/>
        <v>30.83427779314484</v>
      </c>
      <c r="J92" s="65">
        <f t="shared" si="19"/>
        <v>-56.47996907094063</v>
      </c>
      <c r="K92" s="66">
        <f t="shared" si="20"/>
        <v>42.139570555841395</v>
      </c>
      <c r="L92" s="66">
        <f t="shared" si="21"/>
        <v>-56.47996907094063</v>
      </c>
      <c r="M92" s="65">
        <f t="shared" si="22"/>
        <v>-31.0608988029576</v>
      </c>
      <c r="N92" s="65">
        <f t="shared" si="23"/>
        <v>122.34191091682807</v>
      </c>
      <c r="O92" s="67">
        <f t="shared" si="24"/>
        <v>-0.22662100981276012</v>
      </c>
      <c r="P92" s="67">
        <f t="shared" si="25"/>
        <v>65.86194184588743</v>
      </c>
      <c r="Q92" s="68">
        <f t="shared" si="26"/>
        <v>11.078671752883796</v>
      </c>
      <c r="R92" s="68">
        <f t="shared" si="27"/>
        <v>65.86194184588743</v>
      </c>
      <c r="T92">
        <f t="shared" si="28"/>
        <v>1</v>
      </c>
      <c r="U92">
        <f t="shared" si="29"/>
        <v>1</v>
      </c>
    </row>
    <row r="93" spans="8:21" ht="12.75">
      <c r="H93" s="55">
        <v>3.548133892335736</v>
      </c>
      <c r="I93" s="65">
        <f t="shared" si="18"/>
        <v>30.116027096907324</v>
      </c>
      <c r="J93" s="65">
        <f t="shared" si="19"/>
        <v>-59.44724745927023</v>
      </c>
      <c r="K93" s="66">
        <f t="shared" si="20"/>
        <v>41.421319859603884</v>
      </c>
      <c r="L93" s="66">
        <f t="shared" si="21"/>
        <v>-59.44724745927023</v>
      </c>
      <c r="M93" s="65">
        <f t="shared" si="22"/>
        <v>-31.662841872309375</v>
      </c>
      <c r="N93" s="65">
        <f t="shared" si="23"/>
        <v>124.87671886709614</v>
      </c>
      <c r="O93" s="67">
        <f t="shared" si="24"/>
        <v>-1.5468147754020514</v>
      </c>
      <c r="P93" s="67">
        <f t="shared" si="25"/>
        <v>65.42947140782591</v>
      </c>
      <c r="Q93" s="68">
        <f t="shared" si="26"/>
        <v>9.758477987294508</v>
      </c>
      <c r="R93" s="68">
        <f t="shared" si="27"/>
        <v>65.42947140782591</v>
      </c>
      <c r="T93">
        <f t="shared" si="28"/>
        <v>1</v>
      </c>
      <c r="U93">
        <f t="shared" si="29"/>
        <v>1</v>
      </c>
    </row>
    <row r="94" spans="8:21" ht="12.75">
      <c r="H94" s="55">
        <v>3.9810717055349523</v>
      </c>
      <c r="I94" s="65">
        <f t="shared" si="18"/>
        <v>29.353630401961958</v>
      </c>
      <c r="J94" s="65">
        <f t="shared" si="19"/>
        <v>-62.254655797982906</v>
      </c>
      <c r="K94" s="66">
        <f t="shared" si="20"/>
        <v>40.65892316465852</v>
      </c>
      <c r="L94" s="66">
        <f t="shared" si="21"/>
        <v>-62.254655797982906</v>
      </c>
      <c r="M94" s="65">
        <f t="shared" si="22"/>
        <v>-32.21121433950517</v>
      </c>
      <c r="N94" s="65">
        <f t="shared" si="23"/>
        <v>127.37408484264918</v>
      </c>
      <c r="O94" s="67">
        <f t="shared" si="24"/>
        <v>-2.857583937543211</v>
      </c>
      <c r="P94" s="67">
        <f t="shared" si="25"/>
        <v>65.11942904466628</v>
      </c>
      <c r="Q94" s="68">
        <f t="shared" si="26"/>
        <v>8.447708825153349</v>
      </c>
      <c r="R94" s="68">
        <f t="shared" si="27"/>
        <v>65.11942904466628</v>
      </c>
      <c r="T94">
        <f t="shared" si="28"/>
        <v>1</v>
      </c>
      <c r="U94">
        <f t="shared" si="29"/>
        <v>1</v>
      </c>
    </row>
    <row r="95" spans="8:21" ht="12.75">
      <c r="H95" s="55">
        <v>4.46683592150961</v>
      </c>
      <c r="I95" s="65">
        <f t="shared" si="18"/>
        <v>28.552089948908325</v>
      </c>
      <c r="J95" s="65">
        <f t="shared" si="19"/>
        <v>-64.88545420195493</v>
      </c>
      <c r="K95" s="66">
        <f t="shared" si="20"/>
        <v>39.85738271160488</v>
      </c>
      <c r="L95" s="66">
        <f t="shared" si="21"/>
        <v>-64.88545420195493</v>
      </c>
      <c r="M95" s="65">
        <f t="shared" si="22"/>
        <v>-32.7058843488879</v>
      </c>
      <c r="N95" s="65">
        <f t="shared" si="23"/>
        <v>129.781822048621</v>
      </c>
      <c r="O95" s="67">
        <f t="shared" si="24"/>
        <v>-4.153794399979574</v>
      </c>
      <c r="P95" s="67">
        <f t="shared" si="25"/>
        <v>64.89636784666607</v>
      </c>
      <c r="Q95" s="68">
        <f t="shared" si="26"/>
        <v>7.151498362716978</v>
      </c>
      <c r="R95" s="68">
        <f t="shared" si="27"/>
        <v>64.89636784666607</v>
      </c>
      <c r="T95">
        <f t="shared" si="28"/>
        <v>1</v>
      </c>
      <c r="U95">
        <f t="shared" si="29"/>
        <v>1</v>
      </c>
    </row>
    <row r="96" spans="8:21" ht="12.75">
      <c r="H96" s="55">
        <v>5.011872336272698</v>
      </c>
      <c r="I96" s="65">
        <f t="shared" si="18"/>
        <v>27.716461022817406</v>
      </c>
      <c r="J96" s="65">
        <f t="shared" si="19"/>
        <v>-67.33005687613165</v>
      </c>
      <c r="K96" s="66">
        <f t="shared" si="20"/>
        <v>39.021753785513965</v>
      </c>
      <c r="L96" s="66">
        <f t="shared" si="21"/>
        <v>-67.33005687613165</v>
      </c>
      <c r="M96" s="65">
        <f t="shared" si="22"/>
        <v>-33.148397786084125</v>
      </c>
      <c r="N96" s="65">
        <f t="shared" si="23"/>
        <v>132.04674680759567</v>
      </c>
      <c r="O96" s="67">
        <f t="shared" si="24"/>
        <v>-5.4319367632667195</v>
      </c>
      <c r="P96" s="67">
        <f t="shared" si="25"/>
        <v>64.71668993146402</v>
      </c>
      <c r="Q96" s="68">
        <f t="shared" si="26"/>
        <v>5.87335599942984</v>
      </c>
      <c r="R96" s="68">
        <f t="shared" si="27"/>
        <v>64.71668993146402</v>
      </c>
      <c r="T96">
        <f t="shared" si="28"/>
        <v>1</v>
      </c>
      <c r="U96">
        <f t="shared" si="29"/>
        <v>1</v>
      </c>
    </row>
    <row r="97" spans="8:21" ht="12.75">
      <c r="H97" s="55">
        <v>5.6234132519034645</v>
      </c>
      <c r="I97" s="65">
        <f t="shared" si="18"/>
        <v>26.851609060932745</v>
      </c>
      <c r="J97" s="65">
        <f t="shared" si="19"/>
        <v>-69.58515071415435</v>
      </c>
      <c r="K97" s="66">
        <f t="shared" si="20"/>
        <v>38.1569018236293</v>
      </c>
      <c r="L97" s="66">
        <f t="shared" si="21"/>
        <v>-69.58515071415435</v>
      </c>
      <c r="M97" s="65">
        <f t="shared" si="22"/>
        <v>-33.541953124139425</v>
      </c>
      <c r="N97" s="65">
        <f t="shared" si="23"/>
        <v>134.1174978537011</v>
      </c>
      <c r="O97" s="67">
        <f t="shared" si="24"/>
        <v>-6.69034406320668</v>
      </c>
      <c r="P97" s="67">
        <f t="shared" si="25"/>
        <v>64.53234713954676</v>
      </c>
      <c r="Q97" s="68">
        <f t="shared" si="26"/>
        <v>4.614948699489872</v>
      </c>
      <c r="R97" s="68">
        <f t="shared" si="27"/>
        <v>64.53234713954676</v>
      </c>
      <c r="T97">
        <f t="shared" si="28"/>
        <v>1</v>
      </c>
      <c r="U97">
        <f t="shared" si="29"/>
        <v>1</v>
      </c>
    </row>
    <row r="98" spans="8:21" ht="12.75">
      <c r="H98" s="55">
        <v>6.309573444801904</v>
      </c>
      <c r="I98" s="65">
        <f t="shared" si="18"/>
        <v>25.962040966475257</v>
      </c>
      <c r="J98" s="65">
        <f t="shared" si="19"/>
        <v>-71.6525565792046</v>
      </c>
      <c r="K98" s="66">
        <f t="shared" si="20"/>
        <v>37.26733372917182</v>
      </c>
      <c r="L98" s="66">
        <f t="shared" si="21"/>
        <v>-71.6525565792046</v>
      </c>
      <c r="M98" s="65">
        <f t="shared" si="22"/>
        <v>-33.891242289197535</v>
      </c>
      <c r="N98" s="65">
        <f t="shared" si="23"/>
        <v>135.94703027107562</v>
      </c>
      <c r="O98" s="67">
        <f t="shared" si="24"/>
        <v>-7.929201322722278</v>
      </c>
      <c r="P98" s="67">
        <f t="shared" si="25"/>
        <v>64.29447369187102</v>
      </c>
      <c r="Q98" s="68">
        <f t="shared" si="26"/>
        <v>3.3760914399742816</v>
      </c>
      <c r="R98" s="68">
        <f t="shared" si="27"/>
        <v>64.29447369187102</v>
      </c>
      <c r="T98">
        <f t="shared" si="28"/>
        <v>1</v>
      </c>
      <c r="U98">
        <f t="shared" si="29"/>
        <v>1</v>
      </c>
    </row>
    <row r="99" spans="8:21" ht="12.75">
      <c r="H99" s="55">
        <v>7.079457843841347</v>
      </c>
      <c r="I99" s="65">
        <f t="shared" si="18"/>
        <v>25.051806247509283</v>
      </c>
      <c r="J99" s="65">
        <f t="shared" si="19"/>
        <v>-73.53802716347698</v>
      </c>
      <c r="K99" s="66">
        <f t="shared" si="20"/>
        <v>36.35709901020584</v>
      </c>
      <c r="L99" s="66">
        <f t="shared" si="21"/>
        <v>-73.53802716347698</v>
      </c>
      <c r="M99" s="65">
        <f t="shared" si="22"/>
        <v>-34.20219773713792</v>
      </c>
      <c r="N99" s="65">
        <f t="shared" si="23"/>
        <v>137.4944887331437</v>
      </c>
      <c r="O99" s="67">
        <f t="shared" si="24"/>
        <v>-9.150391489628639</v>
      </c>
      <c r="P99" s="67">
        <f t="shared" si="25"/>
        <v>63.956461569666715</v>
      </c>
      <c r="Q99" s="68">
        <f t="shared" si="26"/>
        <v>2.154901273067921</v>
      </c>
      <c r="R99" s="68">
        <f t="shared" si="27"/>
        <v>63.956461569666715</v>
      </c>
      <c r="T99">
        <f t="shared" si="28"/>
        <v>1</v>
      </c>
      <c r="U99">
        <f t="shared" si="29"/>
        <v>1</v>
      </c>
    </row>
    <row r="100" spans="8:21" ht="12.75">
      <c r="H100" s="55">
        <v>7.943282347242782</v>
      </c>
      <c r="I100" s="65">
        <f t="shared" si="18"/>
        <v>24.124455607714275</v>
      </c>
      <c r="J100" s="65">
        <f t="shared" si="19"/>
        <v>-75.25011780523039</v>
      </c>
      <c r="K100" s="66">
        <f t="shared" si="20"/>
        <v>35.429748370410834</v>
      </c>
      <c r="L100" s="66">
        <f t="shared" si="21"/>
        <v>-75.25011780523039</v>
      </c>
      <c r="M100" s="65">
        <f t="shared" si="22"/>
        <v>-34.48169895438559</v>
      </c>
      <c r="N100" s="65">
        <f t="shared" si="23"/>
        <v>138.7263432358949</v>
      </c>
      <c r="O100" s="67">
        <f t="shared" si="24"/>
        <v>-10.357243346671318</v>
      </c>
      <c r="P100" s="67">
        <f t="shared" si="25"/>
        <v>63.4762254306645</v>
      </c>
      <c r="Q100" s="68">
        <f t="shared" si="26"/>
        <v>0.948049416025242</v>
      </c>
      <c r="R100" s="68">
        <f t="shared" si="27"/>
        <v>63.4762254306645</v>
      </c>
      <c r="T100">
        <f t="shared" si="28"/>
        <v>1</v>
      </c>
      <c r="U100">
        <f t="shared" si="29"/>
        <v>-1</v>
      </c>
    </row>
    <row r="101" spans="8:21" ht="12.75">
      <c r="H101" s="55">
        <v>8.912509381337419</v>
      </c>
      <c r="I101" s="65">
        <f t="shared" si="18"/>
        <v>23.183041809455172</v>
      </c>
      <c r="J101" s="65">
        <f t="shared" si="19"/>
        <v>-76.7992084178707</v>
      </c>
      <c r="K101" s="66">
        <f t="shared" si="20"/>
        <v>34.48833457215172</v>
      </c>
      <c r="L101" s="66">
        <f t="shared" si="21"/>
        <v>-76.7992084178707</v>
      </c>
      <c r="M101" s="65">
        <f t="shared" si="22"/>
        <v>-34.7372882690891</v>
      </c>
      <c r="N101" s="65">
        <f t="shared" si="23"/>
        <v>139.61685318770552</v>
      </c>
      <c r="O101" s="67">
        <f t="shared" si="24"/>
        <v>-11.554246459633926</v>
      </c>
      <c r="P101" s="67">
        <f t="shared" si="25"/>
        <v>62.817644769834814</v>
      </c>
      <c r="Q101" s="68">
        <f t="shared" si="26"/>
        <v>-0.24895369693737734</v>
      </c>
      <c r="R101" s="68">
        <f t="shared" si="27"/>
        <v>62.817644769834814</v>
      </c>
      <c r="T101">
        <f t="shared" si="28"/>
        <v>1</v>
      </c>
      <c r="U101">
        <f t="shared" si="29"/>
        <v>1</v>
      </c>
    </row>
    <row r="102" spans="8:21" ht="12.75">
      <c r="H102" s="55">
        <v>9.999999999999957</v>
      </c>
      <c r="I102" s="65">
        <f t="shared" si="18"/>
        <v>22.23014834265566</v>
      </c>
      <c r="J102" s="65">
        <f t="shared" si="19"/>
        <v>-78.19670778439286</v>
      </c>
      <c r="K102" s="66">
        <f t="shared" si="20"/>
        <v>33.53544110535222</v>
      </c>
      <c r="L102" s="66">
        <f t="shared" si="21"/>
        <v>-78.19670778439286</v>
      </c>
      <c r="M102" s="65">
        <f t="shared" si="22"/>
        <v>-34.97693003021599</v>
      </c>
      <c r="N102" s="65">
        <f t="shared" si="23"/>
        <v>140.14805606048247</v>
      </c>
      <c r="O102" s="67">
        <f t="shared" si="24"/>
        <v>-12.746781687560329</v>
      </c>
      <c r="P102" s="67">
        <f t="shared" si="25"/>
        <v>61.95134827608962</v>
      </c>
      <c r="Q102" s="68">
        <f t="shared" si="26"/>
        <v>-1.4414889248637692</v>
      </c>
      <c r="R102" s="68">
        <f t="shared" si="27"/>
        <v>61.95134827608962</v>
      </c>
      <c r="T102">
        <f t="shared" si="28"/>
        <v>1</v>
      </c>
      <c r="U102">
        <f t="shared" si="29"/>
        <v>1</v>
      </c>
    </row>
    <row r="103" spans="8:21" ht="12.75">
      <c r="H103" s="55">
        <v>11.220184543019586</v>
      </c>
      <c r="I103" s="65">
        <f t="shared" si="18"/>
        <v>21.26793395895995</v>
      </c>
      <c r="J103" s="65">
        <f t="shared" si="19"/>
        <v>-79.45443961592439</v>
      </c>
      <c r="K103" s="66">
        <f t="shared" si="20"/>
        <v>32.57322672165651</v>
      </c>
      <c r="L103" s="66">
        <f t="shared" si="21"/>
        <v>-79.45443961592439</v>
      </c>
      <c r="M103" s="65">
        <f t="shared" si="22"/>
        <v>-35.208825953312264</v>
      </c>
      <c r="N103" s="65">
        <f t="shared" si="23"/>
        <v>140.30952896993134</v>
      </c>
      <c r="O103" s="67">
        <f t="shared" si="24"/>
        <v>-13.940891994352313</v>
      </c>
      <c r="P103" s="67">
        <f t="shared" si="25"/>
        <v>60.85508935400695</v>
      </c>
      <c r="Q103" s="68">
        <f t="shared" si="26"/>
        <v>-2.6355992316557533</v>
      </c>
      <c r="R103" s="68">
        <f t="shared" si="27"/>
        <v>60.85508935400695</v>
      </c>
      <c r="T103">
        <f t="shared" si="28"/>
        <v>1</v>
      </c>
      <c r="U103">
        <f t="shared" si="29"/>
        <v>1</v>
      </c>
    </row>
    <row r="104" spans="8:21" ht="12.75">
      <c r="H104" s="55">
        <v>12.589254117941618</v>
      </c>
      <c r="I104" s="65">
        <f t="shared" si="18"/>
        <v>20.298184196881145</v>
      </c>
      <c r="J104" s="65">
        <f t="shared" si="19"/>
        <v>-80.58419160534935</v>
      </c>
      <c r="K104" s="66">
        <f t="shared" si="20"/>
        <v>31.603476959577705</v>
      </c>
      <c r="L104" s="66">
        <f t="shared" si="21"/>
        <v>-80.58419160534935</v>
      </c>
      <c r="M104" s="65">
        <f t="shared" si="22"/>
        <v>-35.441279388636886</v>
      </c>
      <c r="N104" s="65">
        <f t="shared" si="23"/>
        <v>140.09814983117113</v>
      </c>
      <c r="O104" s="67">
        <f t="shared" si="24"/>
        <v>-15.14309519175574</v>
      </c>
      <c r="P104" s="67">
        <f t="shared" si="25"/>
        <v>59.51395822582178</v>
      </c>
      <c r="Q104" s="68">
        <f t="shared" si="26"/>
        <v>-3.837802429059181</v>
      </c>
      <c r="R104" s="68">
        <f t="shared" si="27"/>
        <v>59.51395822582178</v>
      </c>
      <c r="T104">
        <f t="shared" si="28"/>
        <v>1</v>
      </c>
      <c r="U104">
        <f t="shared" si="29"/>
        <v>1</v>
      </c>
    </row>
    <row r="105" spans="8:21" ht="12.75">
      <c r="H105" s="55">
        <v>14.125375446227489</v>
      </c>
      <c r="I105" s="65">
        <f t="shared" si="18"/>
        <v>19.32236388015711</v>
      </c>
      <c r="J105" s="65">
        <f t="shared" si="19"/>
        <v>-81.59740077052979</v>
      </c>
      <c r="K105" s="66">
        <f t="shared" si="20"/>
        <v>30.62765664285367</v>
      </c>
      <c r="L105" s="66">
        <f t="shared" si="21"/>
        <v>-81.59740077052979</v>
      </c>
      <c r="M105" s="65">
        <f t="shared" si="22"/>
        <v>-35.682586679278664</v>
      </c>
      <c r="N105" s="65">
        <f t="shared" si="23"/>
        <v>139.51801011181416</v>
      </c>
      <c r="O105" s="67">
        <f t="shared" si="24"/>
        <v>-16.360222799121555</v>
      </c>
      <c r="P105" s="67">
        <f t="shared" si="25"/>
        <v>57.920609341284376</v>
      </c>
      <c r="Q105" s="68">
        <f t="shared" si="26"/>
        <v>-5.054930036424995</v>
      </c>
      <c r="R105" s="68">
        <f t="shared" si="27"/>
        <v>57.920609341284376</v>
      </c>
      <c r="T105">
        <f t="shared" si="28"/>
        <v>1</v>
      </c>
      <c r="U105">
        <f t="shared" si="29"/>
        <v>1</v>
      </c>
    </row>
    <row r="106" spans="8:21" ht="12.75">
      <c r="H106" s="55">
        <v>15.848931924611072</v>
      </c>
      <c r="I106" s="65">
        <f t="shared" si="18"/>
        <v>18.341666886160624</v>
      </c>
      <c r="J106" s="65">
        <f t="shared" si="19"/>
        <v>-82.50494703525742</v>
      </c>
      <c r="K106" s="66">
        <f t="shared" si="20"/>
        <v>29.646959648857177</v>
      </c>
      <c r="L106" s="66">
        <f t="shared" si="21"/>
        <v>-82.50494703525742</v>
      </c>
      <c r="M106" s="65">
        <f t="shared" si="22"/>
        <v>-35.94092649688669</v>
      </c>
      <c r="N106" s="65">
        <f t="shared" si="23"/>
        <v>138.5805276545479</v>
      </c>
      <c r="O106" s="67">
        <f t="shared" si="24"/>
        <v>-17.599259610726065</v>
      </c>
      <c r="P106" s="67">
        <f t="shared" si="25"/>
        <v>56.07558061929048</v>
      </c>
      <c r="Q106" s="68">
        <f t="shared" si="26"/>
        <v>-6.293966848029513</v>
      </c>
      <c r="R106" s="68">
        <f t="shared" si="27"/>
        <v>56.07558061929048</v>
      </c>
      <c r="T106">
        <f t="shared" si="28"/>
        <v>1</v>
      </c>
      <c r="U106">
        <f t="shared" si="29"/>
        <v>1</v>
      </c>
    </row>
    <row r="107" spans="8:21" ht="12.75">
      <c r="H107" s="55">
        <v>17.782794100389157</v>
      </c>
      <c r="I107" s="65">
        <f t="shared" si="18"/>
        <v>17.357061185998848</v>
      </c>
      <c r="J107" s="65">
        <f t="shared" si="19"/>
        <v>-83.31702929442388</v>
      </c>
      <c r="K107" s="66">
        <f t="shared" si="20"/>
        <v>28.662353948695404</v>
      </c>
      <c r="L107" s="66">
        <f t="shared" si="21"/>
        <v>-83.31702929442388</v>
      </c>
      <c r="M107" s="65">
        <f t="shared" si="22"/>
        <v>-36.22421856898065</v>
      </c>
      <c r="N107" s="65">
        <f t="shared" si="23"/>
        <v>137.304696321866</v>
      </c>
      <c r="O107" s="67">
        <f t="shared" si="24"/>
        <v>-18.867157382981805</v>
      </c>
      <c r="P107" s="67">
        <f t="shared" si="25"/>
        <v>53.98766702744213</v>
      </c>
      <c r="Q107" s="68">
        <f t="shared" si="26"/>
        <v>-7.561864620285249</v>
      </c>
      <c r="R107" s="68">
        <f t="shared" si="27"/>
        <v>53.98766702744213</v>
      </c>
      <c r="T107">
        <f t="shared" si="28"/>
        <v>1</v>
      </c>
      <c r="U107">
        <f t="shared" si="29"/>
        <v>1</v>
      </c>
    </row>
    <row r="108" spans="8:21" ht="12.75">
      <c r="H108" s="55">
        <v>19.952623149688726</v>
      </c>
      <c r="I108" s="65">
        <f t="shared" si="18"/>
        <v>16.369328319617686</v>
      </c>
      <c r="J108" s="65">
        <f t="shared" si="19"/>
        <v>-84.04310211608555</v>
      </c>
      <c r="K108" s="66">
        <f t="shared" si="20"/>
        <v>27.674621082314243</v>
      </c>
      <c r="L108" s="66">
        <f t="shared" si="21"/>
        <v>-84.04310211608555</v>
      </c>
      <c r="M108" s="65">
        <f t="shared" si="22"/>
        <v>-36.53993151867253</v>
      </c>
      <c r="N108" s="65">
        <f t="shared" si="23"/>
        <v>135.71730825611183</v>
      </c>
      <c r="O108" s="67">
        <f t="shared" si="24"/>
        <v>-20.170603199054845</v>
      </c>
      <c r="P108" s="67">
        <f t="shared" si="25"/>
        <v>51.674206140026286</v>
      </c>
      <c r="Q108" s="68">
        <f t="shared" si="26"/>
        <v>-8.865310436358289</v>
      </c>
      <c r="R108" s="68">
        <f t="shared" si="27"/>
        <v>51.674206140026286</v>
      </c>
      <c r="T108">
        <f t="shared" si="28"/>
        <v>1</v>
      </c>
      <c r="U108">
        <f t="shared" si="29"/>
        <v>1</v>
      </c>
    </row>
    <row r="109" spans="8:21" ht="12.75">
      <c r="H109" s="55">
        <v>22.387211385683315</v>
      </c>
      <c r="I109" s="65">
        <f t="shared" si="18"/>
        <v>15.379097203547584</v>
      </c>
      <c r="J109" s="65">
        <f t="shared" si="19"/>
        <v>-84.69185550570509</v>
      </c>
      <c r="K109" s="66">
        <f t="shared" si="20"/>
        <v>26.68438996624414</v>
      </c>
      <c r="L109" s="66">
        <f t="shared" si="21"/>
        <v>-84.69185550570509</v>
      </c>
      <c r="M109" s="65">
        <f t="shared" si="22"/>
        <v>-36.89483500803596</v>
      </c>
      <c r="N109" s="65">
        <f t="shared" si="23"/>
        <v>133.8529155870785</v>
      </c>
      <c r="O109" s="67">
        <f t="shared" si="24"/>
        <v>-21.515737804488378</v>
      </c>
      <c r="P109" s="67">
        <f t="shared" si="25"/>
        <v>49.16106008137342</v>
      </c>
      <c r="Q109" s="68">
        <f t="shared" si="26"/>
        <v>-10.210445041791822</v>
      </c>
      <c r="R109" s="68">
        <f t="shared" si="27"/>
        <v>49.16106008137342</v>
      </c>
      <c r="T109">
        <f t="shared" si="28"/>
        <v>1</v>
      </c>
      <c r="U109">
        <f t="shared" si="29"/>
        <v>1</v>
      </c>
    </row>
    <row r="110" spans="8:21" ht="12.75">
      <c r="H110" s="55">
        <v>25.11886431509571</v>
      </c>
      <c r="I110" s="65">
        <f t="shared" si="18"/>
        <v>14.386872593817582</v>
      </c>
      <c r="J110" s="65">
        <f t="shared" si="19"/>
        <v>-85.27122413590769</v>
      </c>
      <c r="K110" s="66">
        <f t="shared" si="20"/>
        <v>25.69216535651414</v>
      </c>
      <c r="L110" s="66">
        <f t="shared" si="21"/>
        <v>-85.27122413590769</v>
      </c>
      <c r="M110" s="65">
        <f t="shared" si="22"/>
        <v>-37.294711888438435</v>
      </c>
      <c r="N110" s="65">
        <f t="shared" si="23"/>
        <v>131.75328558848653</v>
      </c>
      <c r="O110" s="67">
        <f t="shared" si="24"/>
        <v>-22.907839294620853</v>
      </c>
      <c r="P110" s="67">
        <f t="shared" si="25"/>
        <v>46.48206145257885</v>
      </c>
      <c r="Q110" s="68">
        <f t="shared" si="26"/>
        <v>-11.602546531924297</v>
      </c>
      <c r="R110" s="68">
        <f t="shared" si="27"/>
        <v>46.48206145257885</v>
      </c>
      <c r="T110">
        <f t="shared" si="28"/>
        <v>1</v>
      </c>
      <c r="U110">
        <f t="shared" si="29"/>
        <v>1</v>
      </c>
    </row>
    <row r="111" spans="8:21" ht="12.75">
      <c r="H111" s="55">
        <v>28.18382931264445</v>
      </c>
      <c r="I111" s="65">
        <f t="shared" si="18"/>
        <v>13.393058741660006</v>
      </c>
      <c r="J111" s="65">
        <f t="shared" si="19"/>
        <v>-85.78841584210983</v>
      </c>
      <c r="K111" s="66">
        <f t="shared" si="20"/>
        <v>24.698351504356562</v>
      </c>
      <c r="L111" s="66">
        <f t="shared" si="21"/>
        <v>-85.78841584210983</v>
      </c>
      <c r="M111" s="65">
        <f t="shared" si="22"/>
        <v>-37.744067017098835</v>
      </c>
      <c r="N111" s="65">
        <f t="shared" si="23"/>
        <v>129.46616623181717</v>
      </c>
      <c r="O111" s="67">
        <f t="shared" si="24"/>
        <v>-24.35100827543883</v>
      </c>
      <c r="P111" s="67">
        <f t="shared" si="25"/>
        <v>43.67775038970734</v>
      </c>
      <c r="Q111" s="68">
        <f t="shared" si="26"/>
        <v>-13.045715512742273</v>
      </c>
      <c r="R111" s="68">
        <f t="shared" si="27"/>
        <v>43.67775038970734</v>
      </c>
      <c r="T111">
        <f t="shared" si="28"/>
        <v>1</v>
      </c>
      <c r="U111">
        <f t="shared" si="29"/>
        <v>1</v>
      </c>
    </row>
    <row r="112" spans="8:21" ht="12.75">
      <c r="H112" s="55">
        <v>31.62277660168369</v>
      </c>
      <c r="I112" s="65">
        <f t="shared" si="18"/>
        <v>12.397978860828765</v>
      </c>
      <c r="J112" s="65">
        <f t="shared" si="19"/>
        <v>-86.24995193085748</v>
      </c>
      <c r="K112" s="66">
        <f t="shared" si="20"/>
        <v>23.703271623525318</v>
      </c>
      <c r="L112" s="66">
        <f t="shared" si="21"/>
        <v>-86.24995193085748</v>
      </c>
      <c r="M112" s="65">
        <f t="shared" si="22"/>
        <v>-38.24588393276226</v>
      </c>
      <c r="N112" s="65">
        <f t="shared" si="23"/>
        <v>127.04331869641064</v>
      </c>
      <c r="O112" s="67">
        <f t="shared" si="24"/>
        <v>-25.847905071933496</v>
      </c>
      <c r="P112" s="67">
        <f t="shared" si="25"/>
        <v>40.79336676555316</v>
      </c>
      <c r="Q112" s="68">
        <f t="shared" si="26"/>
        <v>-14.542612309236944</v>
      </c>
      <c r="R112" s="68">
        <f t="shared" si="27"/>
        <v>40.79336676555316</v>
      </c>
      <c r="T112">
        <f t="shared" si="28"/>
        <v>1</v>
      </c>
      <c r="U112">
        <f t="shared" si="29"/>
        <v>1</v>
      </c>
    </row>
    <row r="113" spans="8:21" ht="12.75">
      <c r="H113" s="55">
        <v>35.48133892335743</v>
      </c>
      <c r="I113" s="65">
        <f t="shared" si="18"/>
        <v>11.401891026560538</v>
      </c>
      <c r="J113" s="65">
        <f t="shared" si="19"/>
        <v>-86.66171398532693</v>
      </c>
      <c r="K113" s="66">
        <f t="shared" si="20"/>
        <v>22.707183789257094</v>
      </c>
      <c r="L113" s="66">
        <f t="shared" si="21"/>
        <v>-86.66171398532693</v>
      </c>
      <c r="M113" s="65">
        <f t="shared" si="22"/>
        <v>-38.80148182521611</v>
      </c>
      <c r="N113" s="65">
        <f t="shared" si="23"/>
        <v>124.53795931117796</v>
      </c>
      <c r="O113" s="67">
        <f t="shared" si="24"/>
        <v>-27.39959079865557</v>
      </c>
      <c r="P113" s="67">
        <f t="shared" si="25"/>
        <v>37.87624532585103</v>
      </c>
      <c r="Q113" s="68">
        <f t="shared" si="26"/>
        <v>-16.094298035959014</v>
      </c>
      <c r="R113" s="68">
        <f t="shared" si="27"/>
        <v>37.87624532585103</v>
      </c>
      <c r="T113">
        <f t="shared" si="28"/>
        <v>1</v>
      </c>
      <c r="U113">
        <f t="shared" si="29"/>
        <v>1</v>
      </c>
    </row>
    <row r="114" spans="8:21" ht="12.75">
      <c r="H114" s="55">
        <v>39.81071705534961</v>
      </c>
      <c r="I114" s="65">
        <f t="shared" si="18"/>
        <v>10.40500108364971</v>
      </c>
      <c r="J114" s="65">
        <f t="shared" si="19"/>
        <v>-87.02899346963846</v>
      </c>
      <c r="K114" s="66">
        <f t="shared" si="20"/>
        <v>21.71029384634626</v>
      </c>
      <c r="L114" s="66">
        <f t="shared" si="21"/>
        <v>-87.02899346963846</v>
      </c>
      <c r="M114" s="65">
        <f t="shared" si="22"/>
        <v>-39.41051005452202</v>
      </c>
      <c r="N114" s="65">
        <f t="shared" si="23"/>
        <v>122.00192616414935</v>
      </c>
      <c r="O114" s="67">
        <f t="shared" si="24"/>
        <v>-29.005508970872313</v>
      </c>
      <c r="P114" s="67">
        <f t="shared" si="25"/>
        <v>34.97293269451089</v>
      </c>
      <c r="Q114" s="68">
        <f t="shared" si="26"/>
        <v>-17.70021620817576</v>
      </c>
      <c r="R114" s="68">
        <f t="shared" si="27"/>
        <v>34.97293269451089</v>
      </c>
      <c r="T114">
        <f t="shared" si="28"/>
        <v>1</v>
      </c>
      <c r="U114">
        <f t="shared" si="29"/>
        <v>1</v>
      </c>
    </row>
    <row r="115" spans="8:21" ht="12.75">
      <c r="H115" s="55">
        <v>44.66835921509618</v>
      </c>
      <c r="I115" s="65">
        <f t="shared" si="18"/>
        <v>9.407473077961795</v>
      </c>
      <c r="J115" s="65">
        <f t="shared" si="19"/>
        <v>-87.35654162989559</v>
      </c>
      <c r="K115" s="66">
        <f t="shared" si="20"/>
        <v>20.71276584065835</v>
      </c>
      <c r="L115" s="66">
        <f t="shared" si="21"/>
        <v>-87.35654162989559</v>
      </c>
      <c r="M115" s="65">
        <f t="shared" si="22"/>
        <v>-40.07108936389416</v>
      </c>
      <c r="N115" s="65">
        <f t="shared" si="23"/>
        <v>119.48297964083707</v>
      </c>
      <c r="O115" s="67">
        <f t="shared" si="24"/>
        <v>-30.663616285932363</v>
      </c>
      <c r="P115" s="67">
        <f t="shared" si="25"/>
        <v>32.126438010941484</v>
      </c>
      <c r="Q115" s="68">
        <f t="shared" si="26"/>
        <v>-19.35832352323581</v>
      </c>
      <c r="R115" s="68">
        <f t="shared" si="27"/>
        <v>32.126438010941484</v>
      </c>
      <c r="T115">
        <f t="shared" si="28"/>
        <v>1</v>
      </c>
      <c r="U115">
        <f t="shared" si="29"/>
        <v>1</v>
      </c>
    </row>
    <row r="116" spans="8:21" ht="12.75">
      <c r="H116" s="55">
        <v>50.11872336272708</v>
      </c>
      <c r="I116" s="65">
        <f t="shared" si="18"/>
        <v>8.409437656059275</v>
      </c>
      <c r="J116" s="65">
        <f t="shared" si="19"/>
        <v>-87.64861805807647</v>
      </c>
      <c r="K116" s="66">
        <f t="shared" si="20"/>
        <v>19.71473041875583</v>
      </c>
      <c r="L116" s="66">
        <f t="shared" si="21"/>
        <v>-87.64861805807647</v>
      </c>
      <c r="M116" s="65">
        <f t="shared" si="22"/>
        <v>-40.780077389355384</v>
      </c>
      <c r="N116" s="65">
        <f t="shared" si="23"/>
        <v>117.02262338506848</v>
      </c>
      <c r="O116" s="67">
        <f t="shared" si="24"/>
        <v>-32.37063973329611</v>
      </c>
      <c r="P116" s="67">
        <f t="shared" si="25"/>
        <v>29.37400532699202</v>
      </c>
      <c r="Q116" s="68">
        <f t="shared" si="26"/>
        <v>-21.065346970599553</v>
      </c>
      <c r="R116" s="68">
        <f t="shared" si="27"/>
        <v>29.37400532699202</v>
      </c>
      <c r="T116">
        <f t="shared" si="28"/>
        <v>1</v>
      </c>
      <c r="U116">
        <f t="shared" si="29"/>
        <v>1</v>
      </c>
    </row>
    <row r="117" spans="8:21" ht="12.75">
      <c r="H117" s="55">
        <v>56.234132519034766</v>
      </c>
      <c r="I117" s="65">
        <f t="shared" si="18"/>
        <v>7.410998809483072</v>
      </c>
      <c r="J117" s="65">
        <f t="shared" si="19"/>
        <v>-87.9090369042004</v>
      </c>
      <c r="K117" s="66">
        <f t="shared" si="20"/>
        <v>18.716291572179628</v>
      </c>
      <c r="L117" s="66">
        <f t="shared" si="21"/>
        <v>-87.9090369042004</v>
      </c>
      <c r="M117" s="65">
        <f t="shared" si="22"/>
        <v>-41.5334121827109</v>
      </c>
      <c r="N117" s="65">
        <f t="shared" si="23"/>
        <v>114.65470372538599</v>
      </c>
      <c r="O117" s="67">
        <f t="shared" si="24"/>
        <v>-34.12241337322783</v>
      </c>
      <c r="P117" s="67">
        <f t="shared" si="25"/>
        <v>26.74566682118558</v>
      </c>
      <c r="Q117" s="68">
        <f t="shared" si="26"/>
        <v>-22.81712061053127</v>
      </c>
      <c r="R117" s="68">
        <f t="shared" si="27"/>
        <v>26.74566682118558</v>
      </c>
      <c r="T117">
        <f t="shared" si="28"/>
        <v>1</v>
      </c>
      <c r="U117">
        <f t="shared" si="29"/>
        <v>1</v>
      </c>
    </row>
    <row r="118" spans="8:21" ht="12.75">
      <c r="H118" s="55">
        <v>63.09573444801914</v>
      </c>
      <c r="I118" s="65">
        <f aca="true" t="shared" si="30" ref="I118:I149">20*LOG10(_G_0_LL_min/SQRT(1+(H118/f_plant)^2))</f>
        <v>6.412239277775614</v>
      </c>
      <c r="J118" s="65">
        <f aca="true" t="shared" si="31" ref="J118:J149">-(180/3.14)*ATAN(H118/f_plant)</f>
        <v>-88.14121015641715</v>
      </c>
      <c r="K118" s="66">
        <f aca="true" t="shared" si="32" ref="K118:K149">20*LOG10(G_0_HL_max/SQRT(1+(H118/f_plant)^2))</f>
        <v>17.71753204047217</v>
      </c>
      <c r="L118" s="66">
        <f aca="true" t="shared" si="33" ref="L118:L149">-(180/3.14)*ATAN(H118/f_plant)</f>
        <v>-88.14121015641715</v>
      </c>
      <c r="M118" s="65">
        <f aca="true" t="shared" si="34" ref="M118:M149">-20*LOG10(H118/f_p_0)+20*LOG10(SQRT(1+(H118/f_z)^2))-20*LOG10(SQRT(1+(H118/f_p)^2))</f>
        <v>-42.32647837810108</v>
      </c>
      <c r="N118" s="65">
        <f aca="true" t="shared" si="35" ref="N118:N149">-90+(180/3.14)*ATAN(H118/f_z)-(180/3.14)*ATAN(H118/f_p)+180</f>
        <v>112.40486490480882</v>
      </c>
      <c r="O118" s="67">
        <f t="shared" si="24"/>
        <v>-35.91423910032547</v>
      </c>
      <c r="P118" s="67">
        <f t="shared" si="25"/>
        <v>24.263654748391673</v>
      </c>
      <c r="Q118" s="68">
        <f t="shared" si="26"/>
        <v>-24.608946337628907</v>
      </c>
      <c r="R118" s="68">
        <f t="shared" si="27"/>
        <v>24.263654748391673</v>
      </c>
      <c r="T118">
        <f t="shared" si="28"/>
        <v>1</v>
      </c>
      <c r="U118">
        <f t="shared" si="29"/>
        <v>1</v>
      </c>
    </row>
    <row r="119" spans="8:21" ht="12.75">
      <c r="H119" s="55">
        <v>70.79457843841361</v>
      </c>
      <c r="I119" s="65">
        <f t="shared" si="30"/>
        <v>5.41322486932547</v>
      </c>
      <c r="J119" s="65">
        <f t="shared" si="31"/>
        <v>-88.34818770750688</v>
      </c>
      <c r="K119" s="66">
        <f t="shared" si="32"/>
        <v>16.718517632022024</v>
      </c>
      <c r="L119" s="66">
        <f t="shared" si="33"/>
        <v>-88.34818770750688</v>
      </c>
      <c r="M119" s="65">
        <f t="shared" si="34"/>
        <v>-43.15444666684167</v>
      </c>
      <c r="N119" s="65">
        <f t="shared" si="35"/>
        <v>110.29077008679775</v>
      </c>
      <c r="O119" s="67">
        <f t="shared" si="24"/>
        <v>-37.741221797516204</v>
      </c>
      <c r="P119" s="67">
        <f t="shared" si="25"/>
        <v>21.94258237929087</v>
      </c>
      <c r="Q119" s="68">
        <f t="shared" si="26"/>
        <v>-26.435929034819647</v>
      </c>
      <c r="R119" s="68">
        <f t="shared" si="27"/>
        <v>21.94258237929087</v>
      </c>
      <c r="T119">
        <f t="shared" si="28"/>
        <v>1</v>
      </c>
      <c r="U119">
        <f t="shared" si="29"/>
        <v>1</v>
      </c>
    </row>
    <row r="120" spans="8:21" ht="12.75">
      <c r="H120" s="55">
        <v>79.43282347242798</v>
      </c>
      <c r="I120" s="65">
        <f t="shared" si="30"/>
        <v>4.414007911950151</v>
      </c>
      <c r="J120" s="65">
        <f t="shared" si="31"/>
        <v>-88.53269412743897</v>
      </c>
      <c r="K120" s="66">
        <f t="shared" si="32"/>
        <v>15.719300674646705</v>
      </c>
      <c r="L120" s="66">
        <f t="shared" si="33"/>
        <v>-88.53269412743897</v>
      </c>
      <c r="M120" s="65">
        <f t="shared" si="34"/>
        <v>-44.01255311629426</v>
      </c>
      <c r="N120" s="65">
        <f t="shared" si="35"/>
        <v>108.32289028066701</v>
      </c>
      <c r="O120" s="67">
        <f t="shared" si="24"/>
        <v>-39.598545204344106</v>
      </c>
      <c r="P120" s="67">
        <f t="shared" si="25"/>
        <v>19.790196153228038</v>
      </c>
      <c r="Q120" s="68">
        <f t="shared" si="26"/>
        <v>-28.293252441647553</v>
      </c>
      <c r="R120" s="68">
        <f t="shared" si="27"/>
        <v>19.790196153228038</v>
      </c>
      <c r="T120">
        <f t="shared" si="28"/>
        <v>1</v>
      </c>
      <c r="U120">
        <f t="shared" si="29"/>
        <v>1</v>
      </c>
    </row>
    <row r="121" spans="8:21" ht="12.75">
      <c r="H121" s="55">
        <v>89.12509381337432</v>
      </c>
      <c r="I121" s="65">
        <f t="shared" si="30"/>
        <v>3.4146300054455887</v>
      </c>
      <c r="J121" s="65">
        <f t="shared" si="31"/>
        <v>-88.69716219319447</v>
      </c>
      <c r="K121" s="66">
        <f t="shared" si="32"/>
        <v>14.719922768142144</v>
      </c>
      <c r="L121" s="66">
        <f t="shared" si="33"/>
        <v>-88.69716219319447</v>
      </c>
      <c r="M121" s="65">
        <f t="shared" si="34"/>
        <v>-44.896303404288105</v>
      </c>
      <c r="N121" s="65">
        <f t="shared" si="35"/>
        <v>106.50562776984466</v>
      </c>
      <c r="O121" s="67">
        <f t="shared" si="24"/>
        <v>-41.48167339884252</v>
      </c>
      <c r="P121" s="67">
        <f t="shared" si="25"/>
        <v>17.808465576650192</v>
      </c>
      <c r="Q121" s="68">
        <f t="shared" si="26"/>
        <v>-30.17638063614596</v>
      </c>
      <c r="R121" s="68">
        <f t="shared" si="27"/>
        <v>17.808465576650192</v>
      </c>
      <c r="T121">
        <f t="shared" si="28"/>
        <v>1</v>
      </c>
      <c r="U121">
        <f t="shared" si="29"/>
        <v>1</v>
      </c>
    </row>
    <row r="122" spans="8:21" ht="12.75">
      <c r="H122" s="55">
        <v>99.99999999999977</v>
      </c>
      <c r="I122" s="65">
        <f t="shared" si="30"/>
        <v>2.415124215385177</v>
      </c>
      <c r="J122" s="65">
        <f t="shared" si="31"/>
        <v>-88.84376330961784</v>
      </c>
      <c r="K122" s="66">
        <f t="shared" si="32"/>
        <v>13.720416978081733</v>
      </c>
      <c r="L122" s="66">
        <f t="shared" si="33"/>
        <v>-88.84376330961784</v>
      </c>
      <c r="M122" s="65">
        <f t="shared" si="34"/>
        <v>-45.80160260578025</v>
      </c>
      <c r="N122" s="65">
        <f t="shared" si="35"/>
        <v>104.8385626396586</v>
      </c>
      <c r="O122" s="67">
        <f t="shared" si="24"/>
        <v>-43.38647839039508</v>
      </c>
      <c r="P122" s="67">
        <f t="shared" si="25"/>
        <v>15.994799330040763</v>
      </c>
      <c r="Q122" s="68">
        <f t="shared" si="26"/>
        <v>-32.08118562769852</v>
      </c>
      <c r="R122" s="68">
        <f t="shared" si="27"/>
        <v>15.994799330040763</v>
      </c>
      <c r="T122">
        <f t="shared" si="28"/>
        <v>1</v>
      </c>
      <c r="U122">
        <f t="shared" si="29"/>
        <v>1</v>
      </c>
    </row>
    <row r="123" spans="8:21" ht="12.75">
      <c r="H123" s="55">
        <v>112.20184543019614</v>
      </c>
      <c r="I123" s="65">
        <f t="shared" si="30"/>
        <v>1.4155168203764235</v>
      </c>
      <c r="J123" s="65">
        <f t="shared" si="31"/>
        <v>-88.9744350035749</v>
      </c>
      <c r="K123" s="66">
        <f t="shared" si="32"/>
        <v>12.720809583072977</v>
      </c>
      <c r="L123" s="66">
        <f t="shared" si="33"/>
        <v>-88.9744350035749</v>
      </c>
      <c r="M123" s="65">
        <f t="shared" si="34"/>
        <v>-46.724821137598205</v>
      </c>
      <c r="N123" s="65">
        <f t="shared" si="35"/>
        <v>103.3176642129604</v>
      </c>
      <c r="O123" s="67">
        <f t="shared" si="24"/>
        <v>-45.30930431722178</v>
      </c>
      <c r="P123" s="67">
        <f t="shared" si="25"/>
        <v>14.343229209385498</v>
      </c>
      <c r="Q123" s="68">
        <f t="shared" si="26"/>
        <v>-34.00401155452523</v>
      </c>
      <c r="R123" s="68">
        <f t="shared" si="27"/>
        <v>14.343229209385498</v>
      </c>
      <c r="T123">
        <f t="shared" si="28"/>
        <v>1</v>
      </c>
      <c r="U123">
        <f t="shared" si="29"/>
        <v>1</v>
      </c>
    </row>
    <row r="124" spans="8:21" ht="12.75">
      <c r="H124" s="55">
        <v>125.89254117941643</v>
      </c>
      <c r="I124" s="65">
        <f t="shared" si="30"/>
        <v>0.41582870290098045</v>
      </c>
      <c r="J124" s="65">
        <f t="shared" si="31"/>
        <v>-89.09090569889098</v>
      </c>
      <c r="K124" s="66">
        <f t="shared" si="32"/>
        <v>11.721121465597534</v>
      </c>
      <c r="L124" s="66">
        <f t="shared" si="33"/>
        <v>-89.09090569889098</v>
      </c>
      <c r="M124" s="65">
        <f t="shared" si="34"/>
        <v>-47.66281185231767</v>
      </c>
      <c r="N124" s="65">
        <f t="shared" si="35"/>
        <v>101.93636942343335</v>
      </c>
      <c r="O124" s="67">
        <f t="shared" si="24"/>
        <v>-47.246983149416685</v>
      </c>
      <c r="P124" s="67">
        <f t="shared" si="25"/>
        <v>12.84546372454237</v>
      </c>
      <c r="Q124" s="68">
        <f t="shared" si="26"/>
        <v>-35.94169038672013</v>
      </c>
      <c r="R124" s="68">
        <f t="shared" si="27"/>
        <v>12.84546372454237</v>
      </c>
      <c r="T124">
        <f t="shared" si="28"/>
        <v>1</v>
      </c>
      <c r="U124">
        <f t="shared" si="29"/>
        <v>1</v>
      </c>
    </row>
    <row r="125" spans="8:21" ht="12.75">
      <c r="H125" s="55">
        <v>141.25375446227503</v>
      </c>
      <c r="I125" s="65">
        <f t="shared" si="30"/>
        <v>-0.5839235440415065</v>
      </c>
      <c r="J125" s="65">
        <f t="shared" si="31"/>
        <v>-89.19471698906528</v>
      </c>
      <c r="K125" s="66">
        <f t="shared" si="32"/>
        <v>10.72136921865505</v>
      </c>
      <c r="L125" s="66">
        <f t="shared" si="33"/>
        <v>-89.19471698906528</v>
      </c>
      <c r="M125" s="65">
        <f t="shared" si="34"/>
        <v>-48.612893523256616</v>
      </c>
      <c r="N125" s="65">
        <f t="shared" si="35"/>
        <v>100.68648203615773</v>
      </c>
      <c r="O125" s="67">
        <f t="shared" si="24"/>
        <v>-49.19681706729812</v>
      </c>
      <c r="P125" s="67">
        <f t="shared" si="25"/>
        <v>11.491765047092443</v>
      </c>
      <c r="Q125" s="68">
        <f t="shared" si="26"/>
        <v>-37.89152430460157</v>
      </c>
      <c r="R125" s="68">
        <f t="shared" si="27"/>
        <v>11.491765047092443</v>
      </c>
      <c r="T125">
        <f t="shared" si="28"/>
        <v>1</v>
      </c>
      <c r="U125">
        <f t="shared" si="29"/>
        <v>1</v>
      </c>
    </row>
    <row r="126" spans="8:21" ht="12.75">
      <c r="H126" s="55">
        <v>158.48931924611082</v>
      </c>
      <c r="I126" s="65">
        <f t="shared" si="30"/>
        <v>-1.5837267367199592</v>
      </c>
      <c r="J126" s="65">
        <f t="shared" si="31"/>
        <v>-89.28724362399348</v>
      </c>
      <c r="K126" s="66">
        <f t="shared" si="32"/>
        <v>9.721566025976596</v>
      </c>
      <c r="L126" s="66">
        <f t="shared" si="33"/>
        <v>-89.28724362399348</v>
      </c>
      <c r="M126" s="65">
        <f t="shared" si="34"/>
        <v>-49.57281385059924</v>
      </c>
      <c r="N126" s="65">
        <f t="shared" si="35"/>
        <v>99.55888391365085</v>
      </c>
      <c r="O126" s="67">
        <f t="shared" si="24"/>
        <v>-51.1565405873192</v>
      </c>
      <c r="P126" s="67">
        <f t="shared" si="25"/>
        <v>10.27164028965737</v>
      </c>
      <c r="Q126" s="68">
        <f t="shared" si="26"/>
        <v>-39.85124782462265</v>
      </c>
      <c r="R126" s="68">
        <f t="shared" si="27"/>
        <v>10.27164028965737</v>
      </c>
      <c r="T126">
        <f t="shared" si="28"/>
        <v>1</v>
      </c>
      <c r="U126">
        <f t="shared" si="29"/>
        <v>1</v>
      </c>
    </row>
    <row r="127" spans="8:21" ht="12.75">
      <c r="H127" s="55">
        <v>177.82794100389162</v>
      </c>
      <c r="I127" s="65">
        <f t="shared" si="30"/>
        <v>-2.583570400751606</v>
      </c>
      <c r="J127" s="65">
        <f t="shared" si="31"/>
        <v>-89.36971141964867</v>
      </c>
      <c r="K127" s="66">
        <f t="shared" si="32"/>
        <v>8.72172236194495</v>
      </c>
      <c r="L127" s="66">
        <f t="shared" si="33"/>
        <v>-89.36971141964867</v>
      </c>
      <c r="M127" s="65">
        <f t="shared" si="34"/>
        <v>-50.540702092307995</v>
      </c>
      <c r="N127" s="65">
        <f t="shared" si="35"/>
        <v>98.54407222338968</v>
      </c>
      <c r="O127" s="67">
        <f t="shared" si="24"/>
        <v>-53.1242724930596</v>
      </c>
      <c r="P127" s="67">
        <f t="shared" si="25"/>
        <v>9.17436080374101</v>
      </c>
      <c r="Q127" s="68">
        <f t="shared" si="26"/>
        <v>-41.81897973036305</v>
      </c>
      <c r="R127" s="68">
        <f t="shared" si="27"/>
        <v>9.17436080374101</v>
      </c>
      <c r="T127">
        <f t="shared" si="28"/>
        <v>1</v>
      </c>
      <c r="U127">
        <f t="shared" si="29"/>
        <v>1</v>
      </c>
    </row>
    <row r="128" spans="8:21" ht="12.75">
      <c r="H128" s="55">
        <v>199.5262314968871</v>
      </c>
      <c r="I128" s="65">
        <f t="shared" si="30"/>
        <v>-3.58344621466715</v>
      </c>
      <c r="J128" s="65">
        <f t="shared" si="31"/>
        <v>-89.44321328847896</v>
      </c>
      <c r="K128" s="66">
        <f t="shared" si="32"/>
        <v>7.721846548029405</v>
      </c>
      <c r="L128" s="66">
        <f t="shared" si="33"/>
        <v>-89.44321328847896</v>
      </c>
      <c r="M128" s="65">
        <f t="shared" si="34"/>
        <v>-51.51501840758755</v>
      </c>
      <c r="N128" s="65">
        <f t="shared" si="35"/>
        <v>97.63254761192533</v>
      </c>
      <c r="O128" s="67">
        <f t="shared" si="24"/>
        <v>-55.098464622254696</v>
      </c>
      <c r="P128" s="67">
        <f t="shared" si="25"/>
        <v>8.189334323446374</v>
      </c>
      <c r="Q128" s="68">
        <f t="shared" si="26"/>
        <v>-43.79317185955814</v>
      </c>
      <c r="R128" s="68">
        <f t="shared" si="27"/>
        <v>8.189334323446374</v>
      </c>
      <c r="T128">
        <f t="shared" si="28"/>
        <v>1</v>
      </c>
      <c r="U128">
        <f t="shared" si="29"/>
        <v>1</v>
      </c>
    </row>
    <row r="129" spans="8:21" ht="12.75">
      <c r="H129" s="55">
        <v>223.87211385683293</v>
      </c>
      <c r="I129" s="65">
        <f t="shared" si="30"/>
        <v>-4.583347567623186</v>
      </c>
      <c r="J129" s="65">
        <f t="shared" si="31"/>
        <v>-89.50872357495693</v>
      </c>
      <c r="K129" s="66">
        <f t="shared" si="32"/>
        <v>6.721945195073369</v>
      </c>
      <c r="L129" s="66">
        <f t="shared" si="33"/>
        <v>-89.50872357495693</v>
      </c>
      <c r="M129" s="65">
        <f t="shared" si="34"/>
        <v>-52.49450445452901</v>
      </c>
      <c r="N129" s="65">
        <f t="shared" si="35"/>
        <v>96.81508166696455</v>
      </c>
      <c r="O129" s="67">
        <f t="shared" si="24"/>
        <v>-57.07785202215219</v>
      </c>
      <c r="P129" s="67">
        <f t="shared" si="25"/>
        <v>7.306358092007613</v>
      </c>
      <c r="Q129" s="68">
        <f t="shared" si="26"/>
        <v>-45.77255925945564</v>
      </c>
      <c r="R129" s="68">
        <f t="shared" si="27"/>
        <v>7.306358092007613</v>
      </c>
      <c r="T129">
        <f t="shared" si="28"/>
        <v>1</v>
      </c>
      <c r="U129">
        <f t="shared" si="29"/>
        <v>1</v>
      </c>
    </row>
    <row r="130" spans="8:21" ht="12.75">
      <c r="H130" s="55">
        <v>251.18864315095672</v>
      </c>
      <c r="I130" s="65">
        <f t="shared" si="30"/>
        <v>-5.583269207894041</v>
      </c>
      <c r="J130" s="65">
        <f t="shared" si="31"/>
        <v>-89.56711086646699</v>
      </c>
      <c r="K130" s="66">
        <f t="shared" si="32"/>
        <v>5.722023554802513</v>
      </c>
      <c r="L130" s="66">
        <f t="shared" si="33"/>
        <v>-89.56711086646699</v>
      </c>
      <c r="M130" s="65">
        <f t="shared" si="34"/>
        <v>-53.478137849341074</v>
      </c>
      <c r="N130" s="65">
        <f t="shared" si="35"/>
        <v>96.08289069879208</v>
      </c>
      <c r="O130" s="67">
        <f t="shared" si="24"/>
        <v>-59.061407057235115</v>
      </c>
      <c r="P130" s="67">
        <f t="shared" si="25"/>
        <v>6.515779832325094</v>
      </c>
      <c r="Q130" s="68">
        <f t="shared" si="26"/>
        <v>-47.75611429453856</v>
      </c>
      <c r="R130" s="68">
        <f t="shared" si="27"/>
        <v>6.515779832325094</v>
      </c>
      <c r="T130">
        <f t="shared" si="28"/>
        <v>1</v>
      </c>
      <c r="U130">
        <f t="shared" si="29"/>
        <v>1</v>
      </c>
    </row>
    <row r="131" spans="8:21" ht="12.75">
      <c r="H131" s="55">
        <v>281.83829312644406</v>
      </c>
      <c r="I131" s="65">
        <f t="shared" si="30"/>
        <v>-6.583206963541144</v>
      </c>
      <c r="J131" s="65">
        <f t="shared" si="31"/>
        <v>-89.61914943532511</v>
      </c>
      <c r="K131" s="66">
        <f t="shared" si="32"/>
        <v>4.722085799155412</v>
      </c>
      <c r="L131" s="66">
        <f t="shared" si="33"/>
        <v>-89.61914943532511</v>
      </c>
      <c r="M131" s="65">
        <f t="shared" si="34"/>
        <v>-54.46509173954824</v>
      </c>
      <c r="N131" s="65">
        <f t="shared" si="35"/>
        <v>95.42773935315635</v>
      </c>
      <c r="O131" s="67">
        <f t="shared" si="24"/>
        <v>-61.04829870308939</v>
      </c>
      <c r="P131" s="67">
        <f t="shared" si="25"/>
        <v>5.808589917831242</v>
      </c>
      <c r="Q131" s="68">
        <f t="shared" si="26"/>
        <v>-49.743005940392834</v>
      </c>
      <c r="R131" s="68">
        <f t="shared" si="27"/>
        <v>5.808589917831242</v>
      </c>
      <c r="T131">
        <f t="shared" si="28"/>
        <v>1</v>
      </c>
      <c r="U131">
        <f t="shared" si="29"/>
        <v>1</v>
      </c>
    </row>
    <row r="132" spans="8:21" ht="12.75">
      <c r="H132" s="55">
        <v>316.22776601683626</v>
      </c>
      <c r="I132" s="65">
        <f t="shared" si="30"/>
        <v>-7.583157520458416</v>
      </c>
      <c r="J132" s="65">
        <f t="shared" si="31"/>
        <v>-89.66552945370226</v>
      </c>
      <c r="K132" s="66">
        <f t="shared" si="32"/>
        <v>3.7221352422381395</v>
      </c>
      <c r="L132" s="66">
        <f t="shared" si="33"/>
        <v>-89.66552945370226</v>
      </c>
      <c r="M132" s="65">
        <f t="shared" si="34"/>
        <v>-55.454699861246084</v>
      </c>
      <c r="N132" s="65">
        <f t="shared" si="35"/>
        <v>94.84199331927536</v>
      </c>
      <c r="O132" s="67">
        <f t="shared" si="24"/>
        <v>-63.0378573817045</v>
      </c>
      <c r="P132" s="67">
        <f t="shared" si="25"/>
        <v>5.176463865573098</v>
      </c>
      <c r="Q132" s="68">
        <f t="shared" si="26"/>
        <v>-51.732564619007945</v>
      </c>
      <c r="R132" s="68">
        <f t="shared" si="27"/>
        <v>5.176463865573098</v>
      </c>
      <c r="T132">
        <f t="shared" si="28"/>
        <v>1</v>
      </c>
      <c r="U132">
        <f t="shared" si="29"/>
        <v>1</v>
      </c>
    </row>
    <row r="133" spans="8:21" ht="12.75">
      <c r="H133" s="55">
        <v>354.81338923357345</v>
      </c>
      <c r="I133" s="65">
        <f t="shared" si="30"/>
        <v>-8.58311824602065</v>
      </c>
      <c r="J133" s="65">
        <f t="shared" si="31"/>
        <v>-89.7068661098738</v>
      </c>
      <c r="K133" s="66">
        <f t="shared" si="32"/>
        <v>2.7221745166759064</v>
      </c>
      <c r="L133" s="66">
        <f t="shared" si="33"/>
        <v>-89.7068661098738</v>
      </c>
      <c r="M133" s="65">
        <f t="shared" si="34"/>
        <v>-56.44642691979625</v>
      </c>
      <c r="N133" s="65">
        <f t="shared" si="35"/>
        <v>94.31863625969052</v>
      </c>
      <c r="O133" s="67">
        <f t="shared" si="24"/>
        <v>-65.0295451658169</v>
      </c>
      <c r="P133" s="67">
        <f t="shared" si="25"/>
        <v>4.611770149816721</v>
      </c>
      <c r="Q133" s="68">
        <f t="shared" si="26"/>
        <v>-53.724252403120346</v>
      </c>
      <c r="R133" s="68">
        <f t="shared" si="27"/>
        <v>4.611770149816721</v>
      </c>
      <c r="T133">
        <f t="shared" si="28"/>
        <v>1</v>
      </c>
      <c r="U133">
        <f t="shared" si="29"/>
        <v>1</v>
      </c>
    </row>
    <row r="134" spans="8:21" ht="12.75">
      <c r="H134" s="55">
        <v>398.10717055349477</v>
      </c>
      <c r="I134" s="65">
        <f t="shared" si="30"/>
        <v>-9.583087048972713</v>
      </c>
      <c r="J134" s="65">
        <f t="shared" si="31"/>
        <v>-89.74370774171646</v>
      </c>
      <c r="K134" s="66">
        <f t="shared" si="32"/>
        <v>1.7222057137238416</v>
      </c>
      <c r="L134" s="66">
        <f t="shared" si="33"/>
        <v>-89.74370774171646</v>
      </c>
      <c r="M134" s="65">
        <f t="shared" si="34"/>
        <v>-57.43984384655257</v>
      </c>
      <c r="N134" s="65">
        <f t="shared" si="35"/>
        <v>93.85126246153703</v>
      </c>
      <c r="O134" s="67">
        <f t="shared" si="24"/>
        <v>-67.02293089552528</v>
      </c>
      <c r="P134" s="67">
        <f t="shared" si="25"/>
        <v>4.10755471982057</v>
      </c>
      <c r="Q134" s="68">
        <f t="shared" si="26"/>
        <v>-55.717638132828725</v>
      </c>
      <c r="R134" s="68">
        <f t="shared" si="27"/>
        <v>4.10755471982057</v>
      </c>
      <c r="T134">
        <f t="shared" si="28"/>
        <v>1</v>
      </c>
      <c r="U134">
        <f t="shared" si="29"/>
        <v>1</v>
      </c>
    </row>
    <row r="135" spans="8:21" ht="12.75">
      <c r="H135" s="55">
        <v>446.6835921509601</v>
      </c>
      <c r="I135" s="65">
        <f t="shared" si="30"/>
        <v>-10.583062268116993</v>
      </c>
      <c r="J135" s="65">
        <f t="shared" si="31"/>
        <v>-89.77654309180687</v>
      </c>
      <c r="K135" s="66">
        <f t="shared" si="32"/>
        <v>0.7222304945795606</v>
      </c>
      <c r="L135" s="66">
        <f t="shared" si="33"/>
        <v>-89.77654309180687</v>
      </c>
      <c r="M135" s="65">
        <f t="shared" si="34"/>
        <v>-58.434607356734865</v>
      </c>
      <c r="N135" s="65">
        <f t="shared" si="35"/>
        <v>93.43405372336933</v>
      </c>
      <c r="O135" s="67">
        <f t="shared" si="24"/>
        <v>-69.01766962485186</v>
      </c>
      <c r="P135" s="67">
        <f t="shared" si="25"/>
        <v>3.6575106315624595</v>
      </c>
      <c r="Q135" s="68">
        <f t="shared" si="26"/>
        <v>-57.7123768621553</v>
      </c>
      <c r="R135" s="68">
        <f t="shared" si="27"/>
        <v>3.6575106315624595</v>
      </c>
      <c r="T135">
        <f t="shared" si="28"/>
        <v>1</v>
      </c>
      <c r="U135">
        <f t="shared" si="29"/>
        <v>1</v>
      </c>
    </row>
    <row r="136" spans="8:21" ht="12.75">
      <c r="H136" s="55">
        <v>501.1872336272687</v>
      </c>
      <c r="I136" s="65">
        <f t="shared" si="30"/>
        <v>-11.583042583882847</v>
      </c>
      <c r="J136" s="65">
        <f t="shared" si="31"/>
        <v>-89.80580777786213</v>
      </c>
      <c r="K136" s="66">
        <f t="shared" si="32"/>
        <v>-0.27774982118629116</v>
      </c>
      <c r="L136" s="66">
        <f t="shared" si="33"/>
        <v>-89.80580777786213</v>
      </c>
      <c r="M136" s="65">
        <f t="shared" si="34"/>
        <v>-59.43044320395502</v>
      </c>
      <c r="N136" s="65">
        <f t="shared" si="35"/>
        <v>93.06174663682788</v>
      </c>
      <c r="O136" s="67">
        <f t="shared" si="24"/>
        <v>-71.01348578783787</v>
      </c>
      <c r="P136" s="67">
        <f t="shared" si="25"/>
        <v>3.2559388589657488</v>
      </c>
      <c r="Q136" s="68">
        <f t="shared" si="26"/>
        <v>-59.70819302514131</v>
      </c>
      <c r="R136" s="68">
        <f t="shared" si="27"/>
        <v>3.2559388589657488</v>
      </c>
      <c r="T136">
        <f t="shared" si="28"/>
        <v>1</v>
      </c>
      <c r="U136">
        <f t="shared" si="29"/>
        <v>1</v>
      </c>
    </row>
    <row r="137" spans="8:21" ht="12.75">
      <c r="H137" s="55">
        <v>562.3413251903448</v>
      </c>
      <c r="I137" s="65">
        <f t="shared" si="30"/>
        <v>-12.583026948076304</v>
      </c>
      <c r="J137" s="65">
        <f t="shared" si="31"/>
        <v>-89.83189006259006</v>
      </c>
      <c r="K137" s="66">
        <f t="shared" si="32"/>
        <v>-1.2777341853797468</v>
      </c>
      <c r="L137" s="66">
        <f t="shared" si="33"/>
        <v>-89.83189006259006</v>
      </c>
      <c r="M137" s="65">
        <f t="shared" si="34"/>
        <v>-60.42713255304796</v>
      </c>
      <c r="N137" s="65">
        <f t="shared" si="35"/>
        <v>92.72959462138269</v>
      </c>
      <c r="O137" s="67">
        <f t="shared" si="24"/>
        <v>-73.01015950112426</v>
      </c>
      <c r="P137" s="67">
        <f t="shared" si="25"/>
        <v>2.8977045587926256</v>
      </c>
      <c r="Q137" s="68">
        <f t="shared" si="26"/>
        <v>-61.70486673842771</v>
      </c>
      <c r="R137" s="68">
        <f t="shared" si="27"/>
        <v>2.8977045587926256</v>
      </c>
      <c r="T137">
        <f t="shared" si="28"/>
        <v>1</v>
      </c>
      <c r="U137">
        <f t="shared" si="29"/>
        <v>1</v>
      </c>
    </row>
    <row r="138" spans="8:21" ht="12.75">
      <c r="H138" s="55">
        <v>630.9573444801881</v>
      </c>
      <c r="I138" s="65">
        <f t="shared" si="30"/>
        <v>-13.583014528073573</v>
      </c>
      <c r="J138" s="65">
        <f t="shared" si="31"/>
        <v>-89.85513599824283</v>
      </c>
      <c r="K138" s="66">
        <f t="shared" si="32"/>
        <v>-2.2777217653770188</v>
      </c>
      <c r="L138" s="66">
        <f t="shared" si="33"/>
        <v>-89.85513599824283</v>
      </c>
      <c r="M138" s="65">
        <f t="shared" si="34"/>
        <v>-61.42450094732666</v>
      </c>
      <c r="N138" s="65">
        <f t="shared" si="35"/>
        <v>92.4333277251863</v>
      </c>
      <c r="O138" s="67">
        <f t="shared" si="24"/>
        <v>-75.00751547540024</v>
      </c>
      <c r="P138" s="67">
        <f t="shared" si="25"/>
        <v>2.578191726943473</v>
      </c>
      <c r="Q138" s="68">
        <f t="shared" si="26"/>
        <v>-63.70222271270368</v>
      </c>
      <c r="R138" s="68">
        <f t="shared" si="27"/>
        <v>2.578191726943473</v>
      </c>
      <c r="T138">
        <f t="shared" si="28"/>
        <v>1</v>
      </c>
      <c r="U138">
        <f t="shared" si="29"/>
        <v>1</v>
      </c>
    </row>
    <row r="139" spans="8:21" ht="12.75">
      <c r="H139" s="55">
        <v>707.9457843841318</v>
      </c>
      <c r="I139" s="65">
        <f t="shared" si="30"/>
        <v>-14.583004662489419</v>
      </c>
      <c r="J139" s="65">
        <f t="shared" si="31"/>
        <v>-89.87585401324101</v>
      </c>
      <c r="K139" s="66">
        <f t="shared" si="32"/>
        <v>-3.2777118997928616</v>
      </c>
      <c r="L139" s="66">
        <f t="shared" si="33"/>
        <v>-89.87585401324101</v>
      </c>
      <c r="M139" s="65">
        <f t="shared" si="34"/>
        <v>-62.42240941213598</v>
      </c>
      <c r="N139" s="65">
        <f t="shared" si="35"/>
        <v>92.16911221957785</v>
      </c>
      <c r="O139" s="67">
        <f t="shared" si="24"/>
        <v>-77.00541407462539</v>
      </c>
      <c r="P139" s="67">
        <f t="shared" si="25"/>
        <v>2.2932582063368443</v>
      </c>
      <c r="Q139" s="68">
        <f t="shared" si="26"/>
        <v>-65.70012131192884</v>
      </c>
      <c r="R139" s="68">
        <f t="shared" si="27"/>
        <v>2.2932582063368443</v>
      </c>
      <c r="T139">
        <f t="shared" si="28"/>
        <v>1</v>
      </c>
      <c r="U139">
        <f t="shared" si="29"/>
        <v>1</v>
      </c>
    </row>
    <row r="140" spans="8:21" ht="12.75">
      <c r="H140" s="55">
        <v>794.3282347242744</v>
      </c>
      <c r="I140" s="65">
        <f t="shared" si="30"/>
        <v>-15.582996825961398</v>
      </c>
      <c r="J140" s="65">
        <f t="shared" si="31"/>
        <v>-89.8943190010939</v>
      </c>
      <c r="K140" s="66">
        <f t="shared" si="32"/>
        <v>-4.277704063264843</v>
      </c>
      <c r="L140" s="66">
        <f t="shared" si="33"/>
        <v>-89.8943190010939</v>
      </c>
      <c r="M140" s="65">
        <f t="shared" si="34"/>
        <v>-63.420747303640965</v>
      </c>
      <c r="N140" s="65">
        <f t="shared" si="35"/>
        <v>91.933511304844</v>
      </c>
      <c r="O140" s="67">
        <f t="shared" si="24"/>
        <v>-79.00374412960237</v>
      </c>
      <c r="P140" s="67">
        <f t="shared" si="25"/>
        <v>2.0391923037500987</v>
      </c>
      <c r="Q140" s="68">
        <f t="shared" si="26"/>
        <v>-67.69845136690581</v>
      </c>
      <c r="R140" s="68">
        <f t="shared" si="27"/>
        <v>2.0391923037500987</v>
      </c>
      <c r="T140">
        <f t="shared" si="28"/>
        <v>1</v>
      </c>
      <c r="U140">
        <f t="shared" si="29"/>
        <v>1</v>
      </c>
    </row>
    <row r="141" spans="8:21" ht="12.75">
      <c r="H141" s="55">
        <v>891.250938133737</v>
      </c>
      <c r="I141" s="65">
        <f t="shared" si="30"/>
        <v>-16.582990601175855</v>
      </c>
      <c r="J141" s="65">
        <f t="shared" si="31"/>
        <v>-89.91077596542354</v>
      </c>
      <c r="K141" s="66">
        <f t="shared" si="32"/>
        <v>-5.277697838479298</v>
      </c>
      <c r="L141" s="66">
        <f t="shared" si="33"/>
        <v>-89.91077596542354</v>
      </c>
      <c r="M141" s="65">
        <f t="shared" si="34"/>
        <v>-64.41942657473642</v>
      </c>
      <c r="N141" s="65">
        <f t="shared" si="35"/>
        <v>91.72344774140552</v>
      </c>
      <c r="O141" s="67">
        <f t="shared" si="24"/>
        <v>-81.00241717591227</v>
      </c>
      <c r="P141" s="67">
        <f t="shared" si="25"/>
        <v>1.8126717759819826</v>
      </c>
      <c r="Q141" s="68">
        <f t="shared" si="26"/>
        <v>-69.69712441321572</v>
      </c>
      <c r="R141" s="68">
        <f t="shared" si="27"/>
        <v>1.8126717759819826</v>
      </c>
      <c r="T141">
        <f t="shared" si="28"/>
        <v>1</v>
      </c>
      <c r="U141">
        <f t="shared" si="29"/>
        <v>1</v>
      </c>
    </row>
    <row r="142" spans="8:21" ht="12.75">
      <c r="H142" s="55">
        <v>999.99999999999</v>
      </c>
      <c r="I142" s="65">
        <f t="shared" si="30"/>
        <v>-17.582985656646578</v>
      </c>
      <c r="J142" s="65">
        <f t="shared" si="31"/>
        <v>-89.9254432691406</v>
      </c>
      <c r="K142" s="66">
        <f t="shared" si="32"/>
        <v>-6.277692893950024</v>
      </c>
      <c r="L142" s="66">
        <f t="shared" si="33"/>
        <v>-89.9254432691406</v>
      </c>
      <c r="M142" s="65">
        <f t="shared" si="34"/>
        <v>-65.41837718624679</v>
      </c>
      <c r="N142" s="65">
        <f t="shared" si="35"/>
        <v>91.53616886928049</v>
      </c>
      <c r="O142" s="67">
        <f t="shared" si="24"/>
        <v>-83.00136284289337</v>
      </c>
      <c r="P142" s="67">
        <f t="shared" si="25"/>
        <v>1.6107256001398866</v>
      </c>
      <c r="Q142" s="68">
        <f t="shared" si="26"/>
        <v>-71.6960700801968</v>
      </c>
      <c r="R142" s="68">
        <f t="shared" si="27"/>
        <v>1.6107256001398866</v>
      </c>
      <c r="T142">
        <f t="shared" si="28"/>
        <v>1</v>
      </c>
      <c r="U142">
        <f t="shared" si="29"/>
        <v>1</v>
      </c>
    </row>
    <row r="143" spans="8:21" ht="12.75">
      <c r="H143" s="55">
        <v>1122.0184543019527</v>
      </c>
      <c r="I143" s="65">
        <f t="shared" si="30"/>
        <v>-18.58298172906337</v>
      </c>
      <c r="J143" s="65">
        <f t="shared" si="31"/>
        <v>-89.93851553066153</v>
      </c>
      <c r="K143" s="66">
        <f t="shared" si="32"/>
        <v>-7.277688966366814</v>
      </c>
      <c r="L143" s="66">
        <f t="shared" si="33"/>
        <v>-89.93851553066153</v>
      </c>
      <c r="M143" s="65">
        <f t="shared" si="34"/>
        <v>-66.41754344033804</v>
      </c>
      <c r="N143" s="65">
        <f t="shared" si="35"/>
        <v>91.36921423785081</v>
      </c>
      <c r="O143" s="67">
        <f t="shared" si="24"/>
        <v>-85.00052516940141</v>
      </c>
      <c r="P143" s="67">
        <f t="shared" si="25"/>
        <v>1.4306987071892792</v>
      </c>
      <c r="Q143" s="68">
        <f t="shared" si="26"/>
        <v>-73.69523240670485</v>
      </c>
      <c r="R143" s="68">
        <f t="shared" si="27"/>
        <v>1.4306987071892792</v>
      </c>
      <c r="T143">
        <f t="shared" si="28"/>
        <v>1</v>
      </c>
      <c r="U143">
        <f t="shared" si="29"/>
        <v>1</v>
      </c>
    </row>
    <row r="144" spans="8:21" ht="12.75">
      <c r="H144" s="55">
        <v>1258.9254117941546</v>
      </c>
      <c r="I144" s="65">
        <f t="shared" si="30"/>
        <v>-19.582978609270587</v>
      </c>
      <c r="J144" s="65">
        <f t="shared" si="31"/>
        <v>-89.9501662054377</v>
      </c>
      <c r="K144" s="66">
        <f t="shared" si="32"/>
        <v>-8.27768584657403</v>
      </c>
      <c r="L144" s="66">
        <f t="shared" si="33"/>
        <v>-89.9501662054377</v>
      </c>
      <c r="M144" s="65">
        <f t="shared" si="34"/>
        <v>-67.41688105438473</v>
      </c>
      <c r="N144" s="65">
        <f t="shared" si="35"/>
        <v>91.22038590642488</v>
      </c>
      <c r="O144" s="67">
        <f t="shared" si="24"/>
        <v>-86.99985966365531</v>
      </c>
      <c r="P144" s="67">
        <f t="shared" si="25"/>
        <v>1.2702197009871838</v>
      </c>
      <c r="Q144" s="68">
        <f t="shared" si="26"/>
        <v>-75.69456690095876</v>
      </c>
      <c r="R144" s="68">
        <f t="shared" si="27"/>
        <v>1.2702197009871838</v>
      </c>
      <c r="T144">
        <f t="shared" si="28"/>
        <v>1</v>
      </c>
      <c r="U144">
        <f t="shared" si="29"/>
        <v>1</v>
      </c>
    </row>
    <row r="145" spans="8:21" ht="12.75">
      <c r="H145" s="55">
        <v>1412.5375446227395</v>
      </c>
      <c r="I145" s="65">
        <f t="shared" si="30"/>
        <v>-20.5829761311295</v>
      </c>
      <c r="J145" s="65">
        <f t="shared" si="31"/>
        <v>-89.96054988693926</v>
      </c>
      <c r="K145" s="66">
        <f t="shared" si="32"/>
        <v>-9.277683368432943</v>
      </c>
      <c r="L145" s="66">
        <f t="shared" si="33"/>
        <v>-89.96054988693926</v>
      </c>
      <c r="M145" s="65">
        <f t="shared" si="34"/>
        <v>-68.41635482801965</v>
      </c>
      <c r="N145" s="65">
        <f t="shared" si="35"/>
        <v>91.08772137080904</v>
      </c>
      <c r="O145" s="67">
        <f t="shared" si="24"/>
        <v>-88.99933095914915</v>
      </c>
      <c r="P145" s="67">
        <f t="shared" si="25"/>
        <v>1.1271714838697733</v>
      </c>
      <c r="Q145" s="68">
        <f t="shared" si="26"/>
        <v>-77.6940381964526</v>
      </c>
      <c r="R145" s="68">
        <f t="shared" si="27"/>
        <v>1.1271714838697733</v>
      </c>
      <c r="T145">
        <f t="shared" si="28"/>
        <v>1</v>
      </c>
      <c r="U145">
        <f t="shared" si="29"/>
        <v>1</v>
      </c>
    </row>
    <row r="146" spans="8:21" ht="12.75">
      <c r="H146" s="55">
        <v>1584.893192461096</v>
      </c>
      <c r="I146" s="65">
        <f t="shared" si="30"/>
        <v>-21.582974162671054</v>
      </c>
      <c r="J146" s="65">
        <f t="shared" si="31"/>
        <v>-89.96980435754608</v>
      </c>
      <c r="K146" s="66">
        <f t="shared" si="32"/>
        <v>-10.2776813999745</v>
      </c>
      <c r="L146" s="66">
        <f t="shared" si="33"/>
        <v>-89.96980435754608</v>
      </c>
      <c r="M146" s="65">
        <f t="shared" si="34"/>
        <v>-69.41593678454186</v>
      </c>
      <c r="N146" s="65">
        <f t="shared" si="35"/>
        <v>90.96946900528121</v>
      </c>
      <c r="O146" s="67">
        <f t="shared" si="24"/>
        <v>-90.9989109472129</v>
      </c>
      <c r="P146" s="67">
        <f t="shared" si="25"/>
        <v>0.9996646477351305</v>
      </c>
      <c r="Q146" s="68">
        <f t="shared" si="26"/>
        <v>-79.69361818451635</v>
      </c>
      <c r="R146" s="68">
        <f t="shared" si="27"/>
        <v>0.9996646477351305</v>
      </c>
      <c r="T146">
        <f t="shared" si="28"/>
        <v>1</v>
      </c>
      <c r="U146">
        <f t="shared" si="29"/>
        <v>1</v>
      </c>
    </row>
    <row r="147" spans="8:21" ht="12.75">
      <c r="H147" s="55">
        <v>1778.2794100389024</v>
      </c>
      <c r="I147" s="65">
        <f t="shared" si="30"/>
        <v>-22.582972599068295</v>
      </c>
      <c r="J147" s="65">
        <f t="shared" si="31"/>
        <v>-89.978052416503</v>
      </c>
      <c r="K147" s="66">
        <f t="shared" si="32"/>
        <v>-11.277679836371739</v>
      </c>
      <c r="L147" s="66">
        <f t="shared" si="33"/>
        <v>-89.978052416503</v>
      </c>
      <c r="M147" s="65">
        <f t="shared" si="34"/>
        <v>-70.4156046911317</v>
      </c>
      <c r="N147" s="65">
        <f t="shared" si="35"/>
        <v>90.86406587088486</v>
      </c>
      <c r="O147" s="67">
        <f t="shared" si="24"/>
        <v>-92.9985772902</v>
      </c>
      <c r="P147" s="67">
        <f t="shared" si="25"/>
        <v>0.8860134543818532</v>
      </c>
      <c r="Q147" s="68">
        <f t="shared" si="26"/>
        <v>-81.69328452750344</v>
      </c>
      <c r="R147" s="68">
        <f t="shared" si="27"/>
        <v>0.8860134543818532</v>
      </c>
      <c r="T147">
        <f t="shared" si="28"/>
        <v>1</v>
      </c>
      <c r="U147">
        <f t="shared" si="29"/>
        <v>1</v>
      </c>
    </row>
    <row r="148" spans="8:21" ht="12.75">
      <c r="H148" s="55">
        <v>1995.2623149688557</v>
      </c>
      <c r="I148" s="65">
        <f t="shared" si="30"/>
        <v>-23.58297135705407</v>
      </c>
      <c r="J148" s="65">
        <f t="shared" si="31"/>
        <v>-89.98540350915539</v>
      </c>
      <c r="K148" s="66">
        <f t="shared" si="32"/>
        <v>-12.277678594357518</v>
      </c>
      <c r="L148" s="66">
        <f t="shared" si="33"/>
        <v>-89.98540350915539</v>
      </c>
      <c r="M148" s="65">
        <f t="shared" si="34"/>
        <v>-71.4153408812345</v>
      </c>
      <c r="N148" s="65">
        <f t="shared" si="35"/>
        <v>90.77011772115839</v>
      </c>
      <c r="O148" s="67">
        <f t="shared" si="24"/>
        <v>-94.99831223828858</v>
      </c>
      <c r="P148" s="67">
        <f t="shared" si="25"/>
        <v>0.7847142120029957</v>
      </c>
      <c r="Q148" s="68">
        <f t="shared" si="26"/>
        <v>-83.69301947559202</v>
      </c>
      <c r="R148" s="68">
        <f t="shared" si="27"/>
        <v>0.7847142120029957</v>
      </c>
      <c r="T148">
        <f t="shared" si="28"/>
        <v>1</v>
      </c>
      <c r="U148">
        <f t="shared" si="29"/>
        <v>1</v>
      </c>
    </row>
    <row r="149" spans="8:21" ht="12.75">
      <c r="H149" s="55">
        <v>2238.7211385683117</v>
      </c>
      <c r="I149" s="65">
        <f t="shared" si="30"/>
        <v>-24.582970370486855</v>
      </c>
      <c r="J149" s="65">
        <f t="shared" si="31"/>
        <v>-89.99195517905542</v>
      </c>
      <c r="K149" s="66">
        <f t="shared" si="32"/>
        <v>-13.277677607790299</v>
      </c>
      <c r="L149" s="66">
        <f t="shared" si="33"/>
        <v>-89.99195517905542</v>
      </c>
      <c r="M149" s="65">
        <f t="shared" si="34"/>
        <v>-72.41513131776841</v>
      </c>
      <c r="N149" s="65">
        <f t="shared" si="35"/>
        <v>90.68638102913924</v>
      </c>
      <c r="O149" s="67">
        <f t="shared" si="24"/>
        <v>-96.99810168825528</v>
      </c>
      <c r="P149" s="67">
        <f t="shared" si="25"/>
        <v>0.6944258500838174</v>
      </c>
      <c r="Q149" s="68">
        <f t="shared" si="26"/>
        <v>-85.69280892555871</v>
      </c>
      <c r="R149" s="68">
        <f t="shared" si="27"/>
        <v>0.6944258500838174</v>
      </c>
      <c r="T149">
        <f t="shared" si="28"/>
        <v>1</v>
      </c>
      <c r="U149">
        <f t="shared" si="29"/>
        <v>1</v>
      </c>
    </row>
    <row r="150" spans="8:21" ht="12.75">
      <c r="H150" s="55">
        <v>2511.8864315095475</v>
      </c>
      <c r="I150" s="65">
        <f aca="true" t="shared" si="36" ref="I150:I181">20*LOG10(_G_0_LL_min/SQRT(1+(H150/f_plant)^2))</f>
        <v>-25.582969586828497</v>
      </c>
      <c r="J150" s="65">
        <f aca="true" t="shared" si="37" ref="J150:J182">-(180/3.14)*ATAN(H150/f_plant)</f>
        <v>-89.99779436218763</v>
      </c>
      <c r="K150" s="66">
        <f aca="true" t="shared" si="38" ref="K150:K182">20*LOG10(G_0_HL_max/SQRT(1+(H150/f_plant)^2))</f>
        <v>-14.277676824131941</v>
      </c>
      <c r="L150" s="66">
        <f aca="true" t="shared" si="39" ref="L150:L182">-(180/3.14)*ATAN(H150/f_plant)</f>
        <v>-89.99779436218763</v>
      </c>
      <c r="M150" s="65">
        <f aca="true" t="shared" si="40" ref="M150:M182">-20*LOG10(H150/f_p_0)+20*LOG10(SQRT(1+(H150/f_z)^2))-20*LOG10(SQRT(1+(H150/f_p)^2))</f>
        <v>-73.41496484813408</v>
      </c>
      <c r="N150" s="65">
        <f aca="true" t="shared" si="41" ref="N150:N182">-90+(180/3.14)*ATAN(H150/f_z)-(180/3.14)*ATAN(H150/f_p)+180</f>
        <v>90.61174686040198</v>
      </c>
      <c r="O150" s="67">
        <f t="shared" si="24"/>
        <v>-98.99793443496257</v>
      </c>
      <c r="P150" s="67">
        <f t="shared" si="25"/>
        <v>0.6139524982143456</v>
      </c>
      <c r="Q150" s="68">
        <f t="shared" si="26"/>
        <v>-87.69264167226602</v>
      </c>
      <c r="R150" s="68">
        <f t="shared" si="27"/>
        <v>0.6139524982143456</v>
      </c>
      <c r="T150">
        <f t="shared" si="28"/>
        <v>1</v>
      </c>
      <c r="U150">
        <f t="shared" si="29"/>
        <v>1</v>
      </c>
    </row>
    <row r="151" spans="8:21" ht="12.75">
      <c r="H151" s="55">
        <v>2818.382931264416</v>
      </c>
      <c r="I151" s="65">
        <f t="shared" si="36"/>
        <v>-26.58296896434644</v>
      </c>
      <c r="J151" s="65">
        <f t="shared" si="37"/>
        <v>-90.00299854047277</v>
      </c>
      <c r="K151" s="66">
        <f t="shared" si="38"/>
        <v>-15.277676201649882</v>
      </c>
      <c r="L151" s="66">
        <f t="shared" si="39"/>
        <v>-90.00299854047277</v>
      </c>
      <c r="M151" s="65">
        <f t="shared" si="40"/>
        <v>-74.41483261189839</v>
      </c>
      <c r="N151" s="65">
        <f t="shared" si="41"/>
        <v>90.54522642298994</v>
      </c>
      <c r="O151" s="67">
        <f aca="true" t="shared" si="42" ref="O151:O182">I151+M151</f>
        <v>-100.99780157624483</v>
      </c>
      <c r="P151" s="67">
        <f aca="true" t="shared" si="43" ref="P151:P182">J151+N151</f>
        <v>0.5422278825171674</v>
      </c>
      <c r="Q151" s="68">
        <f aca="true" t="shared" si="44" ref="Q151:Q182">K151+M151</f>
        <v>-89.69250881354827</v>
      </c>
      <c r="R151" s="68">
        <f aca="true" t="shared" si="45" ref="R151:R182">L151+N151</f>
        <v>0.5422278825171674</v>
      </c>
      <c r="T151">
        <f aca="true" t="shared" si="46" ref="T151:T182">SIGN(O152*O151)</f>
        <v>1</v>
      </c>
      <c r="U151">
        <f aca="true" t="shared" si="47" ref="U151:U182">SIGN(Q152*Q151)</f>
        <v>1</v>
      </c>
    </row>
    <row r="152" spans="8:21" ht="12.75">
      <c r="H152" s="55">
        <v>3162.2776601683354</v>
      </c>
      <c r="I152" s="65">
        <f t="shared" si="36"/>
        <v>-27.582968469891295</v>
      </c>
      <c r="J152" s="65">
        <f t="shared" si="37"/>
        <v>-90.00763676984677</v>
      </c>
      <c r="K152" s="66">
        <f t="shared" si="38"/>
        <v>-16.27767570719474</v>
      </c>
      <c r="L152" s="66">
        <f t="shared" si="39"/>
        <v>-90.00763676984677</v>
      </c>
      <c r="M152" s="65">
        <f t="shared" si="40"/>
        <v>-75.41472756995393</v>
      </c>
      <c r="N152" s="65">
        <f t="shared" si="41"/>
        <v>90.48593813429518</v>
      </c>
      <c r="O152" s="67">
        <f t="shared" si="42"/>
        <v>-102.99769603984522</v>
      </c>
      <c r="P152" s="67">
        <f t="shared" si="43"/>
        <v>0.47830136444841287</v>
      </c>
      <c r="Q152" s="68">
        <f t="shared" si="44"/>
        <v>-91.69240327714866</v>
      </c>
      <c r="R152" s="68">
        <f t="shared" si="45"/>
        <v>0.47830136444841287</v>
      </c>
      <c r="T152">
        <f t="shared" si="46"/>
        <v>1</v>
      </c>
      <c r="U152">
        <f t="shared" si="47"/>
        <v>1</v>
      </c>
    </row>
    <row r="153" spans="8:21" ht="12.75">
      <c r="H153" s="55">
        <v>3548.1338923357034</v>
      </c>
      <c r="I153" s="65">
        <f t="shared" si="36"/>
        <v>-28.582968077131575</v>
      </c>
      <c r="J153" s="65">
        <f t="shared" si="37"/>
        <v>-90.01177059654891</v>
      </c>
      <c r="K153" s="66">
        <f t="shared" si="38"/>
        <v>-17.27767531443502</v>
      </c>
      <c r="L153" s="66">
        <f t="shared" si="39"/>
        <v>-90.01177059654891</v>
      </c>
      <c r="M153" s="65">
        <f t="shared" si="40"/>
        <v>-76.41464413029831</v>
      </c>
      <c r="N153" s="65">
        <f t="shared" si="41"/>
        <v>90.4330960558071</v>
      </c>
      <c r="O153" s="67">
        <f t="shared" si="42"/>
        <v>-104.99761220742988</v>
      </c>
      <c r="P153" s="67">
        <f t="shared" si="43"/>
        <v>0.42132545925818476</v>
      </c>
      <c r="Q153" s="68">
        <f t="shared" si="44"/>
        <v>-93.69231944473333</v>
      </c>
      <c r="R153" s="68">
        <f t="shared" si="45"/>
        <v>0.42132545925818476</v>
      </c>
      <c r="T153">
        <f t="shared" si="46"/>
        <v>1</v>
      </c>
      <c r="U153">
        <f t="shared" si="47"/>
        <v>1</v>
      </c>
    </row>
    <row r="154" spans="8:21" ht="12.75">
      <c r="H154" s="55">
        <v>3981.0717055349132</v>
      </c>
      <c r="I154" s="65">
        <f t="shared" si="36"/>
        <v>-29.582967765151412</v>
      </c>
      <c r="J154" s="65">
        <f t="shared" si="37"/>
        <v>-90.01545487377358</v>
      </c>
      <c r="K154" s="66">
        <f t="shared" si="38"/>
        <v>-18.27767500245486</v>
      </c>
      <c r="L154" s="66">
        <f t="shared" si="39"/>
        <v>-90.01545487377358</v>
      </c>
      <c r="M154" s="65">
        <f t="shared" si="40"/>
        <v>-77.41457785064196</v>
      </c>
      <c r="N154" s="65">
        <f t="shared" si="41"/>
        <v>90.38599955823393</v>
      </c>
      <c r="O154" s="67">
        <f t="shared" si="42"/>
        <v>-106.99754561579337</v>
      </c>
      <c r="P154" s="67">
        <f t="shared" si="43"/>
        <v>0.3705446844603557</v>
      </c>
      <c r="Q154" s="68">
        <f t="shared" si="44"/>
        <v>-95.69225285309682</v>
      </c>
      <c r="R154" s="68">
        <f t="shared" si="45"/>
        <v>0.3705446844603557</v>
      </c>
      <c r="T154">
        <f t="shared" si="46"/>
        <v>1</v>
      </c>
      <c r="U154">
        <f t="shared" si="47"/>
        <v>1</v>
      </c>
    </row>
    <row r="155" spans="8:21" ht="12.75">
      <c r="H155" s="55">
        <v>4466.8359215095625</v>
      </c>
      <c r="I155" s="65">
        <f t="shared" si="36"/>
        <v>-30.582967517336748</v>
      </c>
      <c r="J155" s="65">
        <f t="shared" si="37"/>
        <v>-90.01873848951756</v>
      </c>
      <c r="K155" s="66">
        <f t="shared" si="38"/>
        <v>-19.27767475464019</v>
      </c>
      <c r="L155" s="66">
        <f t="shared" si="39"/>
        <v>-90.01873848951756</v>
      </c>
      <c r="M155" s="65">
        <f t="shared" si="40"/>
        <v>-78.4145252020937</v>
      </c>
      <c r="N155" s="65">
        <f t="shared" si="41"/>
        <v>90.34402409117133</v>
      </c>
      <c r="O155" s="67">
        <f t="shared" si="42"/>
        <v>-108.99749271943045</v>
      </c>
      <c r="P155" s="67">
        <f t="shared" si="43"/>
        <v>0.32528560165377485</v>
      </c>
      <c r="Q155" s="68">
        <f t="shared" si="44"/>
        <v>-97.69219995673389</v>
      </c>
      <c r="R155" s="68">
        <f t="shared" si="45"/>
        <v>0.32528560165377485</v>
      </c>
      <c r="T155">
        <f t="shared" si="46"/>
        <v>1</v>
      </c>
      <c r="U155">
        <f t="shared" si="47"/>
        <v>1</v>
      </c>
    </row>
    <row r="156" spans="8:21" ht="12.75">
      <c r="H156" s="55">
        <v>5011.872336272643</v>
      </c>
      <c r="I156" s="65">
        <f t="shared" si="36"/>
        <v>-31.582967320490546</v>
      </c>
      <c r="J156" s="65">
        <f t="shared" si="37"/>
        <v>-90.02166501527934</v>
      </c>
      <c r="K156" s="66">
        <f t="shared" si="38"/>
        <v>-20.27767455779399</v>
      </c>
      <c r="L156" s="66">
        <f t="shared" si="39"/>
        <v>-90.02166501527934</v>
      </c>
      <c r="M156" s="65">
        <f t="shared" si="40"/>
        <v>-79.41448338139473</v>
      </c>
      <c r="N156" s="65">
        <f t="shared" si="41"/>
        <v>90.30661294284988</v>
      </c>
      <c r="O156" s="67">
        <f t="shared" si="42"/>
        <v>-110.99745070188527</v>
      </c>
      <c r="P156" s="67">
        <f t="shared" si="43"/>
        <v>0.284947927570542</v>
      </c>
      <c r="Q156" s="68">
        <f t="shared" si="44"/>
        <v>-99.69215793918872</v>
      </c>
      <c r="R156" s="68">
        <f t="shared" si="45"/>
        <v>0.284947927570542</v>
      </c>
      <c r="T156">
        <f t="shared" si="46"/>
        <v>1</v>
      </c>
      <c r="U156">
        <f t="shared" si="47"/>
        <v>1</v>
      </c>
    </row>
    <row r="157" spans="8:21" ht="12.75">
      <c r="H157" s="55">
        <v>5623.413251903399</v>
      </c>
      <c r="I157" s="65">
        <f t="shared" si="36"/>
        <v>-32.582967164130054</v>
      </c>
      <c r="J157" s="65">
        <f t="shared" si="37"/>
        <v>-90.02427328421582</v>
      </c>
      <c r="K157" s="66">
        <f t="shared" si="38"/>
        <v>-21.277674401433494</v>
      </c>
      <c r="L157" s="66">
        <f t="shared" si="39"/>
        <v>-90.02427328421582</v>
      </c>
      <c r="M157" s="65">
        <f t="shared" si="40"/>
        <v>-80.4144501617358</v>
      </c>
      <c r="N157" s="65">
        <f t="shared" si="41"/>
        <v>90.27326988629301</v>
      </c>
      <c r="O157" s="67">
        <f t="shared" si="42"/>
        <v>-112.99741732586585</v>
      </c>
      <c r="P157" s="67">
        <f t="shared" si="43"/>
        <v>0.24899660207718455</v>
      </c>
      <c r="Q157" s="68">
        <f t="shared" si="44"/>
        <v>-101.6921245631693</v>
      </c>
      <c r="R157" s="68">
        <f t="shared" si="45"/>
        <v>0.24899660207718455</v>
      </c>
      <c r="T157">
        <f t="shared" si="46"/>
        <v>1</v>
      </c>
      <c r="U157">
        <f t="shared" si="47"/>
        <v>1</v>
      </c>
    </row>
    <row r="158" spans="8:21" ht="12.75">
      <c r="H158" s="55">
        <v>6309.573444801827</v>
      </c>
      <c r="I158" s="65">
        <f t="shared" si="36"/>
        <v>-33.582967039928484</v>
      </c>
      <c r="J158" s="65">
        <f t="shared" si="37"/>
        <v>-90.0265979064273</v>
      </c>
      <c r="K158" s="66">
        <f t="shared" si="38"/>
        <v>-22.277674277231924</v>
      </c>
      <c r="L158" s="66">
        <f t="shared" si="39"/>
        <v>-90.0265979064273</v>
      </c>
      <c r="M158" s="65">
        <f t="shared" si="40"/>
        <v>-81.41442377423542</v>
      </c>
      <c r="N158" s="65">
        <f t="shared" si="41"/>
        <v>90.24355261832363</v>
      </c>
      <c r="O158" s="67">
        <f t="shared" si="42"/>
        <v>-114.99739081416391</v>
      </c>
      <c r="P158" s="67">
        <f t="shared" si="43"/>
        <v>0.21695471189633508</v>
      </c>
      <c r="Q158" s="68">
        <f t="shared" si="44"/>
        <v>-103.69209805146734</v>
      </c>
      <c r="R158" s="68">
        <f t="shared" si="45"/>
        <v>0.21695471189633508</v>
      </c>
      <c r="T158">
        <f t="shared" si="46"/>
        <v>1</v>
      </c>
      <c r="U158">
        <f t="shared" si="47"/>
        <v>1</v>
      </c>
    </row>
    <row r="159" spans="8:21" ht="12.75">
      <c r="H159" s="55">
        <v>7079.45784384127</v>
      </c>
      <c r="I159" s="65">
        <f t="shared" si="36"/>
        <v>-34.582966941271685</v>
      </c>
      <c r="J159" s="65">
        <f t="shared" si="37"/>
        <v>-90.02866972820712</v>
      </c>
      <c r="K159" s="66">
        <f t="shared" si="38"/>
        <v>-23.277674178575126</v>
      </c>
      <c r="L159" s="66">
        <f t="shared" si="39"/>
        <v>-90.02866972820712</v>
      </c>
      <c r="M159" s="65">
        <f t="shared" si="40"/>
        <v>-82.41440281378061</v>
      </c>
      <c r="N159" s="65">
        <f t="shared" si="41"/>
        <v>90.21706690720468</v>
      </c>
      <c r="O159" s="67">
        <f t="shared" si="42"/>
        <v>-116.99736975505229</v>
      </c>
      <c r="P159" s="67">
        <f t="shared" si="43"/>
        <v>0.1883971789975618</v>
      </c>
      <c r="Q159" s="68">
        <f t="shared" si="44"/>
        <v>-105.69207699235574</v>
      </c>
      <c r="R159" s="68">
        <f t="shared" si="45"/>
        <v>0.1883971789975618</v>
      </c>
      <c r="T159">
        <f t="shared" si="46"/>
        <v>1</v>
      </c>
      <c r="U159">
        <f t="shared" si="47"/>
        <v>1</v>
      </c>
    </row>
    <row r="160" spans="8:21" ht="12.75">
      <c r="H160" s="55">
        <v>7943.282347242688</v>
      </c>
      <c r="I160" s="65">
        <f t="shared" si="36"/>
        <v>-35.58296686290579</v>
      </c>
      <c r="J160" s="65">
        <f t="shared" si="37"/>
        <v>-90.03051624134959</v>
      </c>
      <c r="K160" s="66">
        <f t="shared" si="38"/>
        <v>-24.277674100209232</v>
      </c>
      <c r="L160" s="66">
        <f t="shared" si="39"/>
        <v>-90.03051624134959</v>
      </c>
      <c r="M160" s="65">
        <f t="shared" si="40"/>
        <v>-83.41438616422495</v>
      </c>
      <c r="N160" s="65">
        <f t="shared" si="41"/>
        <v>90.19346137327166</v>
      </c>
      <c r="O160" s="67">
        <f t="shared" si="42"/>
        <v>-118.99735302713074</v>
      </c>
      <c r="P160" s="67">
        <f t="shared" si="43"/>
        <v>0.16294513192207205</v>
      </c>
      <c r="Q160" s="68">
        <f t="shared" si="44"/>
        <v>-107.69206026443419</v>
      </c>
      <c r="R160" s="68">
        <f t="shared" si="45"/>
        <v>0.16294513192207205</v>
      </c>
      <c r="T160">
        <f t="shared" si="46"/>
        <v>1</v>
      </c>
      <c r="U160">
        <f t="shared" si="47"/>
        <v>1</v>
      </c>
    </row>
    <row r="161" spans="8:21" ht="12.75">
      <c r="H161" s="55">
        <v>8912.50938133731</v>
      </c>
      <c r="I161" s="65">
        <f t="shared" si="36"/>
        <v>-36.582966800657545</v>
      </c>
      <c r="J161" s="65">
        <f t="shared" si="37"/>
        <v>-90.03216194794668</v>
      </c>
      <c r="K161" s="66">
        <f t="shared" si="38"/>
        <v>-25.277674037960985</v>
      </c>
      <c r="L161" s="66">
        <f t="shared" si="39"/>
        <v>-90.03216194794668</v>
      </c>
      <c r="M161" s="65">
        <f t="shared" si="40"/>
        <v>-84.41437293896571</v>
      </c>
      <c r="N161" s="65">
        <f t="shared" si="41"/>
        <v>90.17242283472632</v>
      </c>
      <c r="O161" s="67">
        <f t="shared" si="42"/>
        <v>-120.99733973962326</v>
      </c>
      <c r="P161" s="67">
        <f t="shared" si="43"/>
        <v>0.1402608867796431</v>
      </c>
      <c r="Q161" s="68">
        <f t="shared" si="44"/>
        <v>-109.69204697692669</v>
      </c>
      <c r="R161" s="68">
        <f t="shared" si="45"/>
        <v>0.1402608867796431</v>
      </c>
      <c r="T161">
        <f t="shared" si="46"/>
        <v>1</v>
      </c>
      <c r="U161">
        <f t="shared" si="47"/>
        <v>1</v>
      </c>
    </row>
    <row r="162" spans="8:21" ht="12.75">
      <c r="H162" s="55">
        <v>9999.99999999983</v>
      </c>
      <c r="I162" s="65">
        <f t="shared" si="36"/>
        <v>-37.582966751212005</v>
      </c>
      <c r="J162" s="65">
        <f t="shared" si="37"/>
        <v>-90.03362868551403</v>
      </c>
      <c r="K162" s="66">
        <f t="shared" si="38"/>
        <v>-26.277673988515453</v>
      </c>
      <c r="L162" s="66">
        <f t="shared" si="39"/>
        <v>-90.03362868551403</v>
      </c>
      <c r="M162" s="65">
        <f t="shared" si="40"/>
        <v>-85.4143624337392</v>
      </c>
      <c r="N162" s="65">
        <f t="shared" si="41"/>
        <v>90.15367215784309</v>
      </c>
      <c r="O162" s="67">
        <f t="shared" si="42"/>
        <v>-122.99732918495121</v>
      </c>
      <c r="P162" s="67">
        <f t="shared" si="43"/>
        <v>0.12004347232905843</v>
      </c>
      <c r="Q162" s="68">
        <f t="shared" si="44"/>
        <v>-111.69203642225466</v>
      </c>
      <c r="R162" s="68">
        <f t="shared" si="45"/>
        <v>0.12004347232905843</v>
      </c>
      <c r="T162">
        <f t="shared" si="46"/>
        <v>1</v>
      </c>
      <c r="U162">
        <f t="shared" si="47"/>
        <v>1</v>
      </c>
    </row>
    <row r="163" spans="8:21" ht="12.75">
      <c r="H163" s="55">
        <v>11220.184543019439</v>
      </c>
      <c r="I163" s="65">
        <f t="shared" si="36"/>
        <v>-38.58296671193601</v>
      </c>
      <c r="J163" s="65">
        <f t="shared" si="37"/>
        <v>-90.03493591676026</v>
      </c>
      <c r="K163" s="66">
        <f t="shared" si="38"/>
        <v>-27.27767394923946</v>
      </c>
      <c r="L163" s="66">
        <f t="shared" si="39"/>
        <v>-90.03493591676026</v>
      </c>
      <c r="M163" s="65">
        <f t="shared" si="40"/>
        <v>-86.41435408912244</v>
      </c>
      <c r="N163" s="65">
        <f t="shared" si="41"/>
        <v>90.13696055723852</v>
      </c>
      <c r="O163" s="67">
        <f t="shared" si="42"/>
        <v>-124.99732080105845</v>
      </c>
      <c r="P163" s="67">
        <f t="shared" si="43"/>
        <v>0.10202464047826254</v>
      </c>
      <c r="Q163" s="68">
        <f t="shared" si="44"/>
        <v>-113.6920280383619</v>
      </c>
      <c r="R163" s="68">
        <f t="shared" si="45"/>
        <v>0.10202464047826254</v>
      </c>
      <c r="T163">
        <f t="shared" si="46"/>
        <v>1</v>
      </c>
      <c r="U163">
        <f t="shared" si="47"/>
        <v>1</v>
      </c>
    </row>
    <row r="164" spans="8:21" ht="12.75">
      <c r="H164" s="55">
        <v>12589.254117941447</v>
      </c>
      <c r="I164" s="65">
        <f t="shared" si="36"/>
        <v>-39.58296668073799</v>
      </c>
      <c r="J164" s="65">
        <f t="shared" si="37"/>
        <v>-90.03610098784425</v>
      </c>
      <c r="K164" s="66">
        <f t="shared" si="38"/>
        <v>-28.27767391804143</v>
      </c>
      <c r="L164" s="66">
        <f t="shared" si="39"/>
        <v>-90.03610098784425</v>
      </c>
      <c r="M164" s="65">
        <f t="shared" si="40"/>
        <v>-87.41434746074592</v>
      </c>
      <c r="N164" s="65">
        <f t="shared" si="41"/>
        <v>90.12206629761698</v>
      </c>
      <c r="O164" s="67">
        <f t="shared" si="42"/>
        <v>-126.99731414148391</v>
      </c>
      <c r="P164" s="67">
        <f t="shared" si="43"/>
        <v>0.08596530977273176</v>
      </c>
      <c r="Q164" s="68">
        <f t="shared" si="44"/>
        <v>-115.69202137878735</v>
      </c>
      <c r="R164" s="68">
        <f t="shared" si="45"/>
        <v>0.08596530977273176</v>
      </c>
      <c r="T164">
        <f t="shared" si="46"/>
        <v>1</v>
      </c>
      <c r="U164">
        <f t="shared" si="47"/>
        <v>1</v>
      </c>
    </row>
    <row r="165" spans="8:21" ht="12.75">
      <c r="H165" s="55">
        <v>14125.375446227285</v>
      </c>
      <c r="I165" s="65">
        <f t="shared" si="36"/>
        <v>-40.58296665595651</v>
      </c>
      <c r="J165" s="65">
        <f t="shared" si="37"/>
        <v>-90.03713935854753</v>
      </c>
      <c r="K165" s="66">
        <f t="shared" si="38"/>
        <v>-29.27767389325996</v>
      </c>
      <c r="L165" s="66">
        <f t="shared" si="39"/>
        <v>-90.03713935854753</v>
      </c>
      <c r="M165" s="65">
        <f t="shared" si="40"/>
        <v>-88.41434219563185</v>
      </c>
      <c r="N165" s="65">
        <f t="shared" si="41"/>
        <v>90.10879175358534</v>
      </c>
      <c r="O165" s="67">
        <f t="shared" si="42"/>
        <v>-128.99730885158834</v>
      </c>
      <c r="P165" s="67">
        <f t="shared" si="43"/>
        <v>0.07165239503780185</v>
      </c>
      <c r="Q165" s="68">
        <f t="shared" si="44"/>
        <v>-117.6920160888918</v>
      </c>
      <c r="R165" s="68">
        <f t="shared" si="45"/>
        <v>0.07165239503780185</v>
      </c>
      <c r="T165">
        <f t="shared" si="46"/>
        <v>1</v>
      </c>
      <c r="U165">
        <f t="shared" si="47"/>
        <v>1</v>
      </c>
    </row>
    <row r="166" spans="8:21" ht="12.75">
      <c r="H166" s="55">
        <v>15848.931924610837</v>
      </c>
      <c r="I166" s="65">
        <f t="shared" si="36"/>
        <v>-41.58296663627189</v>
      </c>
      <c r="J166" s="65">
        <f t="shared" si="37"/>
        <v>-90.03806480741568</v>
      </c>
      <c r="K166" s="66">
        <f t="shared" si="38"/>
        <v>-30.277673873575324</v>
      </c>
      <c r="L166" s="66">
        <f t="shared" si="39"/>
        <v>-90.03806480741568</v>
      </c>
      <c r="M166" s="65">
        <f t="shared" si="40"/>
        <v>-89.41433801339835</v>
      </c>
      <c r="N166" s="65">
        <f t="shared" si="41"/>
        <v>90.09696078877573</v>
      </c>
      <c r="O166" s="67">
        <f t="shared" si="42"/>
        <v>-130.99730464967024</v>
      </c>
      <c r="P166" s="67">
        <f t="shared" si="43"/>
        <v>0.058895981360052474</v>
      </c>
      <c r="Q166" s="68">
        <f t="shared" si="44"/>
        <v>-119.69201188697367</v>
      </c>
      <c r="R166" s="68">
        <f t="shared" si="45"/>
        <v>0.058895981360052474</v>
      </c>
      <c r="T166">
        <f t="shared" si="46"/>
        <v>1</v>
      </c>
      <c r="U166">
        <f t="shared" si="47"/>
        <v>1</v>
      </c>
    </row>
    <row r="167" spans="8:21" ht="12.75">
      <c r="H167" s="55">
        <v>17782.794100388885</v>
      </c>
      <c r="I167" s="65">
        <f t="shared" si="36"/>
        <v>-42.58296662063582</v>
      </c>
      <c r="J167" s="65">
        <f t="shared" si="37"/>
        <v>-90.03888961459097</v>
      </c>
      <c r="K167" s="66">
        <f t="shared" si="38"/>
        <v>-31.27767385793927</v>
      </c>
      <c r="L167" s="66">
        <f t="shared" si="39"/>
        <v>-90.03888961459097</v>
      </c>
      <c r="M167" s="65">
        <f t="shared" si="40"/>
        <v>-90.41433469132923</v>
      </c>
      <c r="N167" s="65">
        <f t="shared" si="41"/>
        <v>90.08641641967938</v>
      </c>
      <c r="O167" s="67">
        <f t="shared" si="42"/>
        <v>-132.99730131196506</v>
      </c>
      <c r="P167" s="67">
        <f t="shared" si="43"/>
        <v>0.047526805088409674</v>
      </c>
      <c r="Q167" s="68">
        <f t="shared" si="44"/>
        <v>-121.69200854926851</v>
      </c>
      <c r="R167" s="68">
        <f t="shared" si="45"/>
        <v>0.047526805088409674</v>
      </c>
      <c r="T167">
        <f t="shared" si="46"/>
        <v>1</v>
      </c>
      <c r="U167">
        <f t="shared" si="47"/>
        <v>1</v>
      </c>
    </row>
    <row r="168" spans="8:21" ht="12.75">
      <c r="H168" s="55">
        <v>19952.623149688403</v>
      </c>
      <c r="I168" s="65">
        <f t="shared" si="36"/>
        <v>-43.58296660821566</v>
      </c>
      <c r="J168" s="65">
        <f t="shared" si="37"/>
        <v>-90.03962472476209</v>
      </c>
      <c r="K168" s="66">
        <f t="shared" si="38"/>
        <v>-32.27767384551911</v>
      </c>
      <c r="L168" s="66">
        <f t="shared" si="39"/>
        <v>-90.03962472476209</v>
      </c>
      <c r="M168" s="65">
        <f t="shared" si="40"/>
        <v>-91.41433205251408</v>
      </c>
      <c r="N168" s="65">
        <f t="shared" si="41"/>
        <v>90.0770187333184</v>
      </c>
      <c r="O168" s="67">
        <f t="shared" si="42"/>
        <v>-134.99729866072974</v>
      </c>
      <c r="P168" s="67">
        <f t="shared" si="43"/>
        <v>0.037394008556304925</v>
      </c>
      <c r="Q168" s="68">
        <f t="shared" si="44"/>
        <v>-123.69200589803319</v>
      </c>
      <c r="R168" s="68">
        <f t="shared" si="45"/>
        <v>0.037394008556304925</v>
      </c>
      <c r="T168">
        <f t="shared" si="46"/>
        <v>1</v>
      </c>
      <c r="U168">
        <f t="shared" si="47"/>
        <v>1</v>
      </c>
    </row>
    <row r="169" spans="8:21" ht="12.75">
      <c r="H169" s="55">
        <v>22387.211385682942</v>
      </c>
      <c r="I169" s="65">
        <f t="shared" si="36"/>
        <v>-44.582966598349984</v>
      </c>
      <c r="J169" s="65">
        <f t="shared" si="37"/>
        <v>-90.04027989239341</v>
      </c>
      <c r="K169" s="66">
        <f t="shared" si="38"/>
        <v>-33.277673835653424</v>
      </c>
      <c r="L169" s="66">
        <f t="shared" si="39"/>
        <v>-90.04027989239341</v>
      </c>
      <c r="M169" s="65">
        <f t="shared" si="40"/>
        <v>-92.41432995642751</v>
      </c>
      <c r="N169" s="65">
        <f t="shared" si="41"/>
        <v>90.06864303121485</v>
      </c>
      <c r="O169" s="67">
        <f t="shared" si="42"/>
        <v>-136.9972965547775</v>
      </c>
      <c r="P169" s="67">
        <f t="shared" si="43"/>
        <v>0.028363138821433154</v>
      </c>
      <c r="Q169" s="68">
        <f t="shared" si="44"/>
        <v>-125.69200379208092</v>
      </c>
      <c r="R169" s="68">
        <f t="shared" si="45"/>
        <v>0.028363138821433154</v>
      </c>
      <c r="T169">
        <f t="shared" si="46"/>
        <v>1</v>
      </c>
      <c r="U169">
        <f t="shared" si="47"/>
        <v>1</v>
      </c>
    </row>
    <row r="170" spans="8:21" ht="12.75">
      <c r="H170" s="55">
        <v>25118.86431509528</v>
      </c>
      <c r="I170" s="65">
        <f t="shared" si="36"/>
        <v>-45.58296659051338</v>
      </c>
      <c r="J170" s="65">
        <f t="shared" si="37"/>
        <v>-90.04086381116065</v>
      </c>
      <c r="K170" s="66">
        <f t="shared" si="38"/>
        <v>-34.27767382781683</v>
      </c>
      <c r="L170" s="66">
        <f t="shared" si="39"/>
        <v>-90.04086381116065</v>
      </c>
      <c r="M170" s="65">
        <f t="shared" si="40"/>
        <v>-93.414328291446</v>
      </c>
      <c r="N170" s="65">
        <f t="shared" si="41"/>
        <v>90.06117817509269</v>
      </c>
      <c r="O170" s="67">
        <f t="shared" si="42"/>
        <v>-138.99729488195936</v>
      </c>
      <c r="P170" s="67">
        <f t="shared" si="43"/>
        <v>0.020314363932044444</v>
      </c>
      <c r="Q170" s="68">
        <f t="shared" si="44"/>
        <v>-127.69200211926282</v>
      </c>
      <c r="R170" s="68">
        <f t="shared" si="45"/>
        <v>0.020314363932044444</v>
      </c>
      <c r="T170">
        <f t="shared" si="46"/>
        <v>1</v>
      </c>
      <c r="U170">
        <f t="shared" si="47"/>
        <v>1</v>
      </c>
    </row>
    <row r="171" spans="8:21" ht="12.75">
      <c r="H171" s="55">
        <v>28183.829312643942</v>
      </c>
      <c r="I171" s="65">
        <f t="shared" si="36"/>
        <v>-46.582966584288556</v>
      </c>
      <c r="J171" s="65">
        <f t="shared" si="37"/>
        <v>-90.04138422931058</v>
      </c>
      <c r="K171" s="66">
        <f t="shared" si="38"/>
        <v>-35.277673821592</v>
      </c>
      <c r="L171" s="66">
        <f t="shared" si="39"/>
        <v>-90.04138422931058</v>
      </c>
      <c r="M171" s="65">
        <f t="shared" si="40"/>
        <v>-94.41432696890372</v>
      </c>
      <c r="N171" s="65">
        <f t="shared" si="41"/>
        <v>90.05452511240547</v>
      </c>
      <c r="O171" s="67">
        <f t="shared" si="42"/>
        <v>-140.99729355319226</v>
      </c>
      <c r="P171" s="67">
        <f t="shared" si="43"/>
        <v>0.013140883094891365</v>
      </c>
      <c r="Q171" s="68">
        <f t="shared" si="44"/>
        <v>-129.69200079049574</v>
      </c>
      <c r="R171" s="68">
        <f t="shared" si="45"/>
        <v>0.013140883094891365</v>
      </c>
      <c r="T171">
        <f t="shared" si="46"/>
        <v>1</v>
      </c>
      <c r="U171">
        <f t="shared" si="47"/>
        <v>1</v>
      </c>
    </row>
    <row r="172" spans="8:21" ht="12.75">
      <c r="H172" s="55">
        <v>31622.77660168311</v>
      </c>
      <c r="I172" s="65">
        <f t="shared" si="36"/>
        <v>-47.582966579344</v>
      </c>
      <c r="J172" s="65">
        <f t="shared" si="37"/>
        <v>-90.04184805247553</v>
      </c>
      <c r="K172" s="66">
        <f t="shared" si="38"/>
        <v>-36.27767381664744</v>
      </c>
      <c r="L172" s="66">
        <f t="shared" si="39"/>
        <v>-90.04184805247553</v>
      </c>
      <c r="M172" s="65">
        <f t="shared" si="40"/>
        <v>-95.41432591837076</v>
      </c>
      <c r="N172" s="65">
        <f t="shared" si="41"/>
        <v>90.0485955621571</v>
      </c>
      <c r="O172" s="67">
        <f t="shared" si="42"/>
        <v>-142.99729249771477</v>
      </c>
      <c r="P172" s="67">
        <f t="shared" si="43"/>
        <v>0.006747509681574115</v>
      </c>
      <c r="Q172" s="68">
        <f t="shared" si="44"/>
        <v>-131.69199973501821</v>
      </c>
      <c r="R172" s="68">
        <f t="shared" si="45"/>
        <v>0.006747509681574115</v>
      </c>
      <c r="T172">
        <f t="shared" si="46"/>
        <v>1</v>
      </c>
      <c r="U172">
        <f t="shared" si="47"/>
        <v>1</v>
      </c>
    </row>
    <row r="173" spans="8:21" ht="12.75">
      <c r="H173" s="55">
        <v>35481.33892335676</v>
      </c>
      <c r="I173" s="65">
        <f t="shared" si="36"/>
        <v>-48.5829665754164</v>
      </c>
      <c r="J173" s="65">
        <f t="shared" si="37"/>
        <v>-90.04226143530683</v>
      </c>
      <c r="K173" s="66">
        <f t="shared" si="38"/>
        <v>-37.27767381271984</v>
      </c>
      <c r="L173" s="66">
        <f t="shared" si="39"/>
        <v>-90.04226143530683</v>
      </c>
      <c r="M173" s="65">
        <f t="shared" si="40"/>
        <v>-96.41432508390255</v>
      </c>
      <c r="N173" s="65">
        <f t="shared" si="41"/>
        <v>90.04331084359973</v>
      </c>
      <c r="O173" s="67">
        <f t="shared" si="42"/>
        <v>-144.99729165931896</v>
      </c>
      <c r="P173" s="67">
        <f t="shared" si="43"/>
        <v>0.0010494082929000115</v>
      </c>
      <c r="Q173" s="68">
        <f t="shared" si="44"/>
        <v>-133.6919988966224</v>
      </c>
      <c r="R173" s="68">
        <f t="shared" si="45"/>
        <v>0.0010494082929000115</v>
      </c>
      <c r="T173">
        <f t="shared" si="46"/>
        <v>1</v>
      </c>
      <c r="U173">
        <f t="shared" si="47"/>
        <v>1</v>
      </c>
    </row>
    <row r="174" spans="8:21" ht="12.75">
      <c r="H174" s="55">
        <v>39810.717055348825</v>
      </c>
      <c r="I174" s="65">
        <f t="shared" si="36"/>
        <v>-49.58296657229659</v>
      </c>
      <c r="J174" s="65">
        <f t="shared" si="37"/>
        <v>-90.04262986314335</v>
      </c>
      <c r="K174" s="66">
        <f t="shared" si="38"/>
        <v>-38.27767380960003</v>
      </c>
      <c r="L174" s="66">
        <f t="shared" si="39"/>
        <v>-90.04262986314335</v>
      </c>
      <c r="M174" s="65">
        <f t="shared" si="40"/>
        <v>-97.41432442106078</v>
      </c>
      <c r="N174" s="65">
        <f t="shared" si="41"/>
        <v>90.038600832282</v>
      </c>
      <c r="O174" s="67">
        <f t="shared" si="42"/>
        <v>-146.99729099335738</v>
      </c>
      <c r="P174" s="67">
        <f t="shared" si="43"/>
        <v>-0.004029030861346428</v>
      </c>
      <c r="Q174" s="68">
        <f t="shared" si="44"/>
        <v>-135.69199823066083</v>
      </c>
      <c r="R174" s="68">
        <f t="shared" si="45"/>
        <v>-0.004029030861346428</v>
      </c>
      <c r="T174">
        <f t="shared" si="46"/>
        <v>1</v>
      </c>
      <c r="U174">
        <f t="shared" si="47"/>
        <v>1</v>
      </c>
    </row>
    <row r="175" spans="8:21" ht="12.75">
      <c r="H175" s="55">
        <v>44668.35921509528</v>
      </c>
      <c r="I175" s="65">
        <f t="shared" si="36"/>
        <v>-50.58296656981844</v>
      </c>
      <c r="J175" s="65">
        <f t="shared" si="37"/>
        <v>-90.04295822479848</v>
      </c>
      <c r="K175" s="66">
        <f t="shared" si="38"/>
        <v>-39.277673807121886</v>
      </c>
      <c r="L175" s="66">
        <f t="shared" si="39"/>
        <v>-90.04295822479848</v>
      </c>
      <c r="M175" s="65">
        <f t="shared" si="40"/>
        <v>-98.4143238945468</v>
      </c>
      <c r="N175" s="65">
        <f t="shared" si="41"/>
        <v>90.03440302960695</v>
      </c>
      <c r="O175" s="67">
        <f t="shared" si="42"/>
        <v>-148.99729046436522</v>
      </c>
      <c r="P175" s="67">
        <f t="shared" si="43"/>
        <v>-0.008555195191533471</v>
      </c>
      <c r="Q175" s="68">
        <f t="shared" si="44"/>
        <v>-137.6919977016687</v>
      </c>
      <c r="R175" s="68">
        <f t="shared" si="45"/>
        <v>-0.008555195191533471</v>
      </c>
      <c r="T175">
        <f t="shared" si="46"/>
        <v>1</v>
      </c>
      <c r="U175">
        <f t="shared" si="47"/>
        <v>1</v>
      </c>
    </row>
    <row r="176" spans="8:21" ht="12.75">
      <c r="H176" s="55">
        <v>50118.72336272604</v>
      </c>
      <c r="I176" s="65">
        <f t="shared" si="36"/>
        <v>-51.58296656784997</v>
      </c>
      <c r="J176" s="65">
        <f t="shared" si="37"/>
        <v>-90.04325087743182</v>
      </c>
      <c r="K176" s="66">
        <f t="shared" si="38"/>
        <v>-40.27767380515342</v>
      </c>
      <c r="L176" s="66">
        <f t="shared" si="39"/>
        <v>-90.04325087743182</v>
      </c>
      <c r="M176" s="65">
        <f t="shared" si="40"/>
        <v>-99.41432347632181</v>
      </c>
      <c r="N176" s="65">
        <f t="shared" si="41"/>
        <v>90.03066173356075</v>
      </c>
      <c r="O176" s="67">
        <f t="shared" si="42"/>
        <v>-150.9972900441718</v>
      </c>
      <c r="P176" s="67">
        <f t="shared" si="43"/>
        <v>-0.012589143871068131</v>
      </c>
      <c r="Q176" s="68">
        <f t="shared" si="44"/>
        <v>-139.69199728147524</v>
      </c>
      <c r="R176" s="68">
        <f t="shared" si="45"/>
        <v>-0.012589143871068131</v>
      </c>
      <c r="T176">
        <f t="shared" si="46"/>
        <v>1</v>
      </c>
      <c r="U176">
        <f t="shared" si="47"/>
        <v>1</v>
      </c>
    </row>
    <row r="177" spans="8:21" ht="12.75">
      <c r="H177" s="55">
        <v>56234.132519033556</v>
      </c>
      <c r="I177" s="65">
        <f t="shared" si="36"/>
        <v>-52.582966566286366</v>
      </c>
      <c r="J177" s="65">
        <f t="shared" si="37"/>
        <v>-90.04351170436593</v>
      </c>
      <c r="K177" s="66">
        <f t="shared" si="38"/>
        <v>-41.277673803589806</v>
      </c>
      <c r="L177" s="66">
        <f t="shared" si="39"/>
        <v>-90.04351170436593</v>
      </c>
      <c r="M177" s="65">
        <f t="shared" si="40"/>
        <v>-100.41432314411385</v>
      </c>
      <c r="N177" s="65">
        <f t="shared" si="41"/>
        <v>90.0273272996142</v>
      </c>
      <c r="O177" s="67">
        <f t="shared" si="42"/>
        <v>-152.99728971040022</v>
      </c>
      <c r="P177" s="67">
        <f t="shared" si="43"/>
        <v>-0.016184404751726333</v>
      </c>
      <c r="Q177" s="68">
        <f t="shared" si="44"/>
        <v>-141.69199694770367</v>
      </c>
      <c r="R177" s="68">
        <f t="shared" si="45"/>
        <v>-0.016184404751726333</v>
      </c>
      <c r="T177">
        <f t="shared" si="46"/>
        <v>1</v>
      </c>
      <c r="U177">
        <f t="shared" si="47"/>
        <v>1</v>
      </c>
    </row>
    <row r="178" spans="8:21" ht="12.75">
      <c r="H178" s="55">
        <v>63095.73444801778</v>
      </c>
      <c r="I178" s="65">
        <f t="shared" si="36"/>
        <v>-53.582966565044345</v>
      </c>
      <c r="J178" s="65">
        <f t="shared" si="37"/>
        <v>-90.04374416661572</v>
      </c>
      <c r="K178" s="66">
        <f t="shared" si="38"/>
        <v>-42.27767380234779</v>
      </c>
      <c r="L178" s="66">
        <f t="shared" si="39"/>
        <v>-90.04374416661572</v>
      </c>
      <c r="M178" s="65">
        <f t="shared" si="40"/>
        <v>-101.41432288023168</v>
      </c>
      <c r="N178" s="65">
        <f t="shared" si="41"/>
        <v>90.02435548199364</v>
      </c>
      <c r="O178" s="67">
        <f t="shared" si="42"/>
        <v>-154.997289445276</v>
      </c>
      <c r="P178" s="67">
        <f t="shared" si="43"/>
        <v>-0.019388684622086316</v>
      </c>
      <c r="Q178" s="68">
        <f t="shared" si="44"/>
        <v>-143.6919966825795</v>
      </c>
      <c r="R178" s="68">
        <f t="shared" si="45"/>
        <v>-0.019388684622086316</v>
      </c>
      <c r="T178">
        <f t="shared" si="46"/>
        <v>1</v>
      </c>
      <c r="U178">
        <f t="shared" si="47"/>
        <v>1</v>
      </c>
    </row>
    <row r="179" spans="8:21" ht="12.75">
      <c r="H179" s="55">
        <v>70794.57843841202</v>
      </c>
      <c r="I179" s="65">
        <f t="shared" si="36"/>
        <v>-54.58296656405777</v>
      </c>
      <c r="J179" s="65">
        <f t="shared" si="37"/>
        <v>-90.04395134881399</v>
      </c>
      <c r="K179" s="66">
        <f t="shared" si="38"/>
        <v>-43.27767380136122</v>
      </c>
      <c r="L179" s="66">
        <f t="shared" si="39"/>
        <v>-90.04395134881399</v>
      </c>
      <c r="M179" s="65">
        <f t="shared" si="40"/>
        <v>-102.41432267062261</v>
      </c>
      <c r="N179" s="65">
        <f t="shared" si="41"/>
        <v>90.02170684658319</v>
      </c>
      <c r="O179" s="67">
        <f t="shared" si="42"/>
        <v>-156.99728923468038</v>
      </c>
      <c r="P179" s="67">
        <f t="shared" si="43"/>
        <v>-0.022244502230805097</v>
      </c>
      <c r="Q179" s="68">
        <f t="shared" si="44"/>
        <v>-145.69199647198383</v>
      </c>
      <c r="R179" s="68">
        <f t="shared" si="45"/>
        <v>-0.022244502230805097</v>
      </c>
      <c r="T179">
        <f t="shared" si="46"/>
        <v>1</v>
      </c>
      <c r="U179">
        <f t="shared" si="47"/>
        <v>1</v>
      </c>
    </row>
    <row r="180" spans="8:21" ht="12.75">
      <c r="H180" s="55">
        <v>79432.82347242613</v>
      </c>
      <c r="I180" s="65">
        <f t="shared" si="36"/>
        <v>-55.582966563274105</v>
      </c>
      <c r="J180" s="65">
        <f t="shared" si="37"/>
        <v>-90.04413600014259</v>
      </c>
      <c r="K180" s="66">
        <f t="shared" si="38"/>
        <v>-44.27767380057755</v>
      </c>
      <c r="L180" s="66">
        <f t="shared" si="39"/>
        <v>-90.04413600014259</v>
      </c>
      <c r="M180" s="65">
        <f t="shared" si="40"/>
        <v>-103.4143225041242</v>
      </c>
      <c r="N180" s="65">
        <f t="shared" si="41"/>
        <v>90.01934624766977</v>
      </c>
      <c r="O180" s="67">
        <f t="shared" si="42"/>
        <v>-158.9972890673983</v>
      </c>
      <c r="P180" s="67">
        <f t="shared" si="43"/>
        <v>-0.02478975247281312</v>
      </c>
      <c r="Q180" s="68">
        <f t="shared" si="44"/>
        <v>-147.69199630470175</v>
      </c>
      <c r="R180" s="68">
        <f t="shared" si="45"/>
        <v>-0.02478975247281312</v>
      </c>
      <c r="T180">
        <f t="shared" si="46"/>
        <v>1</v>
      </c>
      <c r="U180">
        <f t="shared" si="47"/>
        <v>1</v>
      </c>
    </row>
    <row r="181" spans="8:21" ht="12.75">
      <c r="H181" s="55">
        <v>89125.09381337224</v>
      </c>
      <c r="I181" s="65">
        <f t="shared" si="36"/>
        <v>-56.58296656265162</v>
      </c>
      <c r="J181" s="65">
        <f t="shared" si="37"/>
        <v>-90.04430057081247</v>
      </c>
      <c r="K181" s="66">
        <f t="shared" si="38"/>
        <v>-45.27767379995506</v>
      </c>
      <c r="L181" s="66">
        <f t="shared" si="39"/>
        <v>-90.04430057081247</v>
      </c>
      <c r="M181" s="65">
        <f t="shared" si="40"/>
        <v>-104.4143223718698</v>
      </c>
      <c r="N181" s="65">
        <f t="shared" si="41"/>
        <v>90.01724236158938</v>
      </c>
      <c r="O181" s="67">
        <f t="shared" si="42"/>
        <v>-160.9972889345214</v>
      </c>
      <c r="P181" s="67">
        <f t="shared" si="43"/>
        <v>-0.027058209223085328</v>
      </c>
      <c r="Q181" s="68">
        <f t="shared" si="44"/>
        <v>-149.69199617182485</v>
      </c>
      <c r="R181" s="68">
        <f t="shared" si="45"/>
        <v>-0.027058209223085328</v>
      </c>
      <c r="T181">
        <f t="shared" si="46"/>
        <v>1</v>
      </c>
      <c r="U181">
        <f t="shared" si="47"/>
        <v>1</v>
      </c>
    </row>
    <row r="182" spans="8:21" ht="12.75">
      <c r="H182" s="55">
        <v>99999.99999999753</v>
      </c>
      <c r="I182" s="65">
        <f>20*LOG10(_G_0_LL_min/SQRT(1+(H182/f_plant)^2))</f>
        <v>-57.58296656215718</v>
      </c>
      <c r="J182" s="65">
        <f t="shared" si="37"/>
        <v>-90.04444724457639</v>
      </c>
      <c r="K182" s="66">
        <f t="shared" si="38"/>
        <v>-46.277673799460615</v>
      </c>
      <c r="L182" s="66">
        <f t="shared" si="39"/>
        <v>-90.04444724457639</v>
      </c>
      <c r="M182" s="65">
        <f t="shared" si="40"/>
        <v>-105.4143222668164</v>
      </c>
      <c r="N182" s="65">
        <f t="shared" si="41"/>
        <v>90.0153672710868</v>
      </c>
      <c r="O182" s="67">
        <f t="shared" si="42"/>
        <v>-162.99728882897358</v>
      </c>
      <c r="P182" s="67">
        <f t="shared" si="43"/>
        <v>-0.02907997348958702</v>
      </c>
      <c r="Q182" s="68">
        <f t="shared" si="44"/>
        <v>-151.691996066277</v>
      </c>
      <c r="R182" s="68">
        <f t="shared" si="45"/>
        <v>-0.02907997348958702</v>
      </c>
      <c r="T182">
        <f t="shared" si="46"/>
        <v>0</v>
      </c>
      <c r="U182">
        <f t="shared" si="47"/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C1">
      <selection activeCell="O16" sqref="O16"/>
    </sheetView>
  </sheetViews>
  <sheetFormatPr defaultColWidth="9.140625" defaultRowHeight="12.75"/>
  <cols>
    <col min="1" max="1" width="15.00390625" style="0" customWidth="1"/>
    <col min="3" max="3" width="4.140625" style="0" customWidth="1"/>
    <col min="4" max="4" width="18.421875" style="0" customWidth="1"/>
    <col min="6" max="6" width="4.421875" style="0" customWidth="1"/>
    <col min="7" max="7" width="11.7109375" style="0" customWidth="1"/>
    <col min="8" max="8" width="12.8515625" style="0" customWidth="1"/>
    <col min="14" max="14" width="12.7109375" style="0" customWidth="1"/>
    <col min="15" max="15" width="10.8515625" style="0" customWidth="1"/>
    <col min="18" max="18" width="10.57421875" style="0" customWidth="1"/>
  </cols>
  <sheetData>
    <row r="1" spans="1:18" ht="12.75">
      <c r="A1" s="58" t="s">
        <v>204</v>
      </c>
      <c r="D1" s="58" t="s">
        <v>216</v>
      </c>
      <c r="G1" s="58" t="s">
        <v>235</v>
      </c>
      <c r="J1" s="58" t="s">
        <v>238</v>
      </c>
      <c r="N1" s="58" t="s">
        <v>248</v>
      </c>
      <c r="R1" s="58"/>
    </row>
    <row r="2" ht="12.75">
      <c r="A2" s="89"/>
    </row>
    <row r="3" spans="1:16" ht="12.75">
      <c r="A3" s="58" t="s">
        <v>195</v>
      </c>
      <c r="B3">
        <v>0.34</v>
      </c>
      <c r="D3" s="58" t="s">
        <v>217</v>
      </c>
      <c r="E3">
        <v>0.97</v>
      </c>
      <c r="G3" s="58" t="s">
        <v>229</v>
      </c>
      <c r="H3" s="92">
        <v>0.725</v>
      </c>
      <c r="J3" s="58" t="s">
        <v>239</v>
      </c>
      <c r="K3" s="92">
        <v>1.543</v>
      </c>
      <c r="N3" t="s">
        <v>249</v>
      </c>
      <c r="P3">
        <v>26</v>
      </c>
    </row>
    <row r="4" spans="1:16" ht="12.75">
      <c r="A4" s="58" t="s">
        <v>196</v>
      </c>
      <c r="B4">
        <v>0.38</v>
      </c>
      <c r="D4" s="58" t="s">
        <v>218</v>
      </c>
      <c r="E4">
        <v>1.08</v>
      </c>
      <c r="G4" s="58" t="s">
        <v>230</v>
      </c>
      <c r="H4" s="92">
        <v>0.787</v>
      </c>
      <c r="J4" s="58" t="s">
        <v>240</v>
      </c>
      <c r="K4" s="92">
        <v>1.625</v>
      </c>
      <c r="N4" t="s">
        <v>250</v>
      </c>
      <c r="P4">
        <v>30</v>
      </c>
    </row>
    <row r="5" spans="1:18" ht="12.75">
      <c r="A5" s="58" t="s">
        <v>197</v>
      </c>
      <c r="B5">
        <v>0.42</v>
      </c>
      <c r="D5" s="58" t="s">
        <v>219</v>
      </c>
      <c r="E5">
        <v>1.19</v>
      </c>
      <c r="G5" s="58" t="s">
        <v>231</v>
      </c>
      <c r="H5" s="92">
        <v>0.86</v>
      </c>
      <c r="J5" s="58" t="s">
        <v>241</v>
      </c>
      <c r="K5" s="92">
        <v>1.706</v>
      </c>
      <c r="N5" t="s">
        <v>251</v>
      </c>
      <c r="P5" s="89">
        <v>36</v>
      </c>
      <c r="R5" s="58"/>
    </row>
    <row r="6" spans="1:11" ht="12.75">
      <c r="A6" s="58"/>
      <c r="D6" s="58"/>
      <c r="H6" s="92"/>
      <c r="J6" s="58"/>
      <c r="K6" s="92"/>
    </row>
    <row r="7" spans="1:11" ht="12.75">
      <c r="A7" s="58" t="s">
        <v>198</v>
      </c>
      <c r="B7">
        <v>0.21</v>
      </c>
      <c r="D7" s="58" t="s">
        <v>220</v>
      </c>
      <c r="E7">
        <v>0.53</v>
      </c>
      <c r="G7" s="58" t="s">
        <v>232</v>
      </c>
      <c r="H7" s="92">
        <v>0.634</v>
      </c>
      <c r="J7" s="58" t="s">
        <v>242</v>
      </c>
      <c r="K7" s="92">
        <v>1.35</v>
      </c>
    </row>
    <row r="8" spans="1:11" ht="12.75">
      <c r="A8" s="58" t="s">
        <v>199</v>
      </c>
      <c r="B8">
        <v>0.24</v>
      </c>
      <c r="D8" s="58" t="s">
        <v>221</v>
      </c>
      <c r="E8">
        <v>0.59</v>
      </c>
      <c r="G8" s="58" t="s">
        <v>233</v>
      </c>
      <c r="H8" s="92">
        <v>0.709</v>
      </c>
      <c r="J8" s="58" t="s">
        <v>243</v>
      </c>
      <c r="K8" s="92">
        <v>1.422</v>
      </c>
    </row>
    <row r="9" spans="1:18" ht="12.75">
      <c r="A9" s="58" t="s">
        <v>200</v>
      </c>
      <c r="B9">
        <v>0.27</v>
      </c>
      <c r="D9" s="58" t="s">
        <v>222</v>
      </c>
      <c r="E9">
        <v>0.65</v>
      </c>
      <c r="G9" s="58" t="s">
        <v>234</v>
      </c>
      <c r="H9" s="92">
        <v>0.77</v>
      </c>
      <c r="J9" s="58" t="s">
        <v>244</v>
      </c>
      <c r="K9" s="92">
        <v>1.493</v>
      </c>
      <c r="R9" s="58"/>
    </row>
    <row r="10" spans="1:15" ht="12.75">
      <c r="A10" s="58"/>
      <c r="D10" s="58"/>
      <c r="H10" s="92"/>
      <c r="N10" s="58" t="s">
        <v>257</v>
      </c>
      <c r="O10">
        <v>1.5</v>
      </c>
    </row>
    <row r="11" spans="1:8" ht="12.75">
      <c r="A11" s="58" t="s">
        <v>201</v>
      </c>
      <c r="B11">
        <v>0.67</v>
      </c>
      <c r="D11" s="58" t="s">
        <v>223</v>
      </c>
      <c r="E11">
        <v>0.97</v>
      </c>
      <c r="H11" s="92"/>
    </row>
    <row r="12" spans="1:8" ht="12.75">
      <c r="A12" s="58" t="s">
        <v>202</v>
      </c>
      <c r="B12">
        <v>0.75</v>
      </c>
      <c r="D12" s="58" t="s">
        <v>224</v>
      </c>
      <c r="E12">
        <v>1.08</v>
      </c>
      <c r="H12" s="92"/>
    </row>
    <row r="13" spans="1:15" ht="12.75">
      <c r="A13" s="58" t="s">
        <v>203</v>
      </c>
      <c r="B13">
        <v>0.83</v>
      </c>
      <c r="D13" s="58" t="s">
        <v>225</v>
      </c>
      <c r="E13">
        <v>1.19</v>
      </c>
      <c r="N13" s="58" t="s">
        <v>258</v>
      </c>
      <c r="O13">
        <v>0.14</v>
      </c>
    </row>
    <row r="16" spans="14:15" ht="12.75">
      <c r="N16" s="58" t="s">
        <v>259</v>
      </c>
      <c r="O16">
        <v>0.075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Jose Capilla</cp:lastModifiedBy>
  <cp:lastPrinted>2016-01-20T15:28:25Z</cp:lastPrinted>
  <dcterms:created xsi:type="dcterms:W3CDTF">2004-10-25T09:25:43Z</dcterms:created>
  <dcterms:modified xsi:type="dcterms:W3CDTF">2018-10-23T13:35:38Z</dcterms:modified>
  <cp:category/>
  <cp:version/>
  <cp:contentType/>
  <cp:contentStatus/>
</cp:coreProperties>
</file>