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6405" activeTab="0"/>
  </bookViews>
  <sheets>
    <sheet name="Calculations_Buck" sheetId="1" r:id="rId1"/>
    <sheet name="Calculations_Boost" sheetId="2" r:id="rId2"/>
  </sheets>
  <definedNames/>
  <calcPr fullCalcOnLoad="1"/>
</workbook>
</file>

<file path=xl/sharedStrings.xml><?xml version="1.0" encoding="utf-8"?>
<sst xmlns="http://schemas.openxmlformats.org/spreadsheetml/2006/main" count="211" uniqueCount="82">
  <si>
    <t>Vin  Min</t>
  </si>
  <si>
    <t>Vin Max</t>
  </si>
  <si>
    <t>LED VF</t>
  </si>
  <si>
    <t>Number of Leds</t>
  </si>
  <si>
    <t>mA</t>
  </si>
  <si>
    <t>#</t>
  </si>
  <si>
    <t>V</t>
  </si>
  <si>
    <t>kHz</t>
  </si>
  <si>
    <t>Rsense</t>
  </si>
  <si>
    <t>Inductor DCR</t>
  </si>
  <si>
    <t>µH</t>
  </si>
  <si>
    <t xml:space="preserve">User selected inductance </t>
  </si>
  <si>
    <t>Mosfet Rdson</t>
  </si>
  <si>
    <t>%</t>
  </si>
  <si>
    <t>µs</t>
  </si>
  <si>
    <t>mV</t>
  </si>
  <si>
    <t>VMAX Switching Frequency</t>
  </si>
  <si>
    <t>VMAX Duty ratio</t>
  </si>
  <si>
    <t>VMIN Switching Frequency</t>
  </si>
  <si>
    <t>VMIN Duty ratio</t>
  </si>
  <si>
    <t>Recommended Inductance</t>
  </si>
  <si>
    <t xml:space="preserve">Rot </t>
  </si>
  <si>
    <r>
      <t>k</t>
    </r>
    <r>
      <rPr>
        <sz val="11"/>
        <color indexed="8"/>
        <rFont val="Calibri"/>
        <family val="2"/>
      </rPr>
      <t>Ω</t>
    </r>
  </si>
  <si>
    <t xml:space="preserve">Output Voltage </t>
  </si>
  <si>
    <t xml:space="preserve">Diode Forward Voltage </t>
  </si>
  <si>
    <r>
      <t>m</t>
    </r>
    <r>
      <rPr>
        <sz val="11"/>
        <color indexed="8"/>
        <rFont val="Calibri"/>
        <family val="2"/>
      </rPr>
      <t>Ω</t>
    </r>
  </si>
  <si>
    <t>CIN</t>
  </si>
  <si>
    <t>D1</t>
  </si>
  <si>
    <t>L1</t>
  </si>
  <si>
    <t>ROT</t>
  </si>
  <si>
    <t>CVCC</t>
  </si>
  <si>
    <t>Value</t>
  </si>
  <si>
    <t>Units</t>
  </si>
  <si>
    <t>uF</t>
  </si>
  <si>
    <t>µF</t>
  </si>
  <si>
    <t>MBRAF1540</t>
  </si>
  <si>
    <t>Diode Part Numbers</t>
  </si>
  <si>
    <t>VF (mV)</t>
  </si>
  <si>
    <t xml:space="preserve">MBRS140 </t>
  </si>
  <si>
    <t>MBRA130L</t>
  </si>
  <si>
    <t>MBR130LSF</t>
  </si>
  <si>
    <t>RS</t>
  </si>
  <si>
    <t>Rsense Selected</t>
  </si>
  <si>
    <t>Efficiency</t>
  </si>
  <si>
    <t>Efficienciecy at VIN</t>
  </si>
  <si>
    <t>RS ( mW)</t>
  </si>
  <si>
    <t>D1 ( mW)</t>
  </si>
  <si>
    <t>Mosfet ( mW)</t>
  </si>
  <si>
    <t>Inductor ( mW)</t>
  </si>
  <si>
    <t>Ton VMIN from selection</t>
  </si>
  <si>
    <t>TOff  VMIN  from selection</t>
  </si>
  <si>
    <t>Ton VMAX  from selection</t>
  </si>
  <si>
    <t>TOff  VMAX  from selection</t>
  </si>
  <si>
    <t>IC (mW)</t>
  </si>
  <si>
    <t>Crev</t>
  </si>
  <si>
    <t>pF</t>
  </si>
  <si>
    <t>Package</t>
  </si>
  <si>
    <t>SMA</t>
  </si>
  <si>
    <t>10X10mm</t>
  </si>
  <si>
    <t>Ipk</t>
  </si>
  <si>
    <t>trise</t>
  </si>
  <si>
    <t>tfall</t>
  </si>
  <si>
    <t>ns</t>
  </si>
  <si>
    <t xml:space="preserve">LED current </t>
  </si>
  <si>
    <t>Targeted Switching Frequency</t>
  </si>
  <si>
    <t xml:space="preserve">Inductor Ripple </t>
  </si>
  <si>
    <t>Calcualted Values</t>
  </si>
  <si>
    <t>Designer Input Values</t>
  </si>
  <si>
    <t>Unchangable Device Values</t>
  </si>
  <si>
    <t xml:space="preserve">VMAX Diode Average Current  </t>
  </si>
  <si>
    <t xml:space="preserve">VMAX Mosfet Average Current </t>
  </si>
  <si>
    <t xml:space="preserve">VMIN Diode Average Current  </t>
  </si>
  <si>
    <t xml:space="preserve">VMIN Mosfet Average Current </t>
  </si>
  <si>
    <t>Unit</t>
  </si>
  <si>
    <t>chang in I</t>
  </si>
  <si>
    <t>TOff  VMAX   from selection</t>
  </si>
  <si>
    <t>VMAX  Switching Frequency</t>
  </si>
  <si>
    <t>VMAX  Duty ratio</t>
  </si>
  <si>
    <t xml:space="preserve">VMAX  Diode Average Current  </t>
  </si>
  <si>
    <t xml:space="preserve">VMAX  Mosfet Average Current </t>
  </si>
  <si>
    <t>Ton VMIN  from selection</t>
  </si>
  <si>
    <t xml:space="preserve">VMINMosfet Average Current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</si>
</sst>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0;###0.00"/>
    <numFmt numFmtId="174" formatCode="###0;###0"/>
    <numFmt numFmtId="175" formatCode="###0.0;###0.0"/>
    <numFmt numFmtId="176" formatCode="0.0000000"/>
    <numFmt numFmtId="177" formatCode="0.0%"/>
    <numFmt numFmtId="178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65" fontId="0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0" fontId="0" fillId="36" borderId="13" xfId="0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177" fontId="0" fillId="0" borderId="17" xfId="59" applyNumberFormat="1" applyFont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1" xfId="0" applyFill="1" applyBorder="1" applyAlignment="1">
      <alignment horizontal="right"/>
    </xf>
    <xf numFmtId="0" fontId="0" fillId="36" borderId="19" xfId="0" applyFont="1" applyFill="1" applyBorder="1" applyAlignment="1">
      <alignment horizontal="left"/>
    </xf>
    <xf numFmtId="0" fontId="0" fillId="36" borderId="20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38" borderId="0" xfId="0" applyFont="1" applyFill="1" applyAlignment="1">
      <alignment/>
    </xf>
    <xf numFmtId="165" fontId="0" fillId="38" borderId="0" xfId="0" applyNumberFormat="1" applyFont="1" applyFill="1" applyAlignment="1">
      <alignment/>
    </xf>
    <xf numFmtId="0" fontId="0" fillId="0" borderId="12" xfId="0" applyBorder="1" applyAlignment="1">
      <alignment horizontal="right"/>
    </xf>
    <xf numFmtId="0" fontId="0" fillId="38" borderId="0" xfId="0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36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1" fontId="0" fillId="36" borderId="17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left"/>
    </xf>
    <xf numFmtId="2" fontId="0" fillId="35" borderId="22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9" xfId="0" applyFont="1" applyFill="1" applyBorder="1" applyAlignment="1">
      <alignment horizontal="left"/>
    </xf>
    <xf numFmtId="165" fontId="0" fillId="35" borderId="3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34" borderId="12" xfId="0" applyFill="1" applyBorder="1" applyAlignment="1">
      <alignment horizontal="left"/>
    </xf>
    <xf numFmtId="177" fontId="0" fillId="0" borderId="0" xfId="59" applyNumberFormat="1" applyFont="1" applyAlignment="1">
      <alignment/>
    </xf>
    <xf numFmtId="9" fontId="0" fillId="0" borderId="0" xfId="0" applyNumberFormat="1" applyFont="1" applyAlignment="1">
      <alignment/>
    </xf>
    <xf numFmtId="0" fontId="39" fillId="38" borderId="0" xfId="0" applyFont="1" applyFill="1" applyAlignment="1">
      <alignment/>
    </xf>
    <xf numFmtId="9" fontId="39" fillId="38" borderId="0" xfId="0" applyNumberFormat="1" applyFont="1" applyFill="1" applyBorder="1" applyAlignment="1">
      <alignment/>
    </xf>
    <xf numFmtId="0" fontId="39" fillId="38" borderId="0" xfId="0" applyFont="1" applyFill="1" applyBorder="1" applyAlignment="1">
      <alignment/>
    </xf>
    <xf numFmtId="0" fontId="39" fillId="38" borderId="0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9" fontId="0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0">
      <selection activeCell="M16" sqref="M16"/>
    </sheetView>
  </sheetViews>
  <sheetFormatPr defaultColWidth="9.140625" defaultRowHeight="15"/>
  <cols>
    <col min="1" max="1" width="29.00390625" style="2" bestFit="1" customWidth="1"/>
    <col min="2" max="2" width="8.57421875" style="65" bestFit="1" customWidth="1"/>
    <col min="3" max="3" width="5.57421875" style="65" bestFit="1" customWidth="1"/>
    <col min="4" max="4" width="19.140625" style="2" bestFit="1" customWidth="1"/>
    <col min="5" max="5" width="8.57421875" style="2" customWidth="1"/>
    <col min="6" max="6" width="6.00390625" style="2" bestFit="1" customWidth="1"/>
    <col min="7" max="7" width="18.28125" style="2" bestFit="1" customWidth="1"/>
    <col min="8" max="8" width="6.7109375" style="2" bestFit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10" ht="15">
      <c r="A1" s="11"/>
      <c r="B1" s="75" t="s">
        <v>31</v>
      </c>
      <c r="C1" s="76" t="s">
        <v>73</v>
      </c>
      <c r="D1" s="72" t="s">
        <v>36</v>
      </c>
      <c r="E1" s="44" t="s">
        <v>37</v>
      </c>
      <c r="F1" s="47" t="s">
        <v>54</v>
      </c>
      <c r="G1" s="48"/>
      <c r="H1" s="94" t="s">
        <v>66</v>
      </c>
      <c r="I1" s="94"/>
      <c r="J1" s="94"/>
    </row>
    <row r="2" spans="1:10" ht="15">
      <c r="A2" s="12" t="s">
        <v>0</v>
      </c>
      <c r="B2" s="1">
        <v>12</v>
      </c>
      <c r="C2" s="13" t="s">
        <v>6</v>
      </c>
      <c r="D2" s="60" t="s">
        <v>40</v>
      </c>
      <c r="E2" s="9">
        <v>380</v>
      </c>
      <c r="F2" s="39">
        <f>0.0714*AVERAGE(B2:B3)^2-4.1171*AVERAGE(B2:B3)+97.8</f>
        <v>58.6764</v>
      </c>
      <c r="G2" s="49"/>
      <c r="H2" s="94" t="s">
        <v>67</v>
      </c>
      <c r="I2" s="94"/>
      <c r="J2" s="94"/>
    </row>
    <row r="3" spans="1:10" ht="15">
      <c r="A3" s="12" t="s">
        <v>1</v>
      </c>
      <c r="B3" s="1">
        <v>12</v>
      </c>
      <c r="C3" s="13" t="s">
        <v>6</v>
      </c>
      <c r="D3" s="61" t="s">
        <v>39</v>
      </c>
      <c r="E3" s="9">
        <v>410</v>
      </c>
      <c r="F3" s="28">
        <f>0.0521*AVERAGE(B2:B3)^2-3.6012*AVERAGE(B2:B3)+93.411</f>
        <v>57.699000000000005</v>
      </c>
      <c r="G3" s="50"/>
      <c r="H3" s="94" t="s">
        <v>68</v>
      </c>
      <c r="I3" s="94"/>
      <c r="J3" s="94"/>
    </row>
    <row r="4" spans="1:10" ht="15">
      <c r="A4" s="12" t="s">
        <v>2</v>
      </c>
      <c r="B4" s="1">
        <v>3.5</v>
      </c>
      <c r="C4" s="13" t="s">
        <v>6</v>
      </c>
      <c r="D4" s="21" t="s">
        <v>35</v>
      </c>
      <c r="E4" s="7">
        <v>460</v>
      </c>
      <c r="F4" s="28">
        <f>0.0607*AVERAGE(B2:B3)^2-4.1631*AVERAGE(B2:B3)+116.34</f>
        <v>75.12360000000001</v>
      </c>
      <c r="G4" s="38"/>
      <c r="H4" s="38"/>
      <c r="I4" s="38"/>
      <c r="J4" s="38"/>
    </row>
    <row r="5" spans="1:10" ht="15.75" thickBot="1">
      <c r="A5" s="12" t="s">
        <v>3</v>
      </c>
      <c r="B5" s="1">
        <v>1</v>
      </c>
      <c r="C5" s="13" t="s">
        <v>5</v>
      </c>
      <c r="D5" s="62" t="s">
        <v>38</v>
      </c>
      <c r="E5" s="22">
        <v>600</v>
      </c>
      <c r="F5" s="45">
        <f>89.03*AVERAGE(B2:B3)^(-0.386)</f>
        <v>34.11712387837815</v>
      </c>
      <c r="G5" s="38"/>
      <c r="H5" s="38"/>
      <c r="I5" s="38"/>
      <c r="J5" s="38"/>
    </row>
    <row r="6" spans="1:10" ht="15.75" thickBot="1">
      <c r="A6" s="16" t="s">
        <v>23</v>
      </c>
      <c r="B6" s="4">
        <f>B4*B5</f>
        <v>3.5</v>
      </c>
      <c r="C6" s="17" t="s">
        <v>6</v>
      </c>
      <c r="D6" s="38"/>
      <c r="E6" s="38"/>
      <c r="F6" s="38"/>
      <c r="G6" s="38"/>
      <c r="H6" s="38"/>
      <c r="I6" s="38"/>
      <c r="J6" s="38"/>
    </row>
    <row r="7" spans="1:10" ht="15">
      <c r="A7" s="46" t="s">
        <v>63</v>
      </c>
      <c r="B7" s="1">
        <v>350</v>
      </c>
      <c r="C7" s="13" t="s">
        <v>4</v>
      </c>
      <c r="D7" s="63"/>
      <c r="E7" s="40" t="s">
        <v>31</v>
      </c>
      <c r="F7" s="40" t="s">
        <v>32</v>
      </c>
      <c r="G7" s="41" t="s">
        <v>56</v>
      </c>
      <c r="H7" s="38"/>
      <c r="I7" s="38"/>
      <c r="J7" s="35"/>
    </row>
    <row r="8" spans="1:10" ht="15">
      <c r="A8" s="46" t="s">
        <v>64</v>
      </c>
      <c r="B8" s="1">
        <v>200</v>
      </c>
      <c r="C8" s="13" t="s">
        <v>7</v>
      </c>
      <c r="D8" s="21" t="s">
        <v>26</v>
      </c>
      <c r="E8" s="7">
        <v>4.7</v>
      </c>
      <c r="F8" s="10" t="s">
        <v>33</v>
      </c>
      <c r="G8" s="20">
        <v>1206</v>
      </c>
      <c r="H8" s="38"/>
      <c r="I8" s="38"/>
      <c r="J8" s="35"/>
    </row>
    <row r="9" spans="1:10" ht="15">
      <c r="A9" s="81" t="s">
        <v>65</v>
      </c>
      <c r="B9" s="3">
        <v>12</v>
      </c>
      <c r="C9" s="15" t="s">
        <v>13</v>
      </c>
      <c r="D9" s="21" t="s">
        <v>27</v>
      </c>
      <c r="E9" s="10">
        <f>MAX(B2:B3)</f>
        <v>12</v>
      </c>
      <c r="F9" s="10" t="s">
        <v>6</v>
      </c>
      <c r="G9" s="19" t="s">
        <v>57</v>
      </c>
      <c r="H9" s="38"/>
      <c r="I9" s="38"/>
      <c r="J9" s="35"/>
    </row>
    <row r="10" spans="1:16" ht="15">
      <c r="A10" s="14" t="s">
        <v>12</v>
      </c>
      <c r="B10" s="3">
        <v>55</v>
      </c>
      <c r="C10" s="15" t="s">
        <v>25</v>
      </c>
      <c r="D10" s="21" t="s">
        <v>28</v>
      </c>
      <c r="E10" s="7">
        <f>B16</f>
        <v>100</v>
      </c>
      <c r="F10" s="7" t="str">
        <f>C15</f>
        <v>µH</v>
      </c>
      <c r="G10" s="19" t="s">
        <v>58</v>
      </c>
      <c r="H10" s="38"/>
      <c r="I10" s="38"/>
      <c r="J10" s="35"/>
      <c r="L10" s="83"/>
      <c r="M10" s="83"/>
      <c r="N10" s="83"/>
      <c r="O10" s="83"/>
      <c r="P10" s="83"/>
    </row>
    <row r="11" spans="1:10" ht="15">
      <c r="A11" s="12" t="s">
        <v>24</v>
      </c>
      <c r="B11" s="1">
        <v>350</v>
      </c>
      <c r="C11" s="13" t="s">
        <v>15</v>
      </c>
      <c r="D11" s="21" t="s">
        <v>29</v>
      </c>
      <c r="E11" s="8">
        <f>B31</f>
        <v>317.69473210265636</v>
      </c>
      <c r="F11" s="7" t="str">
        <f>C31</f>
        <v>kΩ</v>
      </c>
      <c r="G11" s="20">
        <v>603</v>
      </c>
      <c r="H11" s="38"/>
      <c r="I11" s="38"/>
      <c r="J11" s="35"/>
    </row>
    <row r="12" spans="1:10" ht="15">
      <c r="A12" s="73" t="s">
        <v>54</v>
      </c>
      <c r="B12" s="1">
        <v>150</v>
      </c>
      <c r="C12" s="74" t="s">
        <v>55</v>
      </c>
      <c r="D12" s="21" t="s">
        <v>30</v>
      </c>
      <c r="E12" s="7">
        <v>1</v>
      </c>
      <c r="F12" s="10" t="s">
        <v>34</v>
      </c>
      <c r="G12" s="20">
        <v>603</v>
      </c>
      <c r="H12" s="38"/>
      <c r="I12" s="38"/>
      <c r="J12" s="35"/>
    </row>
    <row r="13" spans="1:10" ht="15.75" thickBot="1">
      <c r="A13" s="46" t="s">
        <v>42</v>
      </c>
      <c r="B13" s="23">
        <v>570</v>
      </c>
      <c r="C13" s="13" t="s">
        <v>25</v>
      </c>
      <c r="D13" s="62" t="s">
        <v>41</v>
      </c>
      <c r="E13" s="42">
        <f>B13</f>
        <v>570</v>
      </c>
      <c r="F13" s="66" t="s">
        <v>25</v>
      </c>
      <c r="G13" s="43">
        <f>IF((LOOKUP((2.5*MAX(E29,H29)),D15:D20,E15:E20)="#N/A"),402,(LOOKUP((2*MAX(E29,H29)),D15:D20,E15:E20)))</f>
        <v>402</v>
      </c>
      <c r="H13" s="38"/>
      <c r="I13" s="38"/>
      <c r="J13" s="35"/>
    </row>
    <row r="14" spans="1:10" ht="15">
      <c r="A14" s="18" t="s">
        <v>8</v>
      </c>
      <c r="B14" s="5">
        <f>200/B7*1000</f>
        <v>571.4285714285714</v>
      </c>
      <c r="C14" s="17" t="s">
        <v>25</v>
      </c>
      <c r="D14" s="84">
        <f>E14*F14</f>
        <v>2.94</v>
      </c>
      <c r="E14" s="84">
        <v>2.94</v>
      </c>
      <c r="F14" s="85">
        <v>1</v>
      </c>
      <c r="G14" s="86"/>
      <c r="H14" s="38"/>
      <c r="I14" s="38"/>
      <c r="J14" s="35"/>
    </row>
    <row r="15" spans="1:17" ht="15">
      <c r="A15" s="18" t="s">
        <v>20</v>
      </c>
      <c r="B15" s="5">
        <f>(1/(B8*1000*(((D14*B9*0.01*B7*0.001)/(B11*0.001+B6+B7*0.001*B17*0.001))-((B9*D14*0.01*B7*0.001)/(B6-AVERAGE(B2,B3)+B7*0.001*(B17*0.001+B10*0.001+B14*0.001))))))*1000000</f>
        <v>106.95727294483113</v>
      </c>
      <c r="C15" s="17" t="s">
        <v>10</v>
      </c>
      <c r="D15" s="87">
        <v>1</v>
      </c>
      <c r="E15" s="87">
        <v>402</v>
      </c>
      <c r="F15" s="86"/>
      <c r="G15" s="86"/>
      <c r="H15" s="38"/>
      <c r="I15" s="38"/>
      <c r="J15" s="35"/>
      <c r="P15" s="82"/>
      <c r="Q15" s="82"/>
    </row>
    <row r="16" spans="1:10" ht="15">
      <c r="A16" s="12" t="s">
        <v>11</v>
      </c>
      <c r="B16" s="23">
        <v>100</v>
      </c>
      <c r="C16" s="13" t="s">
        <v>10</v>
      </c>
      <c r="D16" s="87">
        <f>1/16*1000</f>
        <v>62.5</v>
      </c>
      <c r="E16" s="87">
        <v>603</v>
      </c>
      <c r="F16" s="86"/>
      <c r="G16" s="86"/>
      <c r="H16" s="38"/>
      <c r="I16" s="38"/>
      <c r="J16" s="35"/>
    </row>
    <row r="17" spans="1:10" ht="15.75" thickBot="1">
      <c r="A17" s="51" t="s">
        <v>9</v>
      </c>
      <c r="B17" s="52">
        <v>105</v>
      </c>
      <c r="C17" s="53" t="s">
        <v>25</v>
      </c>
      <c r="D17" s="87">
        <f>1/8*1000</f>
        <v>125</v>
      </c>
      <c r="E17" s="87">
        <v>805</v>
      </c>
      <c r="F17" s="86"/>
      <c r="G17" s="86"/>
      <c r="H17" s="38"/>
      <c r="I17" s="38"/>
      <c r="J17" s="35"/>
    </row>
    <row r="18" spans="1:10" ht="15">
      <c r="A18" s="54" t="s">
        <v>51</v>
      </c>
      <c r="B18" s="55">
        <f>((B16*0.000001*B9*D14*0.01*B7*0.001)/(B3-B6-B7*0.001*(B10*0.001+B17*0.001+B13*0.001)))*1000000</f>
        <v>1.4977257565649824</v>
      </c>
      <c r="C18" s="56" t="s">
        <v>14</v>
      </c>
      <c r="D18" s="87">
        <f>1/4*1000</f>
        <v>250</v>
      </c>
      <c r="E18" s="87">
        <v>1206</v>
      </c>
      <c r="F18" s="86"/>
      <c r="G18" s="86"/>
      <c r="H18" s="38"/>
      <c r="I18" s="38"/>
      <c r="J18" s="35"/>
    </row>
    <row r="19" spans="1:10" ht="15">
      <c r="A19" s="29" t="s">
        <v>52</v>
      </c>
      <c r="B19" s="6">
        <f>(((B16*0.000001*B9*D14*0.01*B7*0.001)/(B6+B11*0.001+B7*0.001*B17*0.001)))*1000000</f>
        <v>3.1769473210265637</v>
      </c>
      <c r="C19" s="17" t="s">
        <v>14</v>
      </c>
      <c r="D19" s="87">
        <f>1/2*1000</f>
        <v>500</v>
      </c>
      <c r="E19" s="87">
        <v>1210</v>
      </c>
      <c r="F19" s="86"/>
      <c r="G19" s="86"/>
      <c r="H19" s="38"/>
      <c r="I19" s="38"/>
      <c r="J19" s="35"/>
    </row>
    <row r="20" spans="1:10" ht="15">
      <c r="A20" s="29" t="s">
        <v>16</v>
      </c>
      <c r="B20" s="5">
        <f>1/(B19+B18)*1000</f>
        <v>213.91870263475482</v>
      </c>
      <c r="C20" s="17" t="s">
        <v>7</v>
      </c>
      <c r="D20" s="87">
        <v>1</v>
      </c>
      <c r="E20" s="87">
        <v>2512</v>
      </c>
      <c r="F20" s="86"/>
      <c r="G20" s="86"/>
      <c r="H20" s="38"/>
      <c r="I20" s="38"/>
      <c r="J20" s="35"/>
    </row>
    <row r="21" spans="1:10" ht="15">
      <c r="A21" s="18" t="s">
        <v>17</v>
      </c>
      <c r="B21" s="6">
        <f>B18/(B19+B18)*100</f>
        <v>32.039155074703764</v>
      </c>
      <c r="C21" s="17" t="s">
        <v>13</v>
      </c>
      <c r="D21" s="86"/>
      <c r="E21" s="86"/>
      <c r="F21" s="86"/>
      <c r="G21" s="86"/>
      <c r="H21" s="38"/>
      <c r="I21" s="38"/>
      <c r="J21" s="35"/>
    </row>
    <row r="22" spans="1:10" ht="15">
      <c r="A22" s="29" t="s">
        <v>69</v>
      </c>
      <c r="B22" s="5">
        <f>B7*((B19)/(B18+B19))</f>
        <v>237.86295723853684</v>
      </c>
      <c r="C22" s="17" t="s">
        <v>4</v>
      </c>
      <c r="D22" s="86" t="s">
        <v>60</v>
      </c>
      <c r="E22" s="88">
        <v>21</v>
      </c>
      <c r="F22" s="88" t="s">
        <v>62</v>
      </c>
      <c r="G22" s="86"/>
      <c r="H22" s="38"/>
      <c r="I22" s="38"/>
      <c r="J22" s="35"/>
    </row>
    <row r="23" spans="1:10" ht="15.75" thickBot="1">
      <c r="A23" s="57" t="s">
        <v>70</v>
      </c>
      <c r="B23" s="68">
        <f>SQRT($B$6/$B$3)*($B$7+($B$6*$B$25/$B$16)/SQRT(12))</f>
        <v>189.0389389824955</v>
      </c>
      <c r="C23" s="69" t="s">
        <v>4</v>
      </c>
      <c r="D23" s="86" t="s">
        <v>61</v>
      </c>
      <c r="E23" s="88">
        <f>E22</f>
        <v>21</v>
      </c>
      <c r="F23" s="88" t="s">
        <v>62</v>
      </c>
      <c r="G23" s="86"/>
      <c r="H23" s="38"/>
      <c r="I23" s="38"/>
      <c r="J23" s="35"/>
    </row>
    <row r="24" spans="1:10" ht="15">
      <c r="A24" s="54" t="s">
        <v>49</v>
      </c>
      <c r="B24" s="55">
        <f>((B16*0.000001*B9*D14*0.01*B7*0.001)/(B2-B6-B7*0.001*(B10*0.001+B17*0.001+B13*0.001)))*1000000</f>
        <v>1.4977257565649824</v>
      </c>
      <c r="C24" s="56" t="s">
        <v>14</v>
      </c>
      <c r="D24" s="38"/>
      <c r="E24" s="38"/>
      <c r="F24" s="38"/>
      <c r="G24" s="38"/>
      <c r="H24" s="38"/>
      <c r="I24" s="38"/>
      <c r="J24" s="35"/>
    </row>
    <row r="25" spans="1:10" ht="15">
      <c r="A25" s="29" t="s">
        <v>50</v>
      </c>
      <c r="B25" s="6">
        <f>(((B16*0.000001*B9*D14*0.01*B7*0.001)/(B6+B11*0.001+B7*0.001*B17*0.001)))*1000000</f>
        <v>3.1769473210265637</v>
      </c>
      <c r="C25" s="17" t="s">
        <v>14</v>
      </c>
      <c r="D25" s="38"/>
      <c r="E25" s="38"/>
      <c r="F25" s="38"/>
      <c r="G25" s="38"/>
      <c r="H25" s="38"/>
      <c r="I25" s="38"/>
      <c r="J25" s="35"/>
    </row>
    <row r="26" spans="1:10" ht="15.75" thickBot="1">
      <c r="A26" s="29" t="s">
        <v>18</v>
      </c>
      <c r="B26" s="5">
        <f>1/(B25+B24)*1000</f>
        <v>213.91870263475482</v>
      </c>
      <c r="C26" s="17" t="s">
        <v>7</v>
      </c>
      <c r="D26" s="35"/>
      <c r="E26" s="35"/>
      <c r="F26" s="35"/>
      <c r="G26" s="35"/>
      <c r="H26" s="35"/>
      <c r="I26" s="35"/>
      <c r="J26" s="35"/>
    </row>
    <row r="27" spans="1:10" ht="15">
      <c r="A27" s="18" t="s">
        <v>19</v>
      </c>
      <c r="B27" s="6">
        <f>B24/(B24+B25)*100</f>
        <v>32.039155074703764</v>
      </c>
      <c r="C27" s="25" t="s">
        <v>13</v>
      </c>
      <c r="D27" s="30" t="s">
        <v>44</v>
      </c>
      <c r="E27" s="31">
        <f>B2</f>
        <v>12</v>
      </c>
      <c r="F27" s="35"/>
      <c r="G27" s="30" t="s">
        <v>44</v>
      </c>
      <c r="H27" s="31">
        <f>B3</f>
        <v>12</v>
      </c>
      <c r="I27" s="35"/>
      <c r="J27" s="35"/>
    </row>
    <row r="28" spans="1:10" ht="15">
      <c r="A28" s="29" t="s">
        <v>71</v>
      </c>
      <c r="B28" s="5">
        <f>B7*((B25)/(B24+B25))</f>
        <v>237.86295723853684</v>
      </c>
      <c r="C28" s="25" t="s">
        <v>4</v>
      </c>
      <c r="D28" s="37" t="s">
        <v>53</v>
      </c>
      <c r="E28" s="24">
        <f>E27*1.5</f>
        <v>18</v>
      </c>
      <c r="F28" s="35"/>
      <c r="G28" s="37" t="s">
        <v>53</v>
      </c>
      <c r="H28" s="24">
        <f>H27*1.5</f>
        <v>18</v>
      </c>
      <c r="I28" s="35"/>
      <c r="J28" s="35"/>
    </row>
    <row r="29" spans="1:10" ht="15">
      <c r="A29" s="70" t="s">
        <v>72</v>
      </c>
      <c r="B29" s="6">
        <f>SQRT($B$6/$B$2)*($B$7+($B$6*$B$25/$B$16)/SQRT(12))</f>
        <v>189.0389389824955</v>
      </c>
      <c r="C29" s="67" t="s">
        <v>4</v>
      </c>
      <c r="D29" s="32" t="s">
        <v>45</v>
      </c>
      <c r="E29" s="27">
        <f>(($B$29/1000)^2*($B$13/1000))*1000</f>
        <v>20.36936065742776</v>
      </c>
      <c r="F29" s="35"/>
      <c r="G29" s="32" t="s">
        <v>45</v>
      </c>
      <c r="H29" s="27">
        <f>(($B$23/1000)^2*($B$13/1000))*1000</f>
        <v>20.36936065742776</v>
      </c>
      <c r="I29" s="35"/>
      <c r="J29" s="35"/>
    </row>
    <row r="30" spans="1:10" ht="15.75" thickBot="1">
      <c r="A30" s="57" t="s">
        <v>59</v>
      </c>
      <c r="B30" s="71">
        <f>(B7*0.001+((0.5*B6*B25)/B16))*1000</f>
        <v>405.5965781179649</v>
      </c>
      <c r="C30" s="77" t="s">
        <v>4</v>
      </c>
      <c r="D30" s="33" t="s">
        <v>46</v>
      </c>
      <c r="E30" s="28">
        <f>$B$28*($B$11/1000)+0.5*$B$2^2*$B$12*$B$26*0.000000000001*1000*1000</f>
        <v>85.56235702194324</v>
      </c>
      <c r="F30" s="36"/>
      <c r="G30" s="33" t="s">
        <v>46</v>
      </c>
      <c r="H30" s="28">
        <f>$B$22*($B$11/1000)+0.5*$B$2^2*$B$12*$B$20*0.000000000001*1000*1000</f>
        <v>85.56235702194324</v>
      </c>
      <c r="I30" s="35"/>
      <c r="J30" s="35"/>
    </row>
    <row r="31" spans="1:10" ht="15.75" thickBot="1">
      <c r="A31" s="58" t="s">
        <v>21</v>
      </c>
      <c r="B31" s="59">
        <f>B19*0.000001*100000000</f>
        <v>317.69473210265636</v>
      </c>
      <c r="C31" s="78" t="s">
        <v>22</v>
      </c>
      <c r="D31" s="33" t="s">
        <v>47</v>
      </c>
      <c r="E31" s="28">
        <f>(($B$29/1000)^2*($B$10/1000)*1000)+(($B$2*($B$30/1000-($B$6*$B$25/$B$16))*$E$22*0.000000001*$B$26*1000)/2+(($B$2*$B$30*$E$23*0.000000001*$B$26)/2))*1000</f>
        <v>20.8330941972249</v>
      </c>
      <c r="F31" s="35"/>
      <c r="G31" s="33" t="s">
        <v>47</v>
      </c>
      <c r="H31" s="28">
        <f>(($B$23/1000)^2*($B$10/1000)*1000)+(($B$3*($B$30/1000-($B$6*$B$19/$B$16))*$E$22*0.000000001*$B$20*1000)/2+(($B$3*$B$30*$E$23*0.000000001*$B$20)/2))*1000</f>
        <v>20.8330941972249</v>
      </c>
      <c r="I31" s="35"/>
      <c r="J31" s="35"/>
    </row>
    <row r="32" spans="1:10" ht="15">
      <c r="A32" s="35"/>
      <c r="B32" s="64"/>
      <c r="C32" s="64"/>
      <c r="D32" s="33" t="s">
        <v>48</v>
      </c>
      <c r="E32" s="28">
        <f>($B$7/1000)^2*$B$17</f>
        <v>12.862499999999999</v>
      </c>
      <c r="F32" s="35"/>
      <c r="G32" s="33" t="s">
        <v>48</v>
      </c>
      <c r="H32" s="28">
        <f>($B$7/1000)^2*$B$17</f>
        <v>12.862499999999999</v>
      </c>
      <c r="I32" s="35"/>
      <c r="J32" s="35"/>
    </row>
    <row r="33" spans="1:10" ht="15.75" thickBot="1">
      <c r="A33" s="35"/>
      <c r="B33" s="64"/>
      <c r="C33" s="64"/>
      <c r="D33" s="34" t="s">
        <v>43</v>
      </c>
      <c r="E33" s="26">
        <f>((B7/1000)*B6)/((SUM(E28:E32)/1000)+((B7/1000)*B6))</f>
        <v>0.8859943597796768</v>
      </c>
      <c r="F33" s="35"/>
      <c r="G33" s="34" t="s">
        <v>43</v>
      </c>
      <c r="H33" s="26">
        <f>((B7/1000)*B6)/((SUM(H28:H32)/1000)+((B7/1000)*B6))</f>
        <v>0.8859943597796768</v>
      </c>
      <c r="I33" s="35"/>
      <c r="J33" s="35"/>
    </row>
    <row r="34" spans="1:10" ht="15">
      <c r="A34" s="35"/>
      <c r="B34" s="64"/>
      <c r="C34" s="64"/>
      <c r="D34" s="35"/>
      <c r="E34" s="35"/>
      <c r="F34" s="35"/>
      <c r="G34" s="35"/>
      <c r="H34" s="35"/>
      <c r="I34" s="35"/>
      <c r="J34" s="35"/>
    </row>
    <row r="38" ht="15">
      <c r="F38"/>
    </row>
    <row r="39" ht="15">
      <c r="F39"/>
    </row>
    <row r="40" ht="15">
      <c r="F40"/>
    </row>
    <row r="41" spans="6:7" ht="15">
      <c r="F41"/>
      <c r="G41" s="80"/>
    </row>
    <row r="42" spans="6:8" ht="15">
      <c r="F42"/>
      <c r="H42" s="80"/>
    </row>
    <row r="43" spans="6:8" ht="15">
      <c r="F43"/>
      <c r="H43" s="80"/>
    </row>
    <row r="44" ht="15">
      <c r="G44" s="79"/>
    </row>
    <row r="45" spans="7:11" ht="15">
      <c r="G45" s="79"/>
      <c r="I45" s="79"/>
      <c r="K45"/>
    </row>
    <row r="46" spans="7:11" ht="15">
      <c r="G46" s="79"/>
      <c r="H46" s="79"/>
      <c r="I46" s="79"/>
      <c r="K46"/>
    </row>
    <row r="47" spans="7:9" ht="15">
      <c r="G47" s="79"/>
      <c r="H47" s="79"/>
      <c r="I47" s="79"/>
    </row>
    <row r="48" spans="6:7" ht="15">
      <c r="F48"/>
      <c r="G48" s="80"/>
    </row>
    <row r="49" spans="6:8" ht="15">
      <c r="F49"/>
      <c r="H49" s="80"/>
    </row>
    <row r="50" ht="15">
      <c r="F50"/>
    </row>
  </sheetData>
  <sheetProtection/>
  <protectedRanges>
    <protectedRange sqref="B16:B17" name="Range4"/>
    <protectedRange sqref="B11:B13" name="Range3"/>
    <protectedRange sqref="B7:B8" name="Range2"/>
    <protectedRange password="D2C3" sqref="B2:B5" name="Range1"/>
  </protectedRanges>
  <mergeCells count="3">
    <mergeCell ref="H1:J1"/>
    <mergeCell ref="H2:J2"/>
    <mergeCell ref="H3:J3"/>
  </mergeCells>
  <conditionalFormatting sqref="B2">
    <cfRule type="cellIs" priority="3" dxfId="0" operator="lessThanOrEqual" stopIfTrue="1">
      <formula>($B$6+1.2)</formula>
    </cfRule>
  </conditionalFormatting>
  <printOptions/>
  <pageMargins left="0.7" right="0.7" top="0.75" bottom="0.75" header="0.3" footer="0.3"/>
  <pageSetup horizontalDpi="600" verticalDpi="600" orientation="landscape" r:id="rId3"/>
  <legacyDrawing r:id="rId2"/>
  <oleObjects>
    <oleObject progId="Visio.Drawing.11" shapeId="5738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85" zoomScaleNormal="85" zoomScalePageLayoutView="0" workbookViewId="0" topLeftCell="A7">
      <selection activeCell="N17" sqref="N17"/>
    </sheetView>
  </sheetViews>
  <sheetFormatPr defaultColWidth="9.140625" defaultRowHeight="15"/>
  <cols>
    <col min="1" max="1" width="29.00390625" style="2" bestFit="1" customWidth="1"/>
    <col min="2" max="2" width="8.57421875" style="65" bestFit="1" customWidth="1"/>
    <col min="3" max="3" width="5.57421875" style="65" bestFit="1" customWidth="1"/>
    <col min="4" max="4" width="19.140625" style="2" bestFit="1" customWidth="1"/>
    <col min="5" max="5" width="8.57421875" style="2" customWidth="1"/>
    <col min="6" max="6" width="6.00390625" style="2" bestFit="1" customWidth="1"/>
    <col min="7" max="7" width="18.28125" style="2" bestFit="1" customWidth="1"/>
    <col min="8" max="8" width="12.00390625" style="2" bestFit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10" ht="15">
      <c r="A1" s="11"/>
      <c r="B1" s="75" t="s">
        <v>31</v>
      </c>
      <c r="C1" s="76" t="s">
        <v>73</v>
      </c>
      <c r="D1" s="72" t="s">
        <v>36</v>
      </c>
      <c r="E1" s="44" t="s">
        <v>37</v>
      </c>
      <c r="F1" s="47" t="s">
        <v>54</v>
      </c>
      <c r="G1" s="48"/>
      <c r="H1" s="94" t="s">
        <v>66</v>
      </c>
      <c r="I1" s="94"/>
      <c r="J1" s="94"/>
    </row>
    <row r="2" spans="1:10" ht="15">
      <c r="A2" s="12" t="s">
        <v>0</v>
      </c>
      <c r="B2" s="1">
        <v>5</v>
      </c>
      <c r="C2" s="13" t="s">
        <v>6</v>
      </c>
      <c r="D2" s="60" t="s">
        <v>40</v>
      </c>
      <c r="E2" s="9">
        <v>380</v>
      </c>
      <c r="F2" s="39">
        <f>0.0714*AVERAGE(B2:B3)^2-4.1171*AVERAGE(B2:B3)+97.8</f>
        <v>78.9995</v>
      </c>
      <c r="G2" s="49"/>
      <c r="H2" s="94" t="s">
        <v>67</v>
      </c>
      <c r="I2" s="94"/>
      <c r="J2" s="94"/>
    </row>
    <row r="3" spans="1:10" ht="15">
      <c r="A3" s="12" t="s">
        <v>1</v>
      </c>
      <c r="B3" s="1">
        <v>5</v>
      </c>
      <c r="C3" s="13" t="s">
        <v>6</v>
      </c>
      <c r="D3" s="61" t="s">
        <v>39</v>
      </c>
      <c r="E3" s="9">
        <v>410</v>
      </c>
      <c r="F3" s="28">
        <f>0.0521*AVERAGE(B2:B3)^2-3.6012*AVERAGE(B2:B3)+93.411</f>
        <v>76.7075</v>
      </c>
      <c r="G3" s="50"/>
      <c r="H3" s="94" t="s">
        <v>68</v>
      </c>
      <c r="I3" s="94"/>
      <c r="J3" s="94"/>
    </row>
    <row r="4" spans="1:10" ht="15">
      <c r="A4" s="12" t="s">
        <v>2</v>
      </c>
      <c r="B4" s="1">
        <v>2.95</v>
      </c>
      <c r="C4" s="13" t="s">
        <v>6</v>
      </c>
      <c r="D4" s="21" t="s">
        <v>35</v>
      </c>
      <c r="E4" s="7">
        <v>460</v>
      </c>
      <c r="F4" s="28">
        <f>0.0607*AVERAGE(B2:B3)^2-4.1631*AVERAGE(B2:B3)+116.34</f>
        <v>97.042</v>
      </c>
      <c r="G4" s="38"/>
      <c r="H4" s="38"/>
      <c r="I4" s="38"/>
      <c r="J4" s="38"/>
    </row>
    <row r="5" spans="1:10" ht="15.75" thickBot="1">
      <c r="A5" s="12" t="s">
        <v>3</v>
      </c>
      <c r="B5" s="1">
        <v>5</v>
      </c>
      <c r="C5" s="13" t="s">
        <v>5</v>
      </c>
      <c r="D5" s="62" t="s">
        <v>38</v>
      </c>
      <c r="E5" s="22">
        <v>600</v>
      </c>
      <c r="F5" s="45">
        <f>89.03*AVERAGE(B2:B3)^(-0.386)</f>
        <v>47.83369738725662</v>
      </c>
      <c r="G5" s="38"/>
      <c r="H5" s="38"/>
      <c r="I5" s="38"/>
      <c r="J5" s="38"/>
    </row>
    <row r="6" spans="1:10" ht="15.75" thickBot="1">
      <c r="A6" s="16" t="s">
        <v>23</v>
      </c>
      <c r="B6" s="4">
        <f>B4*B5</f>
        <v>14.75</v>
      </c>
      <c r="C6" s="17" t="s">
        <v>6</v>
      </c>
      <c r="D6" s="38"/>
      <c r="E6" s="38"/>
      <c r="F6" s="38"/>
      <c r="G6" s="38"/>
      <c r="H6" s="38"/>
      <c r="I6" s="38"/>
      <c r="J6" s="38"/>
    </row>
    <row r="7" spans="1:10" ht="15">
      <c r="A7" s="46" t="s">
        <v>63</v>
      </c>
      <c r="B7" s="1">
        <v>500</v>
      </c>
      <c r="C7" s="13" t="s">
        <v>4</v>
      </c>
      <c r="D7" s="63"/>
      <c r="E7" s="40" t="s">
        <v>31</v>
      </c>
      <c r="F7" s="40" t="s">
        <v>32</v>
      </c>
      <c r="G7" s="41" t="s">
        <v>56</v>
      </c>
      <c r="H7" s="38"/>
      <c r="I7" s="38"/>
      <c r="J7" s="35"/>
    </row>
    <row r="8" spans="1:10" ht="15">
      <c r="A8" s="46" t="s">
        <v>64</v>
      </c>
      <c r="B8" s="1">
        <v>1500</v>
      </c>
      <c r="C8" s="13" t="s">
        <v>7</v>
      </c>
      <c r="D8" s="21" t="s">
        <v>26</v>
      </c>
      <c r="E8" s="7">
        <v>4.7</v>
      </c>
      <c r="F8" s="10" t="s">
        <v>33</v>
      </c>
      <c r="G8" s="20">
        <v>1206</v>
      </c>
      <c r="H8" s="38"/>
      <c r="I8" s="38"/>
      <c r="J8" s="35"/>
    </row>
    <row r="9" spans="1:10" ht="15">
      <c r="A9" s="81" t="s">
        <v>65</v>
      </c>
      <c r="B9" s="3">
        <v>10</v>
      </c>
      <c r="C9" s="15" t="s">
        <v>13</v>
      </c>
      <c r="D9" s="21" t="s">
        <v>27</v>
      </c>
      <c r="E9" s="10">
        <f>MAX(B2:B3)</f>
        <v>5</v>
      </c>
      <c r="F9" s="10" t="s">
        <v>6</v>
      </c>
      <c r="G9" s="19" t="s">
        <v>57</v>
      </c>
      <c r="H9" s="38"/>
      <c r="I9" s="38"/>
      <c r="J9" s="35"/>
    </row>
    <row r="10" spans="1:16" ht="15">
      <c r="A10" s="14" t="s">
        <v>12</v>
      </c>
      <c r="B10" s="3">
        <v>55</v>
      </c>
      <c r="C10" s="15" t="s">
        <v>25</v>
      </c>
      <c r="D10" s="21" t="s">
        <v>28</v>
      </c>
      <c r="E10" s="7">
        <f>B16</f>
        <v>1000</v>
      </c>
      <c r="F10" s="7" t="str">
        <f>C15</f>
        <v>µH</v>
      </c>
      <c r="G10" s="19" t="s">
        <v>58</v>
      </c>
      <c r="H10" s="38"/>
      <c r="I10" s="38"/>
      <c r="J10" s="35"/>
      <c r="O10" s="83"/>
      <c r="P10" s="83"/>
    </row>
    <row r="11" spans="1:10" ht="15">
      <c r="A11" s="12" t="s">
        <v>24</v>
      </c>
      <c r="B11" s="1">
        <v>600</v>
      </c>
      <c r="C11" s="13" t="s">
        <v>15</v>
      </c>
      <c r="D11" s="21" t="s">
        <v>29</v>
      </c>
      <c r="E11" s="8">
        <f>B31</f>
        <v>386.47342995169083</v>
      </c>
      <c r="F11" s="7" t="str">
        <f>C31</f>
        <v>kΩ</v>
      </c>
      <c r="G11" s="20">
        <v>603</v>
      </c>
      <c r="H11" s="38"/>
      <c r="I11" s="38"/>
      <c r="J11" s="35"/>
    </row>
    <row r="12" spans="1:10" ht="15">
      <c r="A12" s="73" t="s">
        <v>54</v>
      </c>
      <c r="B12" s="1">
        <v>26</v>
      </c>
      <c r="C12" s="74" t="s">
        <v>55</v>
      </c>
      <c r="D12" s="21" t="s">
        <v>30</v>
      </c>
      <c r="E12" s="7">
        <v>1</v>
      </c>
      <c r="F12" s="10" t="s">
        <v>34</v>
      </c>
      <c r="G12" s="20">
        <v>603</v>
      </c>
      <c r="H12" s="38"/>
      <c r="I12" s="38"/>
      <c r="J12" s="35"/>
    </row>
    <row r="13" spans="1:10" ht="15.75" thickBot="1">
      <c r="A13" s="46" t="s">
        <v>42</v>
      </c>
      <c r="B13" s="23">
        <f>0.22/(B7*0.001*((B6+(B11*0.001))/B2))*1000</f>
        <v>143.3224755700326</v>
      </c>
      <c r="C13" s="13" t="s">
        <v>25</v>
      </c>
      <c r="D13" s="62" t="s">
        <v>41</v>
      </c>
      <c r="E13" s="42">
        <f>B13</f>
        <v>143.3224755700326</v>
      </c>
      <c r="F13" s="66" t="s">
        <v>25</v>
      </c>
      <c r="G13" s="43">
        <f>IF((LOOKUP((2.5*MAX(E29,H29)),D15:D20,E15:E20)="#N/A"),402,(LOOKUP((2*MAX(E29,H29)),D15:D20,E15:E20)))</f>
        <v>805</v>
      </c>
      <c r="H13" s="38"/>
      <c r="I13" s="38"/>
      <c r="J13" s="35"/>
    </row>
    <row r="14" spans="1:10" ht="15">
      <c r="A14" s="18" t="s">
        <v>8</v>
      </c>
      <c r="B14" s="5">
        <v>1000</v>
      </c>
      <c r="C14" s="17" t="s">
        <v>25</v>
      </c>
      <c r="D14" s="35">
        <f>E14*F14</f>
        <v>2.94</v>
      </c>
      <c r="E14" s="35">
        <v>2.94</v>
      </c>
      <c r="F14" s="90">
        <v>1</v>
      </c>
      <c r="G14" s="38"/>
      <c r="H14" s="38"/>
      <c r="I14" s="38"/>
      <c r="J14" s="35"/>
    </row>
    <row r="15" spans="1:17" ht="15">
      <c r="A15" s="18" t="s">
        <v>20</v>
      </c>
      <c r="B15" s="89">
        <f>((1/(B8*1000))*(B6+B11*0.001-B2)*(B2/(B6+B11*0.001))*(1/H17))*1000000</f>
        <v>56.18892508143323</v>
      </c>
      <c r="C15" s="17" t="s">
        <v>10</v>
      </c>
      <c r="D15" s="91">
        <v>1</v>
      </c>
      <c r="E15" s="91">
        <v>402</v>
      </c>
      <c r="F15" s="38"/>
      <c r="G15" s="38"/>
      <c r="H15" s="38"/>
      <c r="I15" s="38"/>
      <c r="J15" s="35"/>
      <c r="P15" s="82"/>
      <c r="Q15" s="82"/>
    </row>
    <row r="16" spans="1:10" ht="15">
      <c r="A16" s="12" t="s">
        <v>11</v>
      </c>
      <c r="B16" s="23">
        <v>1000</v>
      </c>
      <c r="C16" s="13" t="s">
        <v>10</v>
      </c>
      <c r="D16" s="91">
        <f>1/16*1000</f>
        <v>62.5</v>
      </c>
      <c r="E16" s="91">
        <v>603</v>
      </c>
      <c r="F16" s="38"/>
      <c r="G16" s="38"/>
      <c r="H16" s="38"/>
      <c r="I16" s="38"/>
      <c r="J16" s="35"/>
    </row>
    <row r="17" spans="1:10" ht="15.75" thickBot="1">
      <c r="A17" s="51" t="s">
        <v>9</v>
      </c>
      <c r="B17" s="52">
        <v>100</v>
      </c>
      <c r="C17" s="53" t="s">
        <v>25</v>
      </c>
      <c r="D17" s="91">
        <f>1/8*1000</f>
        <v>125</v>
      </c>
      <c r="E17" s="91">
        <v>805</v>
      </c>
      <c r="F17" s="38"/>
      <c r="G17" s="93" t="s">
        <v>74</v>
      </c>
      <c r="H17" s="38">
        <f>0.04/($B$14*0.001)</f>
        <v>0.04</v>
      </c>
      <c r="I17" s="38"/>
      <c r="J17" s="35"/>
    </row>
    <row r="18" spans="1:10" ht="15">
      <c r="A18" s="54" t="s">
        <v>80</v>
      </c>
      <c r="B18" s="55">
        <f>($H$17*$B$16*0.000001)/$B$2*1000000</f>
        <v>8</v>
      </c>
      <c r="C18" s="56" t="s">
        <v>14</v>
      </c>
      <c r="D18" s="91">
        <f>1/4*1000</f>
        <v>250</v>
      </c>
      <c r="E18" s="91">
        <v>1206</v>
      </c>
      <c r="F18" s="38"/>
      <c r="G18" s="38"/>
      <c r="H18" s="38"/>
      <c r="I18" s="38"/>
      <c r="J18" s="35"/>
    </row>
    <row r="19" spans="1:10" ht="15">
      <c r="A19" s="29" t="s">
        <v>50</v>
      </c>
      <c r="B19" s="6">
        <f>$H$17/((($B$6+$B$11*0.001)-$B$2)/($B$16*0.000001))*1000000</f>
        <v>3.864734299516908</v>
      </c>
      <c r="C19" s="17" t="s">
        <v>14</v>
      </c>
      <c r="D19" s="91">
        <f>1/2*1000</f>
        <v>500</v>
      </c>
      <c r="E19" s="91">
        <v>1210</v>
      </c>
      <c r="F19" s="38"/>
      <c r="G19" s="38"/>
      <c r="H19" s="38"/>
      <c r="I19" s="38"/>
      <c r="J19" s="35"/>
    </row>
    <row r="20" spans="1:10" ht="15">
      <c r="A20" s="29" t="s">
        <v>18</v>
      </c>
      <c r="B20" s="5">
        <f>1/(B19+B18)*1000</f>
        <v>84.28338762214985</v>
      </c>
      <c r="C20" s="17" t="s">
        <v>7</v>
      </c>
      <c r="D20" s="91">
        <v>1</v>
      </c>
      <c r="E20" s="91">
        <v>2512</v>
      </c>
      <c r="F20" s="38"/>
      <c r="G20" s="38"/>
      <c r="H20" s="38"/>
      <c r="I20" s="38"/>
      <c r="J20" s="35"/>
    </row>
    <row r="21" spans="1:10" ht="15">
      <c r="A21" s="29" t="s">
        <v>19</v>
      </c>
      <c r="B21" s="6">
        <f>B18/(B19+B18)*100</f>
        <v>67.42671009771988</v>
      </c>
      <c r="C21" s="17" t="s">
        <v>13</v>
      </c>
      <c r="D21" s="38"/>
      <c r="E21" s="38"/>
      <c r="F21" s="38"/>
      <c r="G21" s="38"/>
      <c r="H21" s="38"/>
      <c r="I21" s="38"/>
      <c r="J21" s="35"/>
    </row>
    <row r="22" spans="1:10" ht="15">
      <c r="A22" s="29" t="s">
        <v>71</v>
      </c>
      <c r="B22" s="5">
        <f>B7*((B19)/(B18+B19))</f>
        <v>162.86644951140065</v>
      </c>
      <c r="C22" s="17" t="s">
        <v>4</v>
      </c>
      <c r="D22" s="38" t="s">
        <v>60</v>
      </c>
      <c r="E22" s="92">
        <v>21</v>
      </c>
      <c r="F22" s="92" t="s">
        <v>62</v>
      </c>
      <c r="G22" s="38"/>
      <c r="H22" s="38"/>
      <c r="I22" s="38"/>
      <c r="J22" s="35"/>
    </row>
    <row r="23" spans="1:10" ht="15.75" thickBot="1">
      <c r="A23" s="57" t="s">
        <v>81</v>
      </c>
      <c r="B23" s="68">
        <f>SQRT($B$6/$B$3)*($B$7+($B$6*$B$25/$B$16)/SQRT(12))</f>
        <v>858.8064657632121</v>
      </c>
      <c r="C23" s="69" t="s">
        <v>4</v>
      </c>
      <c r="D23" s="38" t="s">
        <v>61</v>
      </c>
      <c r="E23" s="92">
        <f>E22</f>
        <v>21</v>
      </c>
      <c r="F23" s="92" t="s">
        <v>62</v>
      </c>
      <c r="G23" s="38"/>
      <c r="H23" s="38"/>
      <c r="I23" s="38"/>
      <c r="J23" s="35"/>
    </row>
    <row r="24" spans="1:10" ht="15">
      <c r="A24" s="54" t="s">
        <v>51</v>
      </c>
      <c r="B24" s="55">
        <f>($H$17*$B$16*0.000001)/$B$3*1000000</f>
        <v>8</v>
      </c>
      <c r="C24" s="56" t="s">
        <v>14</v>
      </c>
      <c r="D24" s="38"/>
      <c r="E24" s="38"/>
      <c r="F24" s="38"/>
      <c r="G24" s="38"/>
      <c r="H24" s="38"/>
      <c r="I24" s="38"/>
      <c r="J24" s="35"/>
    </row>
    <row r="25" spans="1:10" ht="15">
      <c r="A25" s="29" t="s">
        <v>75</v>
      </c>
      <c r="B25" s="6">
        <f>$H$17/((($B$6+$B$11*0.001)-$B$2)/($B$16*0.000001))*1000000</f>
        <v>3.864734299516908</v>
      </c>
      <c r="C25" s="17" t="s">
        <v>14</v>
      </c>
      <c r="D25" s="38"/>
      <c r="E25" s="38"/>
      <c r="F25" s="38"/>
      <c r="G25" s="38"/>
      <c r="H25" s="38"/>
      <c r="I25" s="38"/>
      <c r="J25" s="35"/>
    </row>
    <row r="26" spans="1:10" ht="15.75" thickBot="1">
      <c r="A26" s="29" t="s">
        <v>76</v>
      </c>
      <c r="B26" s="5">
        <f>1/(B25+B24)*1000</f>
        <v>84.28338762214985</v>
      </c>
      <c r="C26" s="17" t="s">
        <v>7</v>
      </c>
      <c r="D26" s="35"/>
      <c r="E26" s="35"/>
      <c r="F26" s="35"/>
      <c r="G26" s="35"/>
      <c r="H26" s="35"/>
      <c r="I26" s="35"/>
      <c r="J26" s="35"/>
    </row>
    <row r="27" spans="1:10" ht="15">
      <c r="A27" s="29" t="s">
        <v>77</v>
      </c>
      <c r="B27" s="6">
        <f>B24/(B24+B25)*100</f>
        <v>67.42671009771988</v>
      </c>
      <c r="C27" s="25" t="s">
        <v>13</v>
      </c>
      <c r="D27" s="30" t="s">
        <v>44</v>
      </c>
      <c r="E27" s="31">
        <f>B2</f>
        <v>5</v>
      </c>
      <c r="F27" s="35"/>
      <c r="G27" s="30" t="s">
        <v>44</v>
      </c>
      <c r="H27" s="31">
        <f>B3</f>
        <v>5</v>
      </c>
      <c r="I27" s="35"/>
      <c r="J27" s="35"/>
    </row>
    <row r="28" spans="1:10" ht="15">
      <c r="A28" s="29" t="s">
        <v>78</v>
      </c>
      <c r="B28" s="5">
        <f>B7*((B25)/(B24+B25))</f>
        <v>162.86644951140065</v>
      </c>
      <c r="C28" s="25" t="s">
        <v>4</v>
      </c>
      <c r="D28" s="37" t="s">
        <v>53</v>
      </c>
      <c r="E28" s="24">
        <f>E27*1.5</f>
        <v>7.5</v>
      </c>
      <c r="F28" s="35"/>
      <c r="G28" s="37" t="s">
        <v>53</v>
      </c>
      <c r="H28" s="24">
        <f>H27*1.5</f>
        <v>7.5</v>
      </c>
      <c r="I28" s="35"/>
      <c r="J28" s="35"/>
    </row>
    <row r="29" spans="1:10" ht="15">
      <c r="A29" s="70" t="s">
        <v>79</v>
      </c>
      <c r="B29" s="6">
        <f>SQRT($B$6/$B$2)*($B$7+($B$6*$B$25/$B$16)/SQRT(12))</f>
        <v>858.8064657632121</v>
      </c>
      <c r="C29" s="67" t="s">
        <v>4</v>
      </c>
      <c r="D29" s="32" t="s">
        <v>45</v>
      </c>
      <c r="E29" s="27">
        <f>(($B$29/1000)^2*($B$13/1000))*1000</f>
        <v>105.70728341372892</v>
      </c>
      <c r="F29" s="35"/>
      <c r="G29" s="32" t="s">
        <v>45</v>
      </c>
      <c r="H29" s="27">
        <f>(($B$23/1000)^2*($B$13/1000))*1000</f>
        <v>105.70728341372892</v>
      </c>
      <c r="I29" s="35"/>
      <c r="J29" s="35"/>
    </row>
    <row r="30" spans="1:10" ht="15.75" thickBot="1">
      <c r="A30" s="57" t="s">
        <v>59</v>
      </c>
      <c r="B30" s="71">
        <f>(B7*0.001+((0.5*B6*B25)/B16))*1000</f>
        <v>528.5024154589372</v>
      </c>
      <c r="C30" s="77" t="s">
        <v>4</v>
      </c>
      <c r="D30" s="33" t="s">
        <v>46</v>
      </c>
      <c r="E30" s="28">
        <f>$B$28*($B$11/1000)+0.5*$B$2^2*$B$12*$B$26*0.000000000001*1000*1000</f>
        <v>97.74726180781758</v>
      </c>
      <c r="F30" s="36"/>
      <c r="G30" s="33" t="s">
        <v>46</v>
      </c>
      <c r="H30" s="28">
        <f>$B$22*($B$11/1000)+0.5*$B$2^2*$B$12*$B$20*0.000000000001*1000*1000</f>
        <v>97.74726180781758</v>
      </c>
      <c r="I30" s="35"/>
      <c r="J30" s="35"/>
    </row>
    <row r="31" spans="1:10" ht="15.75" thickBot="1">
      <c r="A31" s="58" t="s">
        <v>21</v>
      </c>
      <c r="B31" s="59">
        <f>B25*0.000001*100000000</f>
        <v>386.47342995169083</v>
      </c>
      <c r="C31" s="78" t="s">
        <v>22</v>
      </c>
      <c r="D31" s="33" t="s">
        <v>47</v>
      </c>
      <c r="E31" s="28">
        <f>(($B$29/1000)^2*($B$10/1000)*1000)+(($B$2*($B$30/1000-($B$6*$B$25/$B$16))*$E$22*0.000000001*$B$26*1000)/2+(($B$2*$B$30*$E$23*0.000000001*$B$26)/2))*1000</f>
        <v>44.99004786018133</v>
      </c>
      <c r="F31" s="35"/>
      <c r="G31" s="33" t="s">
        <v>47</v>
      </c>
      <c r="H31" s="28">
        <f>(($B$23/1000)^2*($B$10/1000)*1000)+(($B$3*($B$30/1000-($B$6*$B$19/$B$16))*$E$22*0.000000001*$B$20*1000)/2+(($B$3*$B$30*$E$23*0.000000001*$B$20)/2))*1000</f>
        <v>44.99004786018133</v>
      </c>
      <c r="I31" s="35"/>
      <c r="J31" s="35"/>
    </row>
    <row r="32" spans="1:10" ht="15">
      <c r="A32" s="35"/>
      <c r="B32" s="64"/>
      <c r="C32" s="64"/>
      <c r="D32" s="33" t="s">
        <v>48</v>
      </c>
      <c r="E32" s="28">
        <f>($B$7/1000)^2*$B$17</f>
        <v>25</v>
      </c>
      <c r="F32" s="35"/>
      <c r="G32" s="33" t="s">
        <v>48</v>
      </c>
      <c r="H32" s="28">
        <f>($B$7/1000)^2*$B$17</f>
        <v>25</v>
      </c>
      <c r="I32" s="35"/>
      <c r="J32" s="35"/>
    </row>
    <row r="33" spans="1:10" ht="15.75" thickBot="1">
      <c r="A33" s="35"/>
      <c r="B33" s="64"/>
      <c r="C33" s="64"/>
      <c r="D33" s="34" t="s">
        <v>43</v>
      </c>
      <c r="E33" s="26">
        <f>((B7/1000)*B6)/((SUM(E28:E32)/1000)+((B7/1000)*B6))</f>
        <v>0.9633037321958152</v>
      </c>
      <c r="F33" s="35"/>
      <c r="G33" s="34" t="s">
        <v>43</v>
      </c>
      <c r="H33" s="26">
        <f>((B7/1000)*B6)/((SUM(H28:H32)/1000)+((B7/1000)*B6))</f>
        <v>0.9633037321958152</v>
      </c>
      <c r="I33" s="35"/>
      <c r="J33" s="35"/>
    </row>
    <row r="34" spans="1:10" ht="15">
      <c r="A34" s="35"/>
      <c r="B34" s="64"/>
      <c r="C34" s="64"/>
      <c r="D34" s="35"/>
      <c r="E34" s="35"/>
      <c r="F34" s="35"/>
      <c r="G34" s="35"/>
      <c r="H34" s="35"/>
      <c r="I34" s="35"/>
      <c r="J34" s="35"/>
    </row>
    <row r="38" ht="15">
      <c r="F38"/>
    </row>
    <row r="39" ht="15">
      <c r="F39"/>
    </row>
    <row r="40" ht="15">
      <c r="F40"/>
    </row>
    <row r="41" spans="6:7" ht="15">
      <c r="F41"/>
      <c r="G41" s="80"/>
    </row>
    <row r="42" spans="6:8" ht="15">
      <c r="F42"/>
      <c r="H42" s="80"/>
    </row>
    <row r="43" spans="6:8" ht="15">
      <c r="F43"/>
      <c r="H43" s="80"/>
    </row>
    <row r="44" ht="15">
      <c r="G44" s="79"/>
    </row>
    <row r="45" spans="7:11" ht="15">
      <c r="G45" s="79"/>
      <c r="I45" s="79"/>
      <c r="K45"/>
    </row>
    <row r="46" spans="7:11" ht="15">
      <c r="G46" s="79"/>
      <c r="H46" s="79"/>
      <c r="I46" s="79"/>
      <c r="K46"/>
    </row>
    <row r="47" spans="7:9" ht="15">
      <c r="G47" s="79"/>
      <c r="H47" s="79"/>
      <c r="I47" s="79"/>
    </row>
    <row r="48" spans="6:7" ht="15">
      <c r="F48"/>
      <c r="G48" s="80"/>
    </row>
    <row r="49" spans="6:8" ht="15">
      <c r="F49"/>
      <c r="H49" s="80"/>
    </row>
    <row r="50" ht="15">
      <c r="F50"/>
    </row>
  </sheetData>
  <sheetProtection/>
  <protectedRanges>
    <protectedRange sqref="B16:B17" name="Range4"/>
    <protectedRange sqref="B11:B13" name="Range3"/>
    <protectedRange sqref="B7:B8" name="Range2"/>
    <protectedRange password="D2C3" sqref="B2:B5" name="Range1"/>
  </protectedRanges>
  <mergeCells count="3">
    <mergeCell ref="H1:J1"/>
    <mergeCell ref="H2:J2"/>
    <mergeCell ref="H3:J3"/>
  </mergeCells>
  <conditionalFormatting sqref="B2:B3">
    <cfRule type="cellIs" priority="1" dxfId="0" operator="greaterThan" stopIfTrue="1">
      <formula>($B$6-1.2)</formula>
    </cfRule>
  </conditionalFormatting>
  <printOptions/>
  <pageMargins left="0.7" right="0.7" top="0.75" bottom="0.75" header="0.3" footer="0.3"/>
  <pageSetup horizontalDpi="600" verticalDpi="600" orientation="landscape" r:id="rId3"/>
  <legacyDrawing r:id="rId2"/>
  <oleObjects>
    <oleObject progId="Visio.Drawing.11" shapeId="117940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user</cp:lastModifiedBy>
  <cp:lastPrinted>2012-10-05T21:43:17Z</cp:lastPrinted>
  <dcterms:created xsi:type="dcterms:W3CDTF">2012-09-26T19:00:45Z</dcterms:created>
  <dcterms:modified xsi:type="dcterms:W3CDTF">2014-07-15T22:50:21Z</dcterms:modified>
  <cp:category/>
  <cp:version/>
  <cp:contentType/>
  <cp:contentStatus/>
</cp:coreProperties>
</file>