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ftdph\Userdata\Optronix IV - NCL3048xB\Calculs\Excel\"/>
    </mc:Choice>
  </mc:AlternateContent>
  <bookViews>
    <workbookView xWindow="0" yWindow="0" windowWidth="23040" windowHeight="9192"/>
  </bookViews>
  <sheets>
    <sheet name="Spreadsheet" sheetId="1" r:id="rId1"/>
    <sheet name="constants" sheetId="2" r:id="rId2"/>
    <sheet name="TransFunc" sheetId="3" r:id="rId3"/>
  </sheets>
  <definedNames>
    <definedName name="µF">Spreadsheet!$E$62</definedName>
    <definedName name="µH">Spreadsheet!$E$41</definedName>
    <definedName name="alpha">constants!$B$19</definedName>
    <definedName name="b1_">TransFunc!$C$18</definedName>
    <definedName name="BVdss">Spreadsheet!$C$24</definedName>
    <definedName name="CCOMP2">Spreadsheet!$C$85</definedName>
    <definedName name="COSS">Spreadsheet!$C$22</definedName>
    <definedName name="Cout">Spreadsheet!$C$63</definedName>
    <definedName name="D_LL">constants!$B$22</definedName>
    <definedName name="D21_">TransFunc!$C$7</definedName>
    <definedName name="Effi">Spreadsheet!$C$20</definedName>
    <definedName name="Fc">Spreadsheet!$C$76</definedName>
    <definedName name="Fline">Spreadsheet!$C$11</definedName>
    <definedName name="fpCOMP">Spreadsheet!$C$84</definedName>
    <definedName name="Fsw">Spreadsheet!$C$40</definedName>
    <definedName name="fzCOMP">Spreadsheet!$C$82</definedName>
    <definedName name="gmCV">constants!$B$17</definedName>
    <definedName name="H0">TransFunc!$C$8</definedName>
    <definedName name="H01_">TransFunc!$C$19</definedName>
    <definedName name="HFc">Spreadsheet!$C$79</definedName>
    <definedName name="HPS_Fc">TransFunc!$C$24</definedName>
    <definedName name="ICC2_">constants!$B$12</definedName>
    <definedName name="Iout">Spreadsheet!$C$13</definedName>
    <definedName name="Ipri_rms">Spreadsheet!$C$43</definedName>
    <definedName name="Isec_rms">Spreadsheet!$C$44</definedName>
    <definedName name="IZCD_max">constants!$B$9</definedName>
    <definedName name="kc">Spreadsheet!$C$34</definedName>
    <definedName name="kCV">constants!$B$14</definedName>
    <definedName name="Kd2Vc1">TransFunc!$C$13</definedName>
    <definedName name="Kd2Vo1">TransFunc!$C$11</definedName>
    <definedName name="Kd2Vo1_1">TransFunc!$C$9</definedName>
    <definedName name="Kd2Vo1_2">TransFunc!$C$10</definedName>
    <definedName name="kdiv">constants!$B$15</definedName>
    <definedName name="KHV">constants!$B$6</definedName>
    <definedName name="KIout_PPR">Spreadsheet!$C$60</definedName>
    <definedName name="Kleak">Spreadsheet!$C$31</definedName>
    <definedName name="KLFF">constants!$B$8</definedName>
    <definedName name="Kv1_">TransFunc!$C$14</definedName>
    <definedName name="Kv2_">TransFunc!$C$12</definedName>
    <definedName name="KZCD">Spreadsheet!$C$53</definedName>
    <definedName name="Lleak">Spreadsheet!$C$69</definedName>
    <definedName name="Lp">Spreadsheet!$C$42</definedName>
    <definedName name="Nauxp">Spreadsheet!$C$38</definedName>
    <definedName name="nC">Spreadsheet!$E$25</definedName>
    <definedName name="Nsp">Spreadsheet!$C$36</definedName>
    <definedName name="num_HPS">TransFunc!$C$23</definedName>
    <definedName name="PBoost">Spreadsheet!$C$78</definedName>
    <definedName name="pF">Spreadsheet!$E$22</definedName>
    <definedName name="PM">Spreadsheet!$C$77</definedName>
    <definedName name="pole1_Fc">TransFunc!$C$22</definedName>
    <definedName name="Pout_max">Spreadsheet!$C$17</definedName>
    <definedName name="Pout_min">Spreadsheet!$C$16</definedName>
    <definedName name="PS">constants!$B$24</definedName>
    <definedName name="Qg">Spreadsheet!$C$25</definedName>
    <definedName name="Rclamp">Spreadsheet!$C$72</definedName>
    <definedName name="RCOMP">Spreadsheet!$C$81</definedName>
    <definedName name="Rdson110">Spreadsheet!$C$23</definedName>
    <definedName name="rESR">Spreadsheet!$C$64</definedName>
    <definedName name="RLED_min">Spreadsheet!$C$61</definedName>
    <definedName name="Rload">Spreadsheet!$C$18</definedName>
    <definedName name="Rsense">Spreadsheet!$C$48</definedName>
    <definedName name="RZCDL">Spreadsheet!$C$55</definedName>
    <definedName name="RZCDU">Spreadsheet!$C$52</definedName>
    <definedName name="tau">constants!$B$16</definedName>
    <definedName name="tdemag1">TransFunc!$C$5</definedName>
    <definedName name="tprop">Spreadsheet!$C$26</definedName>
    <definedName name="Tsw_OVP">Spreadsheet!$C$70</definedName>
    <definedName name="Tsw1_">TransFunc!$C$6</definedName>
    <definedName name="tv">TransFunc!$C$2</definedName>
    <definedName name="VCC_min">Spreadsheet!$C$28</definedName>
    <definedName name="VCCoff">constants!$B$11</definedName>
    <definedName name="VCCon">constants!$B$10</definedName>
    <definedName name="VCCOVP">constants!$B$5</definedName>
    <definedName name="Vclamp">Spreadsheet!$C$68</definedName>
    <definedName name="VCS1_">TransFunc!$C$3</definedName>
    <definedName name="VDS_max">Spreadsheet!$C$32</definedName>
    <definedName name="Vf">Spreadsheet!$C$19</definedName>
    <definedName name="VILIMIT">constants!$B$13</definedName>
    <definedName name="Vin_max">Spreadsheet!$C$9</definedName>
    <definedName name="Vin_min">Spreadsheet!$C$8</definedName>
    <definedName name="Vin_typ">Spreadsheet!$C$10</definedName>
    <definedName name="VO">TransFunc!$C$4</definedName>
    <definedName name="Vos">constants!$B$20</definedName>
    <definedName name="Vout_min">Spreadsheet!$C$14</definedName>
    <definedName name="Vout_nom">Spreadsheet!$C$15</definedName>
    <definedName name="VoutOVP">Spreadsheet!$C$33</definedName>
    <definedName name="VREF">constants!$B$4</definedName>
    <definedName name="VREFCV">constants!$B$7</definedName>
    <definedName name="Vsec_max">Spreadsheet!$C$58</definedName>
    <definedName name="zero1_Fc">TransFunc!$C$20</definedName>
    <definedName name="zero2_Fc">TransFunc!$C$21</definedName>
    <definedName name="α">constants!$B$19</definedName>
    <definedName name="ωp11">TransFunc!$C$15</definedName>
    <definedName name="ωz11">TransFunc!$C$16</definedName>
    <definedName name="ωz21">TransFunc!$C$17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78" i="1"/>
  <c r="C18" i="1"/>
  <c r="E63" i="1" l="1"/>
  <c r="E41" i="1"/>
  <c r="E62" i="1"/>
  <c r="C16" i="3" s="1"/>
  <c r="C20" i="3" s="1"/>
  <c r="E70" i="1"/>
  <c r="E73" i="1"/>
  <c r="E69" i="1"/>
  <c r="C69" i="1"/>
  <c r="C53" i="1"/>
  <c r="C54" i="1" s="1"/>
  <c r="B8" i="2"/>
  <c r="C62" i="1"/>
  <c r="C49" i="1"/>
  <c r="C47" i="1"/>
  <c r="C44" i="1"/>
  <c r="C65" i="1" s="1"/>
  <c r="C43" i="1"/>
  <c r="C41" i="1"/>
  <c r="E42" i="1"/>
  <c r="C70" i="1" s="1"/>
  <c r="C37" i="1"/>
  <c r="C39" i="1"/>
  <c r="C33" i="1"/>
  <c r="C58" i="1" s="1"/>
  <c r="C59" i="1" s="1"/>
  <c r="C32" i="1"/>
  <c r="C35" i="1" s="1"/>
  <c r="E26" i="1"/>
  <c r="E25" i="1"/>
  <c r="E22" i="1"/>
  <c r="C17" i="1"/>
  <c r="C16" i="1"/>
  <c r="C2" i="3" l="1"/>
  <c r="C3" i="3"/>
  <c r="C15" i="3" s="1"/>
  <c r="C50" i="1"/>
  <c r="C68" i="1"/>
  <c r="C5" i="3" l="1"/>
  <c r="C8" i="3"/>
  <c r="C6" i="3"/>
  <c r="C17" i="3"/>
  <c r="C21" i="3" s="1"/>
  <c r="C10" i="3"/>
  <c r="C9" i="3"/>
  <c r="C11" i="3" s="1"/>
  <c r="C71" i="1"/>
  <c r="C73" i="1"/>
  <c r="C7" i="3" l="1"/>
  <c r="C13" i="3"/>
  <c r="C12" i="3" l="1"/>
  <c r="C14" i="3"/>
  <c r="C18" i="3" l="1"/>
  <c r="C19" i="3"/>
  <c r="C23" i="3" s="1"/>
  <c r="C22" i="3" l="1"/>
  <c r="C24" i="3" s="1"/>
  <c r="C79" i="1" s="1"/>
  <c r="C80" i="1" s="1"/>
  <c r="C82" i="1"/>
  <c r="C84" i="1" l="1"/>
  <c r="C85" i="1" s="1"/>
  <c r="C83" i="1"/>
</calcChain>
</file>

<file path=xl/sharedStrings.xml><?xml version="1.0" encoding="utf-8"?>
<sst xmlns="http://schemas.openxmlformats.org/spreadsheetml/2006/main" count="271" uniqueCount="219">
  <si>
    <t>Minimum AC input voltage</t>
  </si>
  <si>
    <t>V rms</t>
  </si>
  <si>
    <t>Hz</t>
  </si>
  <si>
    <t>Minimum line frequency</t>
  </si>
  <si>
    <t>A</t>
  </si>
  <si>
    <t>Nominal Output current</t>
  </si>
  <si>
    <t>Minimum output voltage for LED string</t>
  </si>
  <si>
    <t>V</t>
  </si>
  <si>
    <t>Output voltage setpoint for CV mode</t>
  </si>
  <si>
    <t>W</t>
  </si>
  <si>
    <t>Minimum output power</t>
  </si>
  <si>
    <t>Maximum output power</t>
  </si>
  <si>
    <t>Output rectifier forward voltage drop (use 1 V if unknown)</t>
  </si>
  <si>
    <t>Estimated efficiency</t>
  </si>
  <si>
    <t>η</t>
  </si>
  <si>
    <t>INPUT VOLTAGE</t>
  </si>
  <si>
    <t>OUTPUT</t>
  </si>
  <si>
    <t>MOSFET</t>
  </si>
  <si>
    <t>pF</t>
  </si>
  <si>
    <t>Ω</t>
  </si>
  <si>
    <t>MOSFET breakdown voltage</t>
  </si>
  <si>
    <t>α</t>
  </si>
  <si>
    <t>nC</t>
  </si>
  <si>
    <t>Total gate charge</t>
  </si>
  <si>
    <t>Vos</t>
  </si>
  <si>
    <t>clamping diode recovery time overshoot</t>
  </si>
  <si>
    <t>CC reference voltage</t>
  </si>
  <si>
    <t>derating factor for BVdss</t>
  </si>
  <si>
    <t>ns</t>
  </si>
  <si>
    <t>Total propagation delay time</t>
  </si>
  <si>
    <t>FLYBACK TRANSFORMER CALCULATION</t>
  </si>
  <si>
    <t>Maximum drain voltage after derating</t>
  </si>
  <si>
    <t>Output voltage value at which fast OVP triggers</t>
  </si>
  <si>
    <t>D,LL</t>
  </si>
  <si>
    <t>Maximum duty-cycle at sinus top, max Pout, low Line 
is 0,5 if VREF = 333 mV</t>
  </si>
  <si>
    <r>
      <t>N</t>
    </r>
    <r>
      <rPr>
        <vertAlign val="subscript"/>
        <sz val="12"/>
        <color theme="1"/>
        <rFont val="Times New Roman"/>
        <family val="1"/>
      </rPr>
      <t>sp,calc</t>
    </r>
  </si>
  <si>
    <r>
      <t>N</t>
    </r>
    <r>
      <rPr>
        <vertAlign val="subscript"/>
        <sz val="12"/>
        <color theme="1"/>
        <rFont val="Times New Roman"/>
        <family val="1"/>
      </rPr>
      <t>sp</t>
    </r>
  </si>
  <si>
    <r>
      <t>V</t>
    </r>
    <r>
      <rPr>
        <vertAlign val="subscript"/>
        <sz val="12"/>
        <color theme="1"/>
        <rFont val="Times New Roman"/>
        <family val="1"/>
      </rPr>
      <t>outOVP</t>
    </r>
  </si>
  <si>
    <r>
      <t>V</t>
    </r>
    <r>
      <rPr>
        <vertAlign val="subscript"/>
        <sz val="12"/>
        <color theme="1"/>
        <rFont val="Times New Roman"/>
        <family val="1"/>
      </rPr>
      <t>DS,max</t>
    </r>
  </si>
  <si>
    <r>
      <t>K</t>
    </r>
    <r>
      <rPr>
        <vertAlign val="subscript"/>
        <sz val="12"/>
        <color theme="1"/>
        <rFont val="Times New Roman"/>
        <family val="1"/>
      </rPr>
      <t>leak</t>
    </r>
  </si>
  <si>
    <r>
      <t>t</t>
    </r>
    <r>
      <rPr>
        <vertAlign val="subscript"/>
        <sz val="12"/>
        <color theme="1"/>
        <rFont val="Times New Roman"/>
        <family val="1"/>
      </rPr>
      <t>prop</t>
    </r>
  </si>
  <si>
    <r>
      <t>Q</t>
    </r>
    <r>
      <rPr>
        <vertAlign val="subscript"/>
        <sz val="12"/>
        <color theme="1"/>
        <rFont val="Times New Roman"/>
        <family val="1"/>
      </rPr>
      <t>g</t>
    </r>
  </si>
  <si>
    <r>
      <t>R</t>
    </r>
    <r>
      <rPr>
        <vertAlign val="subscript"/>
        <sz val="12"/>
        <color theme="1"/>
        <rFont val="Times New Roman"/>
        <family val="1"/>
      </rPr>
      <t>dson110</t>
    </r>
  </si>
  <si>
    <r>
      <t>BV</t>
    </r>
    <r>
      <rPr>
        <vertAlign val="subscript"/>
        <sz val="12"/>
        <color theme="1"/>
        <rFont val="Times New Roman"/>
        <family val="1"/>
      </rPr>
      <t>dss</t>
    </r>
  </si>
  <si>
    <r>
      <t>P</t>
    </r>
    <r>
      <rPr>
        <vertAlign val="subscript"/>
        <sz val="12"/>
        <color theme="1"/>
        <rFont val="Times New Roman"/>
        <family val="1"/>
      </rPr>
      <t>out,max</t>
    </r>
  </si>
  <si>
    <r>
      <t>P</t>
    </r>
    <r>
      <rPr>
        <vertAlign val="subscript"/>
        <sz val="12"/>
        <color theme="1"/>
        <rFont val="Times New Roman"/>
        <family val="1"/>
      </rPr>
      <t>out,min</t>
    </r>
  </si>
  <si>
    <r>
      <t>V</t>
    </r>
    <r>
      <rPr>
        <vertAlign val="subscript"/>
        <sz val="12"/>
        <color theme="1"/>
        <rFont val="Times New Roman"/>
        <family val="1"/>
      </rPr>
      <t>out,nom</t>
    </r>
  </si>
  <si>
    <r>
      <t>V</t>
    </r>
    <r>
      <rPr>
        <vertAlign val="subscript"/>
        <sz val="12"/>
        <color theme="1"/>
        <rFont val="Times New Roman"/>
        <family val="1"/>
      </rPr>
      <t>out,min</t>
    </r>
  </si>
  <si>
    <r>
      <t>I</t>
    </r>
    <r>
      <rPr>
        <vertAlign val="subscript"/>
        <sz val="12"/>
        <color theme="1"/>
        <rFont val="Times New Roman"/>
        <family val="1"/>
      </rPr>
      <t>out</t>
    </r>
  </si>
  <si>
    <r>
      <t>V</t>
    </r>
    <r>
      <rPr>
        <vertAlign val="subscript"/>
        <sz val="12"/>
        <color theme="1"/>
        <rFont val="Times New Roman"/>
        <family val="1"/>
      </rPr>
      <t>in,max</t>
    </r>
  </si>
  <si>
    <r>
      <t>V</t>
    </r>
    <r>
      <rPr>
        <vertAlign val="subscript"/>
        <sz val="12"/>
        <color theme="1"/>
        <rFont val="Times New Roman"/>
        <family val="1"/>
      </rPr>
      <t>in,min</t>
    </r>
  </si>
  <si>
    <r>
      <t>I</t>
    </r>
    <r>
      <rPr>
        <vertAlign val="subscript"/>
        <sz val="12"/>
        <color theme="1"/>
        <rFont val="Times New Roman"/>
        <family val="1"/>
      </rPr>
      <t>pk,max</t>
    </r>
  </si>
  <si>
    <t>Maximum peak current at lowest line, sinus top</t>
  </si>
  <si>
    <t>OTHER</t>
  </si>
  <si>
    <r>
      <t>Desired value for V</t>
    </r>
    <r>
      <rPr>
        <vertAlign val="subscript"/>
        <sz val="12"/>
        <color theme="1"/>
        <rFont val="Times New Roman"/>
        <family val="1"/>
      </rPr>
      <t>CC</t>
    </r>
    <r>
      <rPr>
        <sz val="12"/>
        <color theme="1"/>
        <rFont val="Times New Roman"/>
        <family val="1"/>
      </rPr>
      <t xml:space="preserve"> at V</t>
    </r>
    <r>
      <rPr>
        <vertAlign val="subscript"/>
        <sz val="12"/>
        <color theme="1"/>
        <rFont val="Times New Roman"/>
        <family val="1"/>
      </rPr>
      <t>out,min</t>
    </r>
  </si>
  <si>
    <r>
      <t>V</t>
    </r>
    <r>
      <rPr>
        <vertAlign val="subscript"/>
        <sz val="12"/>
        <color theme="1"/>
        <rFont val="Times New Roman"/>
        <family val="1"/>
      </rPr>
      <t>CC,min</t>
    </r>
  </si>
  <si>
    <r>
      <t>Calculated Secondary to Primary turns ratio: N</t>
    </r>
    <r>
      <rPr>
        <vertAlign val="subscript"/>
        <sz val="12"/>
        <color theme="1"/>
        <rFont val="Times New Roman"/>
        <family val="1"/>
      </rPr>
      <t>sp</t>
    </r>
    <r>
      <rPr>
        <sz val="12"/>
        <color theme="1"/>
        <rFont val="Times New Roman"/>
        <family val="1"/>
      </rPr>
      <t xml:space="preserve"> = N</t>
    </r>
    <r>
      <rPr>
        <vertAlign val="subscript"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 xml:space="preserve"> / N</t>
    </r>
    <r>
      <rPr>
        <vertAlign val="subscript"/>
        <sz val="12"/>
        <color theme="1"/>
        <rFont val="Times New Roman"/>
        <family val="1"/>
      </rPr>
      <t>p</t>
    </r>
  </si>
  <si>
    <r>
      <t>N</t>
    </r>
    <r>
      <rPr>
        <vertAlign val="subscript"/>
        <sz val="12"/>
        <color theme="1"/>
        <rFont val="Times New Roman"/>
        <family val="1"/>
      </rPr>
      <t>auxp,calc</t>
    </r>
  </si>
  <si>
    <r>
      <t>N</t>
    </r>
    <r>
      <rPr>
        <vertAlign val="subscript"/>
        <sz val="12"/>
        <color theme="1"/>
        <rFont val="Times New Roman"/>
        <family val="1"/>
      </rPr>
      <t>auxp</t>
    </r>
  </si>
  <si>
    <r>
      <t>Enter your value for N</t>
    </r>
    <r>
      <rPr>
        <vertAlign val="subscript"/>
        <sz val="12"/>
        <color theme="1"/>
        <rFont val="Times New Roman"/>
        <family val="1"/>
      </rPr>
      <t>sp</t>
    </r>
    <r>
      <rPr>
        <sz val="12"/>
        <color theme="1"/>
        <rFont val="Times New Roman"/>
        <family val="1"/>
      </rPr>
      <t>: must be equal or greater than N</t>
    </r>
    <r>
      <rPr>
        <vertAlign val="subscript"/>
        <sz val="12"/>
        <color theme="1"/>
        <rFont val="Times New Roman"/>
        <family val="1"/>
      </rPr>
      <t>sp,calc</t>
    </r>
  </si>
  <si>
    <r>
      <t>Enter your value for N</t>
    </r>
    <r>
      <rPr>
        <vertAlign val="subscript"/>
        <sz val="12"/>
        <color theme="1"/>
        <rFont val="Times New Roman"/>
        <family val="1"/>
      </rPr>
      <t>auxp</t>
    </r>
  </si>
  <si>
    <r>
      <t>Calculated Auxiliary to Primary turns ratio: N</t>
    </r>
    <r>
      <rPr>
        <vertAlign val="subscript"/>
        <sz val="12"/>
        <color theme="1"/>
        <rFont val="Times New Roman"/>
        <family val="1"/>
      </rPr>
      <t>auxp</t>
    </r>
    <r>
      <rPr>
        <sz val="12"/>
        <color theme="1"/>
        <rFont val="Times New Roman"/>
        <family val="1"/>
      </rPr>
      <t xml:space="preserve"> = N</t>
    </r>
    <r>
      <rPr>
        <vertAlign val="subscript"/>
        <sz val="12"/>
        <color theme="1"/>
        <rFont val="Times New Roman"/>
        <family val="1"/>
      </rPr>
      <t>aux</t>
    </r>
    <r>
      <rPr>
        <sz val="12"/>
        <color theme="1"/>
        <rFont val="Times New Roman"/>
        <family val="1"/>
      </rPr>
      <t xml:space="preserve"> / N</t>
    </r>
    <r>
      <rPr>
        <vertAlign val="subscript"/>
        <sz val="12"/>
        <color theme="1"/>
        <rFont val="Times New Roman"/>
        <family val="1"/>
      </rPr>
      <t>p</t>
    </r>
  </si>
  <si>
    <r>
      <t>F</t>
    </r>
    <r>
      <rPr>
        <vertAlign val="subscript"/>
        <sz val="12"/>
        <color theme="1"/>
        <rFont val="Times New Roman"/>
        <family val="1"/>
      </rPr>
      <t>sw</t>
    </r>
  </si>
  <si>
    <t>kHz</t>
  </si>
  <si>
    <t>Maximum AC input voltage</t>
  </si>
  <si>
    <r>
      <t>Line voltage used for L</t>
    </r>
    <r>
      <rPr>
        <vertAlign val="subscript"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calculation: should be 115 V rms 
for wide mains applications</t>
    </r>
  </si>
  <si>
    <r>
      <t>V</t>
    </r>
    <r>
      <rPr>
        <vertAlign val="subscript"/>
        <sz val="12"/>
        <color theme="1"/>
        <rFont val="Times New Roman"/>
        <family val="1"/>
      </rPr>
      <t>in,typ</t>
    </r>
  </si>
  <si>
    <t>µH</t>
  </si>
  <si>
    <t>Calculated primary inductance</t>
  </si>
  <si>
    <r>
      <t>L</t>
    </r>
    <r>
      <rPr>
        <vertAlign val="subscript"/>
        <sz val="12"/>
        <color theme="1"/>
        <rFont val="Times New Roman"/>
        <family val="1"/>
      </rPr>
      <t>p,calc</t>
    </r>
  </si>
  <si>
    <r>
      <t>L</t>
    </r>
    <r>
      <rPr>
        <vertAlign val="subscript"/>
        <sz val="12"/>
        <color theme="1"/>
        <rFont val="Times New Roman"/>
        <family val="1"/>
      </rPr>
      <t>p</t>
    </r>
  </si>
  <si>
    <r>
      <t>I</t>
    </r>
    <r>
      <rPr>
        <vertAlign val="subscript"/>
        <sz val="12"/>
        <color theme="1"/>
        <rFont val="Times New Roman"/>
        <family val="1"/>
      </rPr>
      <t>pri,rms</t>
    </r>
  </si>
  <si>
    <r>
      <t>Primary rms current at V</t>
    </r>
    <r>
      <rPr>
        <vertAlign val="subscript"/>
        <sz val="12"/>
        <color theme="1"/>
        <rFont val="Times New Roman"/>
        <family val="1"/>
      </rPr>
      <t>in,min</t>
    </r>
    <r>
      <rPr>
        <sz val="12"/>
        <color theme="1"/>
        <rFont val="Times New Roman"/>
        <family val="1"/>
      </rPr>
      <t xml:space="preserve"> and V</t>
    </r>
    <r>
      <rPr>
        <vertAlign val="subscript"/>
        <sz val="12"/>
        <color theme="1"/>
        <rFont val="Times New Roman"/>
        <family val="1"/>
      </rPr>
      <t>out,nom</t>
    </r>
    <r>
      <rPr>
        <sz val="12"/>
        <color theme="1"/>
        <rFont val="Times New Roman"/>
        <family val="1"/>
      </rPr>
      <t xml:space="preserve"> at sine top</t>
    </r>
  </si>
  <si>
    <r>
      <t>Secondary rms current at V</t>
    </r>
    <r>
      <rPr>
        <vertAlign val="subscript"/>
        <sz val="12"/>
        <color theme="1"/>
        <rFont val="Times New Roman"/>
        <family val="1"/>
      </rPr>
      <t>in,min</t>
    </r>
    <r>
      <rPr>
        <sz val="12"/>
        <color theme="1"/>
        <rFont val="Times New Roman"/>
        <family val="1"/>
      </rPr>
      <t xml:space="preserve"> and V</t>
    </r>
    <r>
      <rPr>
        <vertAlign val="subscript"/>
        <sz val="12"/>
        <color theme="1"/>
        <rFont val="Times New Roman"/>
        <family val="1"/>
      </rPr>
      <t>out,nom</t>
    </r>
    <r>
      <rPr>
        <sz val="12"/>
        <color theme="1"/>
        <rFont val="Times New Roman"/>
        <family val="1"/>
      </rPr>
      <t xml:space="preserve"> at sine top</t>
    </r>
  </si>
  <si>
    <r>
      <t>I</t>
    </r>
    <r>
      <rPr>
        <vertAlign val="subscript"/>
        <sz val="12"/>
        <color theme="1"/>
        <rFont val="Times New Roman"/>
        <family val="1"/>
      </rPr>
      <t>sec,rms</t>
    </r>
  </si>
  <si>
    <t>IC COMPONENTS CALCULATION</t>
  </si>
  <si>
    <t>Sense resistor calculation</t>
  </si>
  <si>
    <r>
      <t>Enter your value for R</t>
    </r>
    <r>
      <rPr>
        <vertAlign val="subscript"/>
        <sz val="12"/>
        <color theme="1"/>
        <rFont val="Times New Roman"/>
        <family val="1"/>
      </rPr>
      <t>sense</t>
    </r>
  </si>
  <si>
    <r>
      <t>R</t>
    </r>
    <r>
      <rPr>
        <vertAlign val="subscript"/>
        <sz val="12"/>
        <color theme="1"/>
        <rFont val="Times New Roman"/>
        <family val="1"/>
      </rPr>
      <t>sense</t>
    </r>
  </si>
  <si>
    <r>
      <t>R</t>
    </r>
    <r>
      <rPr>
        <vertAlign val="subscript"/>
        <sz val="12"/>
        <color theme="1"/>
        <rFont val="Times New Roman"/>
        <family val="1"/>
      </rPr>
      <t>sense,calc</t>
    </r>
  </si>
  <si>
    <r>
      <t>V</t>
    </r>
    <r>
      <rPr>
        <vertAlign val="subscript"/>
        <sz val="12"/>
        <color theme="1"/>
        <rFont val="Times New Roman"/>
        <family val="1"/>
      </rPr>
      <t>CC,nom</t>
    </r>
  </si>
  <si>
    <r>
      <t>V</t>
    </r>
    <r>
      <rPr>
        <vertAlign val="subscript"/>
        <sz val="12"/>
        <color theme="1"/>
        <rFont val="Times New Roman"/>
        <family val="1"/>
      </rPr>
      <t>CC</t>
    </r>
    <r>
      <rPr>
        <sz val="12"/>
        <color theme="1"/>
        <rFont val="Times New Roman"/>
        <family val="1"/>
      </rPr>
      <t xml:space="preserve"> value at V</t>
    </r>
    <r>
      <rPr>
        <vertAlign val="subscript"/>
        <sz val="12"/>
        <color theme="1"/>
        <rFont val="Times New Roman"/>
        <family val="1"/>
      </rPr>
      <t>out,nom</t>
    </r>
  </si>
  <si>
    <r>
      <t>V</t>
    </r>
    <r>
      <rPr>
        <vertAlign val="subscript"/>
        <sz val="11"/>
        <color theme="1"/>
        <rFont val="Calibri"/>
        <family val="2"/>
        <scheme val="minor"/>
      </rPr>
      <t>CC</t>
    </r>
    <r>
      <rPr>
        <sz val="11"/>
        <color theme="1"/>
        <rFont val="Calibri"/>
        <family val="2"/>
        <scheme val="minor"/>
      </rPr>
      <t xml:space="preserve"> OVP threshold</t>
    </r>
  </si>
  <si>
    <r>
      <t>V</t>
    </r>
    <r>
      <rPr>
        <vertAlign val="subscript"/>
        <sz val="11"/>
        <color theme="1"/>
        <rFont val="Calibri"/>
        <family val="2"/>
        <scheme val="minor"/>
      </rPr>
      <t>REF</t>
    </r>
  </si>
  <si>
    <r>
      <t>V</t>
    </r>
    <r>
      <rPr>
        <vertAlign val="subscript"/>
        <sz val="11"/>
        <color theme="1"/>
        <rFont val="Calibri"/>
        <family val="2"/>
        <scheme val="minor"/>
      </rPr>
      <t>CCOVP</t>
    </r>
  </si>
  <si>
    <t>POWER COMPONENTS</t>
  </si>
  <si>
    <t>Output rectifier peak inverse voltage</t>
  </si>
  <si>
    <r>
      <t>V</t>
    </r>
    <r>
      <rPr>
        <vertAlign val="subscript"/>
        <sz val="12"/>
        <color theme="1"/>
        <rFont val="Times New Roman"/>
        <family val="1"/>
      </rPr>
      <t>sec,max</t>
    </r>
  </si>
  <si>
    <r>
      <t>BV</t>
    </r>
    <r>
      <rPr>
        <vertAlign val="subscript"/>
        <sz val="12"/>
        <color theme="1"/>
        <rFont val="Times New Roman"/>
        <family val="1"/>
      </rPr>
      <t>diode</t>
    </r>
  </si>
  <si>
    <t>Breakdown voltage of secondary rectifier</t>
  </si>
  <si>
    <r>
      <t>K</t>
    </r>
    <r>
      <rPr>
        <vertAlign val="subscript"/>
        <sz val="12"/>
        <color theme="1"/>
        <rFont val="Times New Roman"/>
        <family val="1"/>
      </rPr>
      <t>Iout,PPR</t>
    </r>
  </si>
  <si>
    <r>
      <t>R</t>
    </r>
    <r>
      <rPr>
        <vertAlign val="subscript"/>
        <sz val="12"/>
        <color theme="1"/>
        <rFont val="Times New Roman"/>
        <family val="1"/>
      </rPr>
      <t>LED,min</t>
    </r>
  </si>
  <si>
    <t>Minimum dynamic resistance of LED</t>
  </si>
  <si>
    <t>Minimum output capacitor value</t>
  </si>
  <si>
    <t>µF</t>
  </si>
  <si>
    <r>
      <t>C</t>
    </r>
    <r>
      <rPr>
        <vertAlign val="subscript"/>
        <sz val="12"/>
        <color theme="1"/>
        <rFont val="Times New Roman"/>
        <family val="1"/>
      </rPr>
      <t>out,min</t>
    </r>
  </si>
  <si>
    <t>Output capacitor rms current</t>
  </si>
  <si>
    <r>
      <t>I</t>
    </r>
    <r>
      <rPr>
        <vertAlign val="subscript"/>
        <sz val="12"/>
        <color theme="1"/>
        <rFont val="Times New Roman"/>
        <family val="1"/>
      </rPr>
      <t>cout,rms</t>
    </r>
  </si>
  <si>
    <t>Line feedforward resistor calculation</t>
  </si>
  <si>
    <t>KHV</t>
  </si>
  <si>
    <t>VREFCV</t>
  </si>
  <si>
    <t>KLFF</t>
  </si>
  <si>
    <t>A/V</t>
  </si>
  <si>
    <t>VHV to ICS(offset) conversion ratio</t>
  </si>
  <si>
    <t>Maximum current in ZCD pin</t>
  </si>
  <si>
    <t>IZCD,max</t>
  </si>
  <si>
    <t>VCCon</t>
  </si>
  <si>
    <t>Typican startup threshold</t>
  </si>
  <si>
    <t>VCCoff</t>
  </si>
  <si>
    <t>Typical VCC shutdown threshold</t>
  </si>
  <si>
    <t>ICC2</t>
  </si>
  <si>
    <t>supply current device switching, no load on DRV pin</t>
  </si>
  <si>
    <r>
      <t>R</t>
    </r>
    <r>
      <rPr>
        <vertAlign val="subscript"/>
        <sz val="12"/>
        <color theme="1"/>
        <rFont val="Times New Roman"/>
        <family val="1"/>
      </rPr>
      <t>LFF</t>
    </r>
  </si>
  <si>
    <r>
      <t>R</t>
    </r>
    <r>
      <rPr>
        <vertAlign val="subscript"/>
        <sz val="12"/>
        <color theme="1"/>
        <rFont val="Times New Roman"/>
        <family val="1"/>
      </rPr>
      <t>LFF,calc</t>
    </r>
  </si>
  <si>
    <r>
      <t>Enter your value for R</t>
    </r>
    <r>
      <rPr>
        <vertAlign val="subscript"/>
        <sz val="12"/>
        <color theme="1"/>
        <rFont val="Times New Roman"/>
        <family val="1"/>
      </rPr>
      <t>LFF</t>
    </r>
  </si>
  <si>
    <r>
      <t>k</t>
    </r>
    <r>
      <rPr>
        <sz val="12"/>
        <color theme="1"/>
        <rFont val="Calibri"/>
        <family val="2"/>
      </rPr>
      <t>Ω</t>
    </r>
  </si>
  <si>
    <r>
      <t>R</t>
    </r>
    <r>
      <rPr>
        <vertAlign val="subscript"/>
        <sz val="12"/>
        <color theme="1"/>
        <rFont val="Times New Roman"/>
        <family val="1"/>
      </rPr>
      <t>ZCDU</t>
    </r>
  </si>
  <si>
    <r>
      <t>K</t>
    </r>
    <r>
      <rPr>
        <vertAlign val="subscript"/>
        <sz val="12"/>
        <color theme="1"/>
        <rFont val="Times New Roman"/>
        <family val="1"/>
      </rPr>
      <t>ZCD</t>
    </r>
  </si>
  <si>
    <r>
      <t>Ration R</t>
    </r>
    <r>
      <rPr>
        <vertAlign val="subscript"/>
        <sz val="12"/>
        <color theme="1"/>
        <rFont val="Times New Roman"/>
        <family val="1"/>
      </rPr>
      <t>ZCDU</t>
    </r>
    <r>
      <rPr>
        <sz val="12"/>
        <color theme="1"/>
        <rFont val="Times New Roman"/>
        <family val="1"/>
      </rPr>
      <t>/R</t>
    </r>
    <r>
      <rPr>
        <vertAlign val="subscript"/>
        <sz val="12"/>
        <color theme="1"/>
        <rFont val="Times New Roman"/>
        <family val="1"/>
      </rPr>
      <t>ZCDL</t>
    </r>
    <r>
      <rPr>
        <sz val="12"/>
        <color theme="1"/>
        <rFont val="Times New Roman"/>
        <family val="1"/>
      </rPr>
      <t xml:space="preserve"> for CV setpoint</t>
    </r>
  </si>
  <si>
    <r>
      <t>R</t>
    </r>
    <r>
      <rPr>
        <vertAlign val="subscript"/>
        <sz val="12"/>
        <color theme="1"/>
        <rFont val="Times New Roman"/>
        <family val="1"/>
      </rPr>
      <t>ZCDL</t>
    </r>
  </si>
  <si>
    <t>ZCD lower resistor</t>
  </si>
  <si>
    <r>
      <t>Choose a value for ZCD upper resistor between 20 k and 100 k</t>
    </r>
    <r>
      <rPr>
        <sz val="12"/>
        <color theme="1"/>
        <rFont val="Calibri"/>
        <family val="2"/>
      </rPr>
      <t>Ω</t>
    </r>
  </si>
  <si>
    <r>
      <t>Enter your value for L</t>
    </r>
    <r>
      <rPr>
        <vertAlign val="subscript"/>
        <sz val="12"/>
        <color theme="1"/>
        <rFont val="Times New Roman"/>
        <family val="1"/>
      </rPr>
      <t>p</t>
    </r>
  </si>
  <si>
    <t>CLAMPING NETWORK</t>
  </si>
  <si>
    <r>
      <t>k</t>
    </r>
    <r>
      <rPr>
        <vertAlign val="subscript"/>
        <sz val="12"/>
        <color theme="1"/>
        <rFont val="Times New Roman"/>
        <family val="1"/>
      </rPr>
      <t>c</t>
    </r>
  </si>
  <si>
    <r>
      <t>Estimated Clamping coefficient (k</t>
    </r>
    <r>
      <rPr>
        <vertAlign val="subscript"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 xml:space="preserve"> = V</t>
    </r>
    <r>
      <rPr>
        <vertAlign val="subscript"/>
        <sz val="12"/>
        <color theme="1"/>
        <rFont val="Times New Roman"/>
        <family val="1"/>
      </rPr>
      <t>clamp</t>
    </r>
    <r>
      <rPr>
        <sz val="12"/>
        <color theme="1"/>
        <rFont val="Times New Roman"/>
        <family val="1"/>
      </rPr>
      <t xml:space="preserve"> / V</t>
    </r>
    <r>
      <rPr>
        <vertAlign val="subscript"/>
        <sz val="12"/>
        <color theme="1"/>
        <rFont val="Times New Roman"/>
        <family val="1"/>
      </rPr>
      <t>reflect</t>
    </r>
    <r>
      <rPr>
        <sz val="12"/>
        <color theme="1"/>
        <rFont val="Times New Roman"/>
        <family val="1"/>
      </rPr>
      <t>):</t>
    </r>
  </si>
  <si>
    <t>Clamping voltage</t>
  </si>
  <si>
    <t>Estimated leakage inductance</t>
  </si>
  <si>
    <r>
      <t>V</t>
    </r>
    <r>
      <rPr>
        <vertAlign val="subscript"/>
        <sz val="11"/>
        <color theme="1"/>
        <rFont val="Calibri"/>
        <family val="2"/>
        <scheme val="minor"/>
      </rPr>
      <t>ILIMIT</t>
    </r>
  </si>
  <si>
    <t>Maximum peak current limit</t>
  </si>
  <si>
    <r>
      <t>Approximated switching period at sine top for V</t>
    </r>
    <r>
      <rPr>
        <vertAlign val="subscript"/>
        <sz val="12"/>
        <color theme="1"/>
        <rFont val="Times New Roman"/>
        <family val="1"/>
      </rPr>
      <t>out,OVP</t>
    </r>
    <r>
      <rPr>
        <sz val="12"/>
        <color theme="1"/>
        <rFont val="Times New Roman"/>
        <family val="1"/>
      </rPr>
      <t xml:space="preserve"> and V</t>
    </r>
    <r>
      <rPr>
        <vertAlign val="subscript"/>
        <sz val="12"/>
        <color theme="1"/>
        <rFont val="Times New Roman"/>
        <family val="1"/>
      </rPr>
      <t>in,min</t>
    </r>
    <r>
      <rPr>
        <sz val="12"/>
        <color theme="1"/>
        <rFont val="Times New Roman"/>
        <family val="1"/>
      </rPr>
      <t xml:space="preserve"> </t>
    </r>
  </si>
  <si>
    <r>
      <t>T</t>
    </r>
    <r>
      <rPr>
        <vertAlign val="subscript"/>
        <sz val="12"/>
        <color theme="1"/>
        <rFont val="Times New Roman"/>
        <family val="1"/>
      </rPr>
      <t>sw,OVP</t>
    </r>
  </si>
  <si>
    <t>µs</t>
  </si>
  <si>
    <r>
      <t>V</t>
    </r>
    <r>
      <rPr>
        <vertAlign val="subscript"/>
        <sz val="12"/>
        <color theme="1"/>
        <rFont val="Times New Roman"/>
        <family val="1"/>
      </rPr>
      <t>clamp</t>
    </r>
  </si>
  <si>
    <r>
      <t>L</t>
    </r>
    <r>
      <rPr>
        <vertAlign val="subscript"/>
        <sz val="12"/>
        <color theme="1"/>
        <rFont val="Times New Roman"/>
        <family val="1"/>
      </rPr>
      <t>leak</t>
    </r>
  </si>
  <si>
    <r>
      <t>R</t>
    </r>
    <r>
      <rPr>
        <vertAlign val="subscript"/>
        <sz val="12"/>
        <color theme="1"/>
        <rFont val="Times New Roman"/>
        <family val="1"/>
      </rPr>
      <t>clamp,calc</t>
    </r>
  </si>
  <si>
    <t>kΩ</t>
  </si>
  <si>
    <t>Calculated value for Clamping resistor</t>
  </si>
  <si>
    <t>Enter your value for the clamping resistor</t>
  </si>
  <si>
    <r>
      <t>R</t>
    </r>
    <r>
      <rPr>
        <vertAlign val="subscript"/>
        <sz val="12"/>
        <color theme="1"/>
        <rFont val="Times New Roman"/>
        <family val="1"/>
      </rPr>
      <t>clamp</t>
    </r>
  </si>
  <si>
    <t>nF</t>
  </si>
  <si>
    <r>
      <t>C</t>
    </r>
    <r>
      <rPr>
        <vertAlign val="subscript"/>
        <sz val="12"/>
        <color theme="1"/>
        <rFont val="Times New Roman"/>
        <family val="1"/>
      </rPr>
      <t>clamp</t>
    </r>
  </si>
  <si>
    <t>Calculated value for clamping capacitor</t>
  </si>
  <si>
    <t>COMPENSATION NETWORK for COMP pin</t>
  </si>
  <si>
    <r>
      <t>F</t>
    </r>
    <r>
      <rPr>
        <vertAlign val="subscript"/>
        <sz val="12"/>
        <color theme="1"/>
        <rFont val="Times New Roman"/>
        <family val="1"/>
      </rPr>
      <t>line,min</t>
    </r>
  </si>
  <si>
    <t>Cross over frequency</t>
  </si>
  <si>
    <r>
      <t>F</t>
    </r>
    <r>
      <rPr>
        <vertAlign val="subscript"/>
        <sz val="12"/>
        <color theme="1"/>
        <rFont val="Times New Roman"/>
        <family val="1"/>
      </rPr>
      <t>c</t>
    </r>
  </si>
  <si>
    <r>
      <t>MOSFET R</t>
    </r>
    <r>
      <rPr>
        <vertAlign val="subscript"/>
        <sz val="12"/>
        <color theme="1"/>
        <rFont val="Times New Roman"/>
        <family val="1"/>
      </rPr>
      <t>dson</t>
    </r>
    <r>
      <rPr>
        <sz val="12"/>
        <color theme="1"/>
        <rFont val="Times New Roman"/>
        <family val="1"/>
      </rPr>
      <t xml:space="preserve"> at T</t>
    </r>
    <r>
      <rPr>
        <vertAlign val="subscript"/>
        <sz val="12"/>
        <color theme="1"/>
        <rFont val="Times New Roman"/>
        <family val="1"/>
      </rPr>
      <t>j</t>
    </r>
    <r>
      <rPr>
        <sz val="12"/>
        <color theme="1"/>
        <rFont val="Times New Roman"/>
        <family val="1"/>
      </rPr>
      <t xml:space="preserve"> = 110°C</t>
    </r>
  </si>
  <si>
    <t>Enter the output capacitor value</t>
  </si>
  <si>
    <r>
      <t>C</t>
    </r>
    <r>
      <rPr>
        <vertAlign val="subscript"/>
        <sz val="12"/>
        <color theme="1"/>
        <rFont val="Times New Roman"/>
        <family val="1"/>
      </rPr>
      <t>out</t>
    </r>
  </si>
  <si>
    <t>NCL3048x DESIGN TOOL</t>
  </si>
  <si>
    <t>The cells highlited in this color needs input from the user</t>
  </si>
  <si>
    <t>The cells highlited in this color are calculation results and must not be modified</t>
  </si>
  <si>
    <t>PM</t>
  </si>
  <si>
    <t>Phase margin needed</t>
  </si>
  <si>
    <t>°</t>
  </si>
  <si>
    <r>
      <t>V</t>
    </r>
    <r>
      <rPr>
        <vertAlign val="subscript"/>
        <sz val="12"/>
        <color theme="1"/>
        <rFont val="Times New Roman"/>
        <family val="1"/>
      </rPr>
      <t>f</t>
    </r>
  </si>
  <si>
    <r>
      <t>R</t>
    </r>
    <r>
      <rPr>
        <vertAlign val="subscript"/>
        <sz val="12"/>
        <color theme="1"/>
        <rFont val="Times New Roman"/>
        <family val="1"/>
      </rPr>
      <t>load</t>
    </r>
  </si>
  <si>
    <r>
      <t>Output load resistance at V</t>
    </r>
    <r>
      <rPr>
        <vertAlign val="subscript"/>
        <sz val="12"/>
        <color theme="1"/>
        <rFont val="Times New Roman"/>
        <family val="1"/>
      </rPr>
      <t>out,nom</t>
    </r>
  </si>
  <si>
    <t>s</t>
  </si>
  <si>
    <t>total ESR of output capacitor</t>
  </si>
  <si>
    <r>
      <t>r</t>
    </r>
    <r>
      <rPr>
        <vertAlign val="subscript"/>
        <sz val="12"/>
        <color theme="1"/>
        <rFont val="Times New Roman"/>
        <family val="1"/>
      </rPr>
      <t>ESR</t>
    </r>
  </si>
  <si>
    <r>
      <t>C</t>
    </r>
    <r>
      <rPr>
        <vertAlign val="subscript"/>
        <sz val="12"/>
        <color theme="1"/>
        <rFont val="Times New Roman"/>
        <family val="1"/>
      </rPr>
      <t>OSS</t>
    </r>
  </si>
  <si>
    <r>
      <t>Leakage inductance ratio (k</t>
    </r>
    <r>
      <rPr>
        <vertAlign val="subscript"/>
        <sz val="12"/>
        <color theme="1"/>
        <rFont val="Times New Roman"/>
        <family val="1"/>
      </rPr>
      <t>leak</t>
    </r>
    <r>
      <rPr>
        <sz val="12"/>
        <color theme="1"/>
        <rFont val="Times New Roman"/>
        <family val="1"/>
      </rPr>
      <t xml:space="preserve"> = L</t>
    </r>
    <r>
      <rPr>
        <vertAlign val="subscript"/>
        <sz val="12"/>
        <color theme="1"/>
        <rFont val="Times New Roman"/>
        <family val="1"/>
      </rPr>
      <t>leak</t>
    </r>
    <r>
      <rPr>
        <sz val="12"/>
        <color theme="1"/>
        <rFont val="Times New Roman"/>
        <family val="1"/>
      </rPr>
      <t xml:space="preserve"> / L</t>
    </r>
    <r>
      <rPr>
        <vertAlign val="subscript"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)</t>
    </r>
  </si>
  <si>
    <r>
      <t>R</t>
    </r>
    <r>
      <rPr>
        <vertAlign val="subscript"/>
        <sz val="12"/>
        <color theme="1"/>
        <rFont val="Times New Roman"/>
        <family val="1"/>
      </rPr>
      <t>ZCDL,calc</t>
    </r>
  </si>
  <si>
    <t>ZCD lower resistor calculated</t>
  </si>
  <si>
    <r>
      <t>V</t>
    </r>
    <r>
      <rPr>
        <vertAlign val="subscript"/>
        <sz val="12"/>
        <color theme="1"/>
        <rFont val="Times New Roman"/>
        <family val="1"/>
      </rPr>
      <t>CS1</t>
    </r>
  </si>
  <si>
    <r>
      <t>t</t>
    </r>
    <r>
      <rPr>
        <vertAlign val="subscript"/>
        <sz val="12"/>
        <color theme="1"/>
        <rFont val="Times New Roman"/>
        <family val="1"/>
      </rPr>
      <t>demag1</t>
    </r>
  </si>
  <si>
    <r>
      <t>T</t>
    </r>
    <r>
      <rPr>
        <vertAlign val="subscript"/>
        <sz val="12"/>
        <color theme="1"/>
        <rFont val="Times New Roman"/>
        <family val="1"/>
      </rPr>
      <t>sw1</t>
    </r>
  </si>
  <si>
    <r>
      <t>t</t>
    </r>
    <r>
      <rPr>
        <vertAlign val="subscript"/>
        <sz val="12"/>
        <color theme="1"/>
        <rFont val="Times New Roman"/>
        <family val="1"/>
      </rPr>
      <t>v</t>
    </r>
  </si>
  <si>
    <r>
      <t>V</t>
    </r>
    <r>
      <rPr>
        <vertAlign val="subscript"/>
        <sz val="12"/>
        <color theme="1"/>
        <rFont val="Times New Roman"/>
        <family val="1"/>
      </rPr>
      <t>O</t>
    </r>
  </si>
  <si>
    <r>
      <t>D</t>
    </r>
    <r>
      <rPr>
        <vertAlign val="subscript"/>
        <sz val="12"/>
        <color theme="1"/>
        <rFont val="Times New Roman"/>
        <family val="1"/>
      </rPr>
      <t>21</t>
    </r>
  </si>
  <si>
    <r>
      <t>K</t>
    </r>
    <r>
      <rPr>
        <vertAlign val="subscript"/>
        <sz val="12"/>
        <color theme="1"/>
        <rFont val="Times New Roman"/>
        <family val="1"/>
      </rPr>
      <t>v2</t>
    </r>
  </si>
  <si>
    <r>
      <t>H</t>
    </r>
    <r>
      <rPr>
        <vertAlign val="subscript"/>
        <sz val="12"/>
        <color theme="1"/>
        <rFont val="Times New Roman"/>
        <family val="1"/>
      </rPr>
      <t>0</t>
    </r>
  </si>
  <si>
    <r>
      <t>K</t>
    </r>
    <r>
      <rPr>
        <vertAlign val="subscript"/>
        <sz val="12"/>
        <color theme="1"/>
        <rFont val="Times New Roman"/>
        <family val="1"/>
      </rPr>
      <t>d2Vo1_1</t>
    </r>
  </si>
  <si>
    <r>
      <t>K</t>
    </r>
    <r>
      <rPr>
        <vertAlign val="subscript"/>
        <sz val="12"/>
        <color theme="1"/>
        <rFont val="Times New Roman"/>
        <family val="1"/>
      </rPr>
      <t>d2Vo1_2</t>
    </r>
  </si>
  <si>
    <r>
      <t>K</t>
    </r>
    <r>
      <rPr>
        <vertAlign val="subscript"/>
        <sz val="12"/>
        <color theme="1"/>
        <rFont val="Times New Roman"/>
        <family val="1"/>
      </rPr>
      <t>d2Vo1</t>
    </r>
  </si>
  <si>
    <t>Version 0.0</t>
  </si>
  <si>
    <r>
      <t>K</t>
    </r>
    <r>
      <rPr>
        <vertAlign val="subscript"/>
        <sz val="12"/>
        <color theme="1"/>
        <rFont val="Times New Roman"/>
        <family val="1"/>
      </rPr>
      <t>d2Vc1</t>
    </r>
  </si>
  <si>
    <r>
      <t>K</t>
    </r>
    <r>
      <rPr>
        <vertAlign val="subscript"/>
        <sz val="12"/>
        <color theme="1"/>
        <rFont val="Times New Roman"/>
        <family val="1"/>
      </rPr>
      <t>v1</t>
    </r>
  </si>
  <si>
    <r>
      <rPr>
        <sz val="12"/>
        <color theme="1"/>
        <rFont val="Calibri"/>
        <family val="2"/>
      </rPr>
      <t>ω</t>
    </r>
    <r>
      <rPr>
        <vertAlign val="subscript"/>
        <sz val="12"/>
        <color theme="1"/>
        <rFont val="Times New Roman"/>
        <family val="1"/>
      </rPr>
      <t>p11</t>
    </r>
  </si>
  <si>
    <r>
      <rPr>
        <sz val="12"/>
        <color theme="1"/>
        <rFont val="Calibri"/>
        <family val="2"/>
      </rPr>
      <t>ω</t>
    </r>
    <r>
      <rPr>
        <vertAlign val="subscript"/>
        <sz val="12"/>
        <color theme="1"/>
        <rFont val="Calibri"/>
        <family val="2"/>
      </rPr>
      <t>z</t>
    </r>
    <r>
      <rPr>
        <vertAlign val="subscript"/>
        <sz val="12"/>
        <color theme="1"/>
        <rFont val="Times New Roman"/>
        <family val="1"/>
      </rPr>
      <t>11</t>
    </r>
  </si>
  <si>
    <r>
      <rPr>
        <sz val="12"/>
        <color theme="1"/>
        <rFont val="Calibri"/>
        <family val="2"/>
      </rPr>
      <t>ω</t>
    </r>
    <r>
      <rPr>
        <vertAlign val="subscript"/>
        <sz val="12"/>
        <color theme="1"/>
        <rFont val="Calibri"/>
        <family val="2"/>
      </rPr>
      <t>z2</t>
    </r>
    <r>
      <rPr>
        <vertAlign val="subscript"/>
        <sz val="12"/>
        <color theme="1"/>
        <rFont val="Times New Roman"/>
        <family val="1"/>
      </rPr>
      <t>1</t>
    </r>
  </si>
  <si>
    <r>
      <t>k</t>
    </r>
    <r>
      <rPr>
        <vertAlign val="subscript"/>
        <sz val="11"/>
        <color theme="1"/>
        <rFont val="Calibri"/>
        <family val="2"/>
        <scheme val="minor"/>
      </rPr>
      <t>CV</t>
    </r>
  </si>
  <si>
    <r>
      <t>k</t>
    </r>
    <r>
      <rPr>
        <vertAlign val="subscript"/>
        <sz val="11"/>
        <color theme="1"/>
        <rFont val="Calibri"/>
        <family val="2"/>
        <scheme val="minor"/>
      </rPr>
      <t>div</t>
    </r>
  </si>
  <si>
    <t>Static gain of control to output transfer function</t>
  </si>
  <si>
    <r>
      <t>H</t>
    </r>
    <r>
      <rPr>
        <vertAlign val="subscript"/>
        <sz val="12"/>
        <color theme="1"/>
        <rFont val="Times New Roman"/>
        <family val="1"/>
      </rPr>
      <t>01</t>
    </r>
  </si>
  <si>
    <t>zero2(Fc)</t>
  </si>
  <si>
    <t>pole1(Fc)</t>
  </si>
  <si>
    <t>tau</t>
  </si>
  <si>
    <r>
      <t>b</t>
    </r>
    <r>
      <rPr>
        <vertAlign val="subscript"/>
        <sz val="12"/>
        <color theme="1"/>
        <rFont val="Times New Roman"/>
        <family val="1"/>
      </rPr>
      <t>1</t>
    </r>
  </si>
  <si>
    <t>zero1(Fc)</t>
  </si>
  <si>
    <t>Power stage gain at crossover frequency</t>
  </si>
  <si>
    <r>
      <t>H</t>
    </r>
    <r>
      <rPr>
        <vertAlign val="subscript"/>
        <sz val="12"/>
        <color theme="1"/>
        <rFont val="Times New Roman"/>
        <family val="1"/>
      </rPr>
      <t>PSnum</t>
    </r>
    <r>
      <rPr>
        <sz val="12"/>
        <color theme="1"/>
        <rFont val="Times New Roman"/>
        <family val="1"/>
      </rPr>
      <t>(Fc)</t>
    </r>
  </si>
  <si>
    <r>
      <t>H</t>
    </r>
    <r>
      <rPr>
        <vertAlign val="subscript"/>
        <sz val="12"/>
        <color theme="1"/>
        <rFont val="Times New Roman"/>
        <family val="1"/>
      </rPr>
      <t>PS</t>
    </r>
    <r>
      <rPr>
        <sz val="12"/>
        <color theme="1"/>
        <rFont val="Times New Roman"/>
        <family val="1"/>
      </rPr>
      <t>(Fc)</t>
    </r>
  </si>
  <si>
    <r>
      <t>H</t>
    </r>
    <r>
      <rPr>
        <vertAlign val="subscript"/>
        <sz val="12"/>
        <color theme="1"/>
        <rFont val="Times New Roman"/>
        <family val="1"/>
      </rPr>
      <t>Fc</t>
    </r>
  </si>
  <si>
    <t>PS</t>
  </si>
  <si>
    <t>Power stage phase shift at Fc: consider -90° to avoid 
calculating transfert function at light load</t>
  </si>
  <si>
    <t>PBoost</t>
  </si>
  <si>
    <t>Needed phase boost</t>
  </si>
  <si>
    <r>
      <t>R</t>
    </r>
    <r>
      <rPr>
        <vertAlign val="subscript"/>
        <sz val="12"/>
        <color theme="1"/>
        <rFont val="Times New Roman"/>
        <family val="1"/>
      </rPr>
      <t>COMP,calc</t>
    </r>
  </si>
  <si>
    <r>
      <t>g</t>
    </r>
    <r>
      <rPr>
        <vertAlign val="subscript"/>
        <sz val="11"/>
        <color theme="1"/>
        <rFont val="Calibri"/>
        <family val="2"/>
        <scheme val="minor"/>
      </rPr>
      <t>mCV</t>
    </r>
  </si>
  <si>
    <t>S</t>
  </si>
  <si>
    <t>CV OTA transconductance</t>
  </si>
  <si>
    <r>
      <t>R</t>
    </r>
    <r>
      <rPr>
        <vertAlign val="subscript"/>
        <sz val="12"/>
        <color theme="1"/>
        <rFont val="Times New Roman"/>
        <family val="1"/>
      </rPr>
      <t>COMP</t>
    </r>
  </si>
  <si>
    <t>COMP pin calculated resistor</t>
  </si>
  <si>
    <t>Enter your value fro COMP pin resistor</t>
  </si>
  <si>
    <r>
      <t>f</t>
    </r>
    <r>
      <rPr>
        <vertAlign val="subscript"/>
        <sz val="12"/>
        <color theme="1"/>
        <rFont val="Times New Roman"/>
        <family val="1"/>
      </rPr>
      <t>zCOMP</t>
    </r>
  </si>
  <si>
    <t>Compensator zero frequency</t>
  </si>
  <si>
    <r>
      <t>C</t>
    </r>
    <r>
      <rPr>
        <vertAlign val="subscript"/>
        <sz val="12"/>
        <color theme="1"/>
        <rFont val="Times New Roman"/>
        <family val="1"/>
      </rPr>
      <t>COMP1</t>
    </r>
  </si>
  <si>
    <t>F</t>
  </si>
  <si>
    <t>COMP pin capacitor for the zero of compensator transfer function</t>
  </si>
  <si>
    <t>rad/s</t>
  </si>
  <si>
    <r>
      <t>C</t>
    </r>
    <r>
      <rPr>
        <vertAlign val="subscript"/>
        <sz val="12"/>
        <color theme="1"/>
        <rFont val="Times New Roman"/>
        <family val="1"/>
      </rPr>
      <t>COMP2</t>
    </r>
  </si>
  <si>
    <r>
      <t>f</t>
    </r>
    <r>
      <rPr>
        <vertAlign val="subscript"/>
        <sz val="12"/>
        <color theme="1"/>
        <rFont val="Times New Roman"/>
        <family val="1"/>
      </rPr>
      <t>pCOMP</t>
    </r>
  </si>
  <si>
    <t>COMP pin capacitor for the pole of compensator transfer function.</t>
  </si>
  <si>
    <r>
      <rPr>
        <b/>
        <u/>
        <sz val="12"/>
        <color theme="1"/>
        <rFont val="Times New Roman"/>
        <family val="1"/>
      </rPr>
      <t>NOTE</t>
    </r>
    <r>
      <rPr>
        <sz val="12"/>
        <color theme="1"/>
        <rFont val="Times New Roman"/>
        <family val="1"/>
      </rPr>
      <t>: to filter correctly the 100 Hz ripple, it might be necessary 
to decrease the calculated f</t>
    </r>
    <r>
      <rPr>
        <vertAlign val="subscript"/>
        <sz val="12"/>
        <color theme="1"/>
        <rFont val="Times New Roman"/>
        <family val="1"/>
      </rPr>
      <t>pCOMP</t>
    </r>
    <r>
      <rPr>
        <sz val="12"/>
        <color theme="1"/>
        <rFont val="Times New Roman"/>
        <family val="1"/>
      </rPr>
      <t>.
In this case, need to shift the crossover frequency lower.</t>
    </r>
  </si>
  <si>
    <r>
      <t>Target switching frequency at V</t>
    </r>
    <r>
      <rPr>
        <vertAlign val="subscript"/>
        <sz val="12"/>
        <color theme="1"/>
        <rFont val="Times New Roman"/>
        <family val="1"/>
      </rPr>
      <t>in,typ</t>
    </r>
    <r>
      <rPr>
        <sz val="12"/>
        <color theme="1"/>
        <rFont val="Times New Roman"/>
        <family val="1"/>
      </rPr>
      <t xml:space="preserve"> 
(must be below 130 kHz for good CC operation)</t>
    </r>
  </si>
  <si>
    <t>Ratio peak to peak ripple over dc output current (cannot be greater 
than 1 to respect flicker 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</si>
</sst>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0.0"/>
    <numFmt numFmtId="166" formatCode="0.000E+00"/>
    <numFmt numFmtId="167" formatCode="0.000000"/>
    <numFmt numFmtId="168" formatCode="0.0000"/>
    <numFmt numFmtId="169" formatCode="0.0000E+00"/>
    <numFmt numFmtId="170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2"/>
      <name val="Times New Roman"/>
      <family val="1"/>
    </font>
    <font>
      <sz val="12"/>
      <color theme="0" tint="-0.14999847407452621"/>
      <name val="Times New Roman"/>
      <family val="1"/>
    </font>
    <font>
      <sz val="12"/>
      <color theme="1"/>
      <name val="Calibri"/>
      <family val="2"/>
    </font>
    <font>
      <b/>
      <sz val="28"/>
      <color theme="1"/>
      <name val="Calibri"/>
      <family val="2"/>
      <scheme val="minor"/>
    </font>
    <font>
      <vertAlign val="subscript"/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1" fontId="4" fillId="2" borderId="2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2" borderId="0" xfId="0" applyFont="1" applyFill="1"/>
    <xf numFmtId="0" fontId="0" fillId="2" borderId="0" xfId="0" applyFill="1"/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69" fontId="4" fillId="0" borderId="0" xfId="0" applyNumberFormat="1" applyFont="1" applyAlignment="1">
      <alignment vertical="center"/>
    </xf>
    <xf numFmtId="166" fontId="0" fillId="0" borderId="0" xfId="0" applyNumberFormat="1"/>
    <xf numFmtId="170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1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168" fontId="4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0" fontId="0" fillId="4" borderId="8" xfId="0" applyFill="1" applyBorder="1"/>
    <xf numFmtId="0" fontId="0" fillId="4" borderId="6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4" fillId="3" borderId="1" xfId="0" applyFont="1" applyFill="1" applyBorder="1" applyAlignment="1" applyProtection="1">
      <alignment vertical="center"/>
      <protection locked="0"/>
    </xf>
    <xf numFmtId="9" fontId="4" fillId="3" borderId="1" xfId="1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9" fontId="4" fillId="3" borderId="2" xfId="1" applyFont="1" applyFill="1" applyBorder="1" applyAlignment="1" applyProtection="1">
      <alignment vertical="center"/>
      <protection locked="0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1" fontId="4" fillId="3" borderId="2" xfId="0" applyNumberFormat="1" applyFont="1" applyFill="1" applyBorder="1" applyAlignment="1" applyProtection="1">
      <alignment vertical="center"/>
      <protection locked="0"/>
    </xf>
    <xf numFmtId="164" fontId="4" fillId="3" borderId="2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12" fillId="5" borderId="0" xfId="0" applyFont="1" applyFill="1" applyAlignment="1">
      <alignment horizontal="left" vertical="center" indent="2"/>
    </xf>
    <xf numFmtId="0" fontId="12" fillId="5" borderId="0" xfId="0" applyFont="1" applyFill="1" applyAlignment="1">
      <alignment horizontal="left" indent="2"/>
    </xf>
    <xf numFmtId="0" fontId="12" fillId="5" borderId="0" xfId="0" applyFont="1" applyFill="1" applyBorder="1" applyAlignment="1">
      <alignment horizontal="left" indent="2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5</xdr:row>
      <xdr:rowOff>53340</xdr:rowOff>
    </xdr:from>
    <xdr:to>
      <xdr:col>19</xdr:col>
      <xdr:colOff>403122</xdr:colOff>
      <xdr:row>28</xdr:row>
      <xdr:rowOff>144780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8559" y="1737360"/>
          <a:ext cx="8137423" cy="5364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abSelected="1" topLeftCell="A70" workbookViewId="0">
      <selection activeCell="L5" sqref="L5"/>
    </sheetView>
  </sheetViews>
  <sheetFormatPr defaultRowHeight="15.6" x14ac:dyDescent="0.3"/>
  <cols>
    <col min="1" max="1" width="7.109375" customWidth="1"/>
    <col min="2" max="2" width="12" style="8" customWidth="1"/>
    <col min="3" max="3" width="12.21875" style="8" customWidth="1"/>
    <col min="4" max="4" width="6.88671875" style="11" customWidth="1"/>
    <col min="5" max="5" width="8.109375" style="4" customWidth="1"/>
    <col min="6" max="6" width="60.6640625" style="3" customWidth="1"/>
  </cols>
  <sheetData>
    <row r="1" spans="1:20" ht="16.2" thickBot="1" x14ac:dyDescent="0.35"/>
    <row r="2" spans="1:20" ht="39" customHeight="1" thickBot="1" x14ac:dyDescent="0.75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20" ht="18.600000000000001" customHeight="1" x14ac:dyDescent="0.3">
      <c r="A3" s="61" t="s">
        <v>177</v>
      </c>
      <c r="B3" s="61"/>
      <c r="C3" s="61"/>
      <c r="D3" s="61"/>
      <c r="E3" s="61"/>
      <c r="F3" s="62" t="s">
        <v>151</v>
      </c>
      <c r="G3" s="62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0" ht="19.8" customHeight="1" x14ac:dyDescent="0.3">
      <c r="F4" s="22" t="s">
        <v>152</v>
      </c>
      <c r="G4" s="23"/>
    </row>
    <row r="5" spans="1:20" ht="27" customHeight="1" thickBot="1" x14ac:dyDescent="0.35"/>
    <row r="6" spans="1:20" x14ac:dyDescent="0.3">
      <c r="G6" s="38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/>
    </row>
    <row r="7" spans="1:20" x14ac:dyDescent="0.3">
      <c r="B7" s="56" t="s">
        <v>15</v>
      </c>
      <c r="C7" s="56"/>
      <c r="D7" s="56"/>
      <c r="E7" s="56"/>
      <c r="F7" s="56"/>
      <c r="G7" s="4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3"/>
    </row>
    <row r="8" spans="1:20" ht="18" x14ac:dyDescent="0.3">
      <c r="B8" s="6" t="s">
        <v>50</v>
      </c>
      <c r="C8" s="47">
        <v>90</v>
      </c>
      <c r="D8" s="9" t="s">
        <v>1</v>
      </c>
      <c r="F8" s="3" t="s">
        <v>0</v>
      </c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3"/>
    </row>
    <row r="9" spans="1:20" ht="18" x14ac:dyDescent="0.3">
      <c r="B9" s="6" t="s">
        <v>49</v>
      </c>
      <c r="C9" s="47">
        <v>320</v>
      </c>
      <c r="D9" s="9" t="s">
        <v>1</v>
      </c>
      <c r="F9" s="3" t="s">
        <v>64</v>
      </c>
      <c r="G9" s="41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</row>
    <row r="10" spans="1:20" ht="33.6" x14ac:dyDescent="0.3">
      <c r="B10" s="6" t="s">
        <v>66</v>
      </c>
      <c r="C10" s="47">
        <v>115</v>
      </c>
      <c r="D10" s="9" t="s">
        <v>1</v>
      </c>
      <c r="F10" s="5" t="s">
        <v>65</v>
      </c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</row>
    <row r="11" spans="1:20" ht="18" x14ac:dyDescent="0.3">
      <c r="B11" s="6" t="s">
        <v>144</v>
      </c>
      <c r="C11" s="47">
        <v>50</v>
      </c>
      <c r="D11" s="9" t="s">
        <v>2</v>
      </c>
      <c r="F11" s="3" t="s">
        <v>3</v>
      </c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1:20" x14ac:dyDescent="0.3">
      <c r="B12" s="56" t="s">
        <v>16</v>
      </c>
      <c r="C12" s="56"/>
      <c r="D12" s="56"/>
      <c r="E12" s="56"/>
      <c r="F12" s="56"/>
      <c r="G12" s="4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3"/>
    </row>
    <row r="13" spans="1:20" ht="18" x14ac:dyDescent="0.3">
      <c r="B13" s="6" t="s">
        <v>48</v>
      </c>
      <c r="C13" s="47">
        <v>0.5</v>
      </c>
      <c r="D13" s="9" t="s">
        <v>4</v>
      </c>
      <c r="F13" s="3" t="s">
        <v>5</v>
      </c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3"/>
    </row>
    <row r="14" spans="1:20" ht="18" x14ac:dyDescent="0.3">
      <c r="B14" s="6" t="s">
        <v>47</v>
      </c>
      <c r="C14" s="47">
        <v>24</v>
      </c>
      <c r="D14" s="9" t="s">
        <v>7</v>
      </c>
      <c r="F14" s="3" t="s">
        <v>6</v>
      </c>
      <c r="G14" s="41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3"/>
    </row>
    <row r="15" spans="1:20" ht="18" x14ac:dyDescent="0.3">
      <c r="B15" s="6" t="s">
        <v>46</v>
      </c>
      <c r="C15" s="47">
        <v>40</v>
      </c>
      <c r="D15" s="9" t="s">
        <v>7</v>
      </c>
      <c r="F15" s="3" t="s">
        <v>8</v>
      </c>
      <c r="G15" s="41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</row>
    <row r="16" spans="1:20" ht="18" x14ac:dyDescent="0.3">
      <c r="B16" s="6" t="s">
        <v>45</v>
      </c>
      <c r="C16" s="13">
        <f>C14*C13</f>
        <v>12</v>
      </c>
      <c r="D16" s="9" t="s">
        <v>9</v>
      </c>
      <c r="F16" s="3" t="s">
        <v>10</v>
      </c>
      <c r="G16" s="41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3"/>
    </row>
    <row r="17" spans="2:20" ht="18" x14ac:dyDescent="0.3">
      <c r="B17" s="6" t="s">
        <v>44</v>
      </c>
      <c r="C17" s="13">
        <f>C15*C13</f>
        <v>20</v>
      </c>
      <c r="D17" s="9" t="s">
        <v>9</v>
      </c>
      <c r="F17" s="3" t="s">
        <v>11</v>
      </c>
      <c r="G17" s="41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3"/>
    </row>
    <row r="18" spans="2:20" ht="18" x14ac:dyDescent="0.4">
      <c r="B18" s="6" t="s">
        <v>157</v>
      </c>
      <c r="C18" s="13">
        <f>Vout_nom/Iout</f>
        <v>80</v>
      </c>
      <c r="D18" s="10" t="s">
        <v>19</v>
      </c>
      <c r="F18" s="3" t="s">
        <v>158</v>
      </c>
      <c r="G18" s="4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2:20" ht="18" x14ac:dyDescent="0.3">
      <c r="B19" s="6" t="s">
        <v>156</v>
      </c>
      <c r="C19" s="47">
        <v>1</v>
      </c>
      <c r="D19" s="9" t="s">
        <v>7</v>
      </c>
      <c r="F19" s="3" t="s">
        <v>12</v>
      </c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3"/>
    </row>
    <row r="20" spans="2:20" x14ac:dyDescent="0.3">
      <c r="B20" s="6" t="s">
        <v>14</v>
      </c>
      <c r="C20" s="48">
        <v>0.85</v>
      </c>
      <c r="D20" s="9"/>
      <c r="F20" s="3" t="s">
        <v>13</v>
      </c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3"/>
    </row>
    <row r="21" spans="2:20" x14ac:dyDescent="0.3">
      <c r="B21" s="56" t="s">
        <v>17</v>
      </c>
      <c r="C21" s="56"/>
      <c r="D21" s="56"/>
      <c r="E21" s="56"/>
      <c r="F21" s="56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3"/>
    </row>
    <row r="22" spans="2:20" ht="18" x14ac:dyDescent="0.3">
      <c r="B22" s="12" t="s">
        <v>162</v>
      </c>
      <c r="C22" s="49">
        <v>100</v>
      </c>
      <c r="D22" s="10" t="s">
        <v>18</v>
      </c>
      <c r="E22" s="4">
        <f>1/1000000000000</f>
        <v>9.9999999999999998E-13</v>
      </c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3"/>
    </row>
    <row r="23" spans="2:20" ht="18" x14ac:dyDescent="0.4">
      <c r="B23" s="12" t="s">
        <v>42</v>
      </c>
      <c r="C23" s="49">
        <v>1.8</v>
      </c>
      <c r="D23" s="10" t="s">
        <v>19</v>
      </c>
      <c r="F23" s="3" t="s">
        <v>147</v>
      </c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/>
    </row>
    <row r="24" spans="2:20" ht="18" x14ac:dyDescent="0.3">
      <c r="B24" s="12" t="s">
        <v>43</v>
      </c>
      <c r="C24" s="49">
        <v>800</v>
      </c>
      <c r="D24" s="10" t="s">
        <v>7</v>
      </c>
      <c r="F24" s="3" t="s">
        <v>20</v>
      </c>
      <c r="G24" s="41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3"/>
    </row>
    <row r="25" spans="2:20" ht="18" x14ac:dyDescent="0.3">
      <c r="B25" s="12" t="s">
        <v>41</v>
      </c>
      <c r="C25" s="49">
        <v>29</v>
      </c>
      <c r="D25" s="10" t="s">
        <v>22</v>
      </c>
      <c r="E25" s="4">
        <f>1/1000000000</f>
        <v>1.0000000000000001E-9</v>
      </c>
      <c r="F25" s="3" t="s">
        <v>23</v>
      </c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</row>
    <row r="26" spans="2:20" ht="18" x14ac:dyDescent="0.3">
      <c r="B26" s="12" t="s">
        <v>40</v>
      </c>
      <c r="C26" s="49">
        <v>150</v>
      </c>
      <c r="D26" s="10" t="s">
        <v>28</v>
      </c>
      <c r="E26" s="4">
        <f>1/1000000000</f>
        <v>1.0000000000000001E-9</v>
      </c>
      <c r="F26" s="3" t="s">
        <v>29</v>
      </c>
      <c r="G26" s="41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3"/>
    </row>
    <row r="27" spans="2:20" x14ac:dyDescent="0.3">
      <c r="B27" s="57" t="s">
        <v>53</v>
      </c>
      <c r="C27" s="57"/>
      <c r="D27" s="57"/>
      <c r="E27" s="57"/>
      <c r="F27" s="57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3"/>
    </row>
    <row r="28" spans="2:20" ht="18" x14ac:dyDescent="0.4">
      <c r="B28" s="12" t="s">
        <v>55</v>
      </c>
      <c r="C28" s="49">
        <v>11</v>
      </c>
      <c r="D28" s="10" t="s">
        <v>7</v>
      </c>
      <c r="F28" s="3" t="s">
        <v>54</v>
      </c>
      <c r="G28" s="41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3"/>
    </row>
    <row r="29" spans="2:20" x14ac:dyDescent="0.3"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3"/>
    </row>
    <row r="30" spans="2:20" ht="16.2" thickBot="1" x14ac:dyDescent="0.35">
      <c r="B30" s="56" t="s">
        <v>30</v>
      </c>
      <c r="C30" s="56"/>
      <c r="D30" s="56"/>
      <c r="E30" s="56"/>
      <c r="F30" s="56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6"/>
    </row>
    <row r="31" spans="2:20" ht="18" x14ac:dyDescent="0.4">
      <c r="B31" s="7" t="s">
        <v>39</v>
      </c>
      <c r="C31" s="50">
        <v>0.01</v>
      </c>
      <c r="D31" s="10"/>
      <c r="F31" s="3" t="s">
        <v>163</v>
      </c>
    </row>
    <row r="32" spans="2:20" ht="18" x14ac:dyDescent="0.3">
      <c r="B32" s="7" t="s">
        <v>38</v>
      </c>
      <c r="C32" s="14">
        <f>BVdss*α</f>
        <v>680</v>
      </c>
      <c r="D32" s="10" t="s">
        <v>7</v>
      </c>
      <c r="F32" s="3" t="s">
        <v>31</v>
      </c>
    </row>
    <row r="33" spans="2:6" ht="18" x14ac:dyDescent="0.3">
      <c r="B33" s="7" t="s">
        <v>37</v>
      </c>
      <c r="C33" s="14">
        <f>C15*1.3</f>
        <v>52</v>
      </c>
      <c r="D33" s="10" t="s">
        <v>7</v>
      </c>
      <c r="F33" s="3" t="s">
        <v>32</v>
      </c>
    </row>
    <row r="34" spans="2:6" ht="18" x14ac:dyDescent="0.4">
      <c r="B34" s="7" t="s">
        <v>124</v>
      </c>
      <c r="C34" s="49">
        <v>1.5</v>
      </c>
      <c r="D34" s="10"/>
      <c r="F34" s="3" t="s">
        <v>125</v>
      </c>
    </row>
    <row r="35" spans="2:6" ht="18" x14ac:dyDescent="0.4">
      <c r="B35" s="7" t="s">
        <v>35</v>
      </c>
      <c r="C35" s="15">
        <f>MAX(kc*(VoutOVP+Vf)/(VDS_max-Vos-1.414*Vin_max),(1-D_LL)*(Vf+Vout_nom)/(D_LL*1.414*Vin_min))</f>
        <v>0.38309560524286806</v>
      </c>
      <c r="D35" s="10"/>
      <c r="F35" s="3" t="s">
        <v>56</v>
      </c>
    </row>
    <row r="36" spans="2:6" ht="18" x14ac:dyDescent="0.4">
      <c r="B36" s="7" t="s">
        <v>36</v>
      </c>
      <c r="C36" s="49">
        <v>0.46899999999999997</v>
      </c>
      <c r="D36" s="10"/>
      <c r="F36" s="3" t="s">
        <v>59</v>
      </c>
    </row>
    <row r="37" spans="2:6" ht="18" x14ac:dyDescent="0.4">
      <c r="B37" s="7" t="s">
        <v>57</v>
      </c>
      <c r="C37" s="16">
        <f>Nsp*(VCC_min+Vf)/(Vout_min+Vf)</f>
        <v>0.22512000000000001</v>
      </c>
      <c r="D37" s="10"/>
      <c r="F37" s="3" t="s">
        <v>61</v>
      </c>
    </row>
    <row r="38" spans="2:6" ht="18" x14ac:dyDescent="0.4">
      <c r="B38" s="7" t="s">
        <v>58</v>
      </c>
      <c r="C38" s="49">
        <v>0.25</v>
      </c>
      <c r="D38" s="10"/>
      <c r="F38" s="3" t="s">
        <v>60</v>
      </c>
    </row>
    <row r="39" spans="2:6" ht="18" x14ac:dyDescent="0.3">
      <c r="B39" s="7" t="s">
        <v>51</v>
      </c>
      <c r="C39" s="15">
        <f>4*Iout*((Vout_nom+Vf)/(1.414*Vin_min)+Nsp)</f>
        <v>1.5823501493006442</v>
      </c>
      <c r="D39" s="10" t="s">
        <v>4</v>
      </c>
      <c r="F39" s="3" t="s">
        <v>52</v>
      </c>
    </row>
    <row r="40" spans="2:6" ht="33.6" x14ac:dyDescent="0.3">
      <c r="B40" s="7" t="s">
        <v>62</v>
      </c>
      <c r="C40" s="49">
        <v>80</v>
      </c>
      <c r="D40" s="10" t="s">
        <v>63</v>
      </c>
      <c r="E40" s="4">
        <v>1000</v>
      </c>
      <c r="F40" s="5" t="s">
        <v>217</v>
      </c>
    </row>
    <row r="41" spans="2:6" ht="18" x14ac:dyDescent="0.3">
      <c r="B41" s="7" t="s">
        <v>69</v>
      </c>
      <c r="C41" s="17">
        <f>1000000*((Vin_typ*1.414/2)^2/(2*C40*E40*Pout_max*Effi)*((Vout_nom+Vf)/(Vout_nom+Vf+Nsp*1.414*Vin_typ/2))^2)</f>
        <v>652.42191268187548</v>
      </c>
      <c r="D41" s="10" t="s">
        <v>67</v>
      </c>
      <c r="E41" s="4">
        <f>1/1000000</f>
        <v>9.9999999999999995E-7</v>
      </c>
      <c r="F41" s="3" t="s">
        <v>68</v>
      </c>
    </row>
    <row r="42" spans="2:6" ht="18" x14ac:dyDescent="0.4">
      <c r="B42" s="7" t="s">
        <v>70</v>
      </c>
      <c r="C42" s="49">
        <v>620</v>
      </c>
      <c r="D42" s="10" t="s">
        <v>67</v>
      </c>
      <c r="E42" s="4">
        <f>1/1000000</f>
        <v>9.9999999999999995E-7</v>
      </c>
      <c r="F42" s="3" t="s">
        <v>122</v>
      </c>
    </row>
    <row r="43" spans="2:6" ht="18" x14ac:dyDescent="0.4">
      <c r="B43" s="7" t="s">
        <v>71</v>
      </c>
      <c r="C43" s="15">
        <f>(2/SQRT(3))*(Iout*(Vout_nom+Vf)/Vin_min)*SQRT(1+(8*Nsp*1.414*Vin_min)/(3*3.14*(Vout_nom+Vf)))</f>
        <v>0.39331877627823375</v>
      </c>
      <c r="D43" s="10" t="s">
        <v>4</v>
      </c>
      <c r="F43" s="3" t="s">
        <v>72</v>
      </c>
    </row>
    <row r="44" spans="2:6" ht="18" x14ac:dyDescent="0.4">
      <c r="B44" s="7" t="s">
        <v>74</v>
      </c>
      <c r="C44" s="15">
        <f>(8/(3*SQRT(3.14)))*Iout*SQRT(1+3*3.14*(Vout_nom+Vf)/(8*Nsp*1.414*Vin_min))</f>
        <v>1.011993859628574</v>
      </c>
      <c r="D44" s="10"/>
      <c r="F44" s="3" t="s">
        <v>73</v>
      </c>
    </row>
    <row r="46" spans="2:6" x14ac:dyDescent="0.3">
      <c r="B46" s="56" t="s">
        <v>75</v>
      </c>
      <c r="C46" s="56"/>
      <c r="D46" s="56"/>
      <c r="E46" s="56"/>
      <c r="F46" s="56"/>
    </row>
    <row r="47" spans="2:6" ht="18" x14ac:dyDescent="0.3">
      <c r="B47" s="7" t="s">
        <v>79</v>
      </c>
      <c r="C47" s="17">
        <f>VREF/(2*Nsp*Iout)</f>
        <v>0.7100213219616206</v>
      </c>
      <c r="D47" s="10" t="s">
        <v>19</v>
      </c>
      <c r="F47" s="3" t="s">
        <v>76</v>
      </c>
    </row>
    <row r="48" spans="2:6" ht="18" x14ac:dyDescent="0.4">
      <c r="B48" s="7" t="s">
        <v>78</v>
      </c>
      <c r="C48" s="49">
        <v>0.7</v>
      </c>
      <c r="D48" s="10" t="s">
        <v>19</v>
      </c>
      <c r="F48" s="3" t="s">
        <v>77</v>
      </c>
    </row>
    <row r="49" spans="2:6" ht="18" x14ac:dyDescent="0.4">
      <c r="B49" s="7" t="s">
        <v>80</v>
      </c>
      <c r="C49" s="18">
        <f>(Nauxp/Nsp)*(Vout_nom+Vf)-Vf</f>
        <v>20.85501066098081</v>
      </c>
      <c r="D49" s="10" t="s">
        <v>7</v>
      </c>
      <c r="F49" s="3" t="s">
        <v>81</v>
      </c>
    </row>
    <row r="50" spans="2:6" ht="18" x14ac:dyDescent="0.3">
      <c r="B50" s="7" t="s">
        <v>113</v>
      </c>
      <c r="C50" s="18">
        <f>tprop*E26*Rsense/(Lp*E42*KLFF)</f>
        <v>806.45161290322585</v>
      </c>
      <c r="D50" s="10" t="s">
        <v>19</v>
      </c>
      <c r="F50" s="3" t="s">
        <v>98</v>
      </c>
    </row>
    <row r="51" spans="2:6" ht="18" x14ac:dyDescent="0.4">
      <c r="B51" s="7" t="s">
        <v>112</v>
      </c>
      <c r="C51" s="49">
        <v>1000</v>
      </c>
      <c r="D51" s="10" t="s">
        <v>19</v>
      </c>
      <c r="F51" s="3" t="s">
        <v>114</v>
      </c>
    </row>
    <row r="52" spans="2:6" ht="18" x14ac:dyDescent="0.3">
      <c r="B52" s="7" t="s">
        <v>116</v>
      </c>
      <c r="C52" s="49">
        <v>43</v>
      </c>
      <c r="D52" s="10" t="s">
        <v>115</v>
      </c>
      <c r="E52" s="4">
        <v>1000</v>
      </c>
      <c r="F52" s="3" t="s">
        <v>121</v>
      </c>
    </row>
    <row r="53" spans="2:6" ht="18" x14ac:dyDescent="0.4">
      <c r="B53" s="7" t="s">
        <v>117</v>
      </c>
      <c r="C53" s="15">
        <f>(Nauxp/Nsp)*(Vout_nom+Vf)/VREFCV-1</f>
        <v>5.2442887602802317</v>
      </c>
      <c r="D53" s="10"/>
      <c r="F53" s="3" t="s">
        <v>118</v>
      </c>
    </row>
    <row r="54" spans="2:6" ht="18" x14ac:dyDescent="0.3">
      <c r="B54" s="7" t="s">
        <v>164</v>
      </c>
      <c r="C54" s="17">
        <f>RZCDU/KZCD</f>
        <v>8.1993959458674563</v>
      </c>
      <c r="D54" s="10" t="s">
        <v>115</v>
      </c>
      <c r="E54" s="4">
        <v>1000</v>
      </c>
      <c r="F54" s="3" t="s">
        <v>165</v>
      </c>
    </row>
    <row r="55" spans="2:6" ht="18" x14ac:dyDescent="0.3">
      <c r="B55" s="7" t="s">
        <v>119</v>
      </c>
      <c r="C55" s="51">
        <v>8.1999999999999993</v>
      </c>
      <c r="D55" s="10" t="s">
        <v>115</v>
      </c>
      <c r="E55" s="4">
        <v>1000</v>
      </c>
      <c r="F55" s="3" t="s">
        <v>120</v>
      </c>
    </row>
    <row r="57" spans="2:6" x14ac:dyDescent="0.3">
      <c r="B57" s="55" t="s">
        <v>85</v>
      </c>
      <c r="C57" s="55"/>
      <c r="D57" s="55"/>
      <c r="E57" s="55"/>
      <c r="F57" s="55"/>
    </row>
    <row r="58" spans="2:6" ht="18" x14ac:dyDescent="0.3">
      <c r="B58" s="7" t="s">
        <v>87</v>
      </c>
      <c r="C58" s="17">
        <f>Vin_max*1.414*Nsp+VoutOVP+Vf</f>
        <v>265.21312</v>
      </c>
      <c r="D58" s="10" t="s">
        <v>7</v>
      </c>
      <c r="F58" s="3" t="s">
        <v>86</v>
      </c>
    </row>
    <row r="59" spans="2:6" ht="18" x14ac:dyDescent="0.3">
      <c r="B59" s="7" t="s">
        <v>88</v>
      </c>
      <c r="C59" s="19">
        <f>1.7*Vsec_max</f>
        <v>450.86230399999999</v>
      </c>
      <c r="D59" s="10" t="s">
        <v>7</v>
      </c>
      <c r="F59" s="3" t="s">
        <v>89</v>
      </c>
    </row>
    <row r="60" spans="2:6" ht="34.200000000000003" customHeight="1" x14ac:dyDescent="0.3">
      <c r="B60" s="7" t="s">
        <v>90</v>
      </c>
      <c r="C60" s="49">
        <v>0.33</v>
      </c>
      <c r="D60" s="10"/>
      <c r="F60" s="5" t="s">
        <v>218</v>
      </c>
    </row>
    <row r="61" spans="2:6" ht="18" x14ac:dyDescent="0.3">
      <c r="B61" s="7" t="s">
        <v>91</v>
      </c>
      <c r="C61" s="49">
        <v>12</v>
      </c>
      <c r="D61" s="10" t="s">
        <v>19</v>
      </c>
      <c r="F61" s="3" t="s">
        <v>92</v>
      </c>
    </row>
    <row r="62" spans="2:6" ht="18" x14ac:dyDescent="0.3">
      <c r="B62" s="7" t="s">
        <v>95</v>
      </c>
      <c r="C62" s="19">
        <f>1000000*SQRT((2/C60)^2-1)/(4*3.14*Fline*RLED_min)</f>
        <v>793.19755424072321</v>
      </c>
      <c r="D62" s="10" t="s">
        <v>94</v>
      </c>
      <c r="E62" s="4">
        <f>1/1000000</f>
        <v>9.9999999999999995E-7</v>
      </c>
      <c r="F62" s="3" t="s">
        <v>93</v>
      </c>
    </row>
    <row r="63" spans="2:6" ht="18" x14ac:dyDescent="0.3">
      <c r="B63" s="7" t="s">
        <v>149</v>
      </c>
      <c r="C63" s="52">
        <v>660</v>
      </c>
      <c r="D63" s="10" t="s">
        <v>94</v>
      </c>
      <c r="E63" s="4">
        <f>1/1000000</f>
        <v>9.9999999999999995E-7</v>
      </c>
      <c r="F63" s="3" t="s">
        <v>148</v>
      </c>
    </row>
    <row r="64" spans="2:6" ht="18" x14ac:dyDescent="0.3">
      <c r="B64" s="7" t="s">
        <v>161</v>
      </c>
      <c r="C64" s="53">
        <v>0.02</v>
      </c>
      <c r="D64" s="10" t="s">
        <v>19</v>
      </c>
      <c r="F64" s="3" t="s">
        <v>160</v>
      </c>
    </row>
    <row r="65" spans="2:6" ht="18" x14ac:dyDescent="0.3">
      <c r="B65" s="7" t="s">
        <v>97</v>
      </c>
      <c r="C65" s="15">
        <f>SQRT(C44^2-Iout^2)</f>
        <v>0.87984747082999448</v>
      </c>
      <c r="D65" s="10" t="s">
        <v>4</v>
      </c>
      <c r="F65" s="3" t="s">
        <v>96</v>
      </c>
    </row>
    <row r="67" spans="2:6" x14ac:dyDescent="0.3">
      <c r="B67" s="55" t="s">
        <v>123</v>
      </c>
      <c r="C67" s="55"/>
      <c r="D67" s="55"/>
      <c r="E67" s="55"/>
      <c r="F67" s="55"/>
    </row>
    <row r="68" spans="2:6" ht="18" x14ac:dyDescent="0.3">
      <c r="B68" s="7" t="s">
        <v>133</v>
      </c>
      <c r="C68" s="14">
        <f>VDS_max-Vos-1.414*Vin_max</f>
        <v>207.52000000000004</v>
      </c>
      <c r="D68" s="10" t="s">
        <v>7</v>
      </c>
      <c r="F68" s="3" t="s">
        <v>126</v>
      </c>
    </row>
    <row r="69" spans="2:6" ht="18" x14ac:dyDescent="0.3">
      <c r="B69" s="7" t="s">
        <v>134</v>
      </c>
      <c r="C69" s="14">
        <f>Kleak*Lp</f>
        <v>6.2</v>
      </c>
      <c r="D69" s="10" t="s">
        <v>67</v>
      </c>
      <c r="E69" s="4">
        <f>1/1000000</f>
        <v>9.9999999999999995E-7</v>
      </c>
      <c r="F69" s="3" t="s">
        <v>127</v>
      </c>
    </row>
    <row r="70" spans="2:6" ht="18" x14ac:dyDescent="0.4">
      <c r="B70" s="7" t="s">
        <v>131</v>
      </c>
      <c r="C70" s="17">
        <f>1000000*Lp*E42*(VILIMIT/Rsense)*(1/(1.414*Vin_min)+Nsp/(Vout_nom+Vf)+3*3.14*SQRT(Lp*E42*COSS*pF))</f>
        <v>23.931130265656662</v>
      </c>
      <c r="D70" s="10" t="s">
        <v>132</v>
      </c>
      <c r="E70" s="4">
        <f>1/1000000</f>
        <v>9.9999999999999995E-7</v>
      </c>
      <c r="F70" s="3" t="s">
        <v>130</v>
      </c>
    </row>
    <row r="71" spans="2:6" ht="18" x14ac:dyDescent="0.3">
      <c r="B71" s="7" t="s">
        <v>135</v>
      </c>
      <c r="C71" s="17">
        <f>0.001*2*Vclamp*(Vclamp-(VoutOVP+Vf)/Nsp)/((VILIMIT/Rsense)^2*Lleak*E69*(1/(Tsw_OVP*E69)))</f>
        <v>37.852607865644707</v>
      </c>
      <c r="D71" s="10" t="s">
        <v>136</v>
      </c>
      <c r="E71" s="4">
        <v>1000</v>
      </c>
      <c r="F71" s="3" t="s">
        <v>137</v>
      </c>
    </row>
    <row r="72" spans="2:6" ht="18" x14ac:dyDescent="0.3">
      <c r="B72" s="7" t="s">
        <v>139</v>
      </c>
      <c r="C72" s="49">
        <v>42</v>
      </c>
      <c r="D72" s="10" t="s">
        <v>136</v>
      </c>
      <c r="E72" s="4">
        <v>1000</v>
      </c>
      <c r="F72" s="3" t="s">
        <v>138</v>
      </c>
    </row>
    <row r="73" spans="2:6" ht="18" x14ac:dyDescent="0.3">
      <c r="B73" s="7" t="s">
        <v>141</v>
      </c>
      <c r="C73" s="17">
        <f>1000000000*Vclamp/(C72*1000*(1/(Tsw_OVP*E69))*0.1*Vclamp)</f>
        <v>5.6978881584896808</v>
      </c>
      <c r="D73" s="10" t="s">
        <v>140</v>
      </c>
      <c r="E73" s="4">
        <f>1/1000000000</f>
        <v>1.0000000000000001E-9</v>
      </c>
      <c r="F73" s="3" t="s">
        <v>142</v>
      </c>
    </row>
    <row r="75" spans="2:6" x14ac:dyDescent="0.3">
      <c r="B75" s="55" t="s">
        <v>143</v>
      </c>
      <c r="C75" s="55"/>
      <c r="D75" s="55"/>
      <c r="E75" s="55"/>
      <c r="F75" s="55"/>
    </row>
    <row r="76" spans="2:6" ht="18" x14ac:dyDescent="0.3">
      <c r="B76" s="30" t="s">
        <v>146</v>
      </c>
      <c r="C76" s="54">
        <v>10</v>
      </c>
      <c r="D76" s="31" t="s">
        <v>2</v>
      </c>
      <c r="F76" s="3" t="s">
        <v>145</v>
      </c>
    </row>
    <row r="77" spans="2:6" x14ac:dyDescent="0.3">
      <c r="B77" s="6" t="s">
        <v>153</v>
      </c>
      <c r="C77" s="47">
        <v>60</v>
      </c>
      <c r="D77" s="9" t="s">
        <v>155</v>
      </c>
      <c r="F77" s="3" t="s">
        <v>154</v>
      </c>
    </row>
    <row r="78" spans="2:6" x14ac:dyDescent="0.3">
      <c r="B78" s="6" t="s">
        <v>198</v>
      </c>
      <c r="C78" s="13">
        <f>C77-PS-90</f>
        <v>60</v>
      </c>
      <c r="D78" s="9" t="s">
        <v>155</v>
      </c>
      <c r="F78" s="3" t="s">
        <v>199</v>
      </c>
    </row>
    <row r="79" spans="2:6" ht="18" x14ac:dyDescent="0.3">
      <c r="B79" s="6" t="s">
        <v>195</v>
      </c>
      <c r="C79" s="34">
        <f>20*LOG10(IMABS(HPS_Fc))</f>
        <v>6.1188378549373512</v>
      </c>
      <c r="D79" s="9"/>
      <c r="F79" s="3" t="s">
        <v>192</v>
      </c>
    </row>
    <row r="80" spans="2:6" ht="18" x14ac:dyDescent="0.3">
      <c r="B80" s="6" t="s">
        <v>200</v>
      </c>
      <c r="C80" s="35">
        <f>(10^(-HFc/20))*(RZCDU+RZCDL)/(RZCDL*gmCV)</f>
        <v>51447.344769719668</v>
      </c>
      <c r="D80" s="9" t="s">
        <v>19</v>
      </c>
      <c r="F80" s="3" t="s">
        <v>205</v>
      </c>
    </row>
    <row r="81" spans="2:6" ht="18" x14ac:dyDescent="0.3">
      <c r="B81" s="6" t="s">
        <v>204</v>
      </c>
      <c r="C81" s="47">
        <v>56000</v>
      </c>
      <c r="D81" s="9" t="s">
        <v>19</v>
      </c>
      <c r="F81" s="3" t="s">
        <v>206</v>
      </c>
    </row>
    <row r="82" spans="2:6" ht="18" x14ac:dyDescent="0.3">
      <c r="B82" s="6" t="s">
        <v>207</v>
      </c>
      <c r="C82" s="36">
        <f>1/(2*3.142*b1_)</f>
        <v>2.9785057370070551</v>
      </c>
      <c r="D82" s="9" t="s">
        <v>2</v>
      </c>
      <c r="F82" s="3" t="s">
        <v>208</v>
      </c>
    </row>
    <row r="83" spans="2:6" ht="18" x14ac:dyDescent="0.3">
      <c r="B83" s="6" t="s">
        <v>209</v>
      </c>
      <c r="C83" s="37">
        <f>1/(2*PI()*fzCOMP*C81)</f>
        <v>9.541873698280155E-7</v>
      </c>
      <c r="D83" s="9" t="s">
        <v>210</v>
      </c>
      <c r="F83" s="3" t="s">
        <v>211</v>
      </c>
    </row>
    <row r="84" spans="2:6" ht="18" x14ac:dyDescent="0.3">
      <c r="B84" s="6" t="s">
        <v>214</v>
      </c>
      <c r="C84" s="36">
        <f>(fzCOMP*Fc+TAN(PBoost*PI()/180)*Fc^2)/(Fc-fzCOMP*TAN(PBoost*PI()/180))</f>
        <v>41.930783031956622</v>
      </c>
      <c r="D84" s="9" t="s">
        <v>2</v>
      </c>
    </row>
    <row r="85" spans="2:6" ht="18" x14ac:dyDescent="0.3">
      <c r="B85" s="6" t="s">
        <v>213</v>
      </c>
      <c r="C85" s="37">
        <f>1/(2*PI()*fpCOMP*RCOMP)</f>
        <v>6.7779620357826594E-8</v>
      </c>
      <c r="D85" s="9" t="s">
        <v>210</v>
      </c>
      <c r="F85" s="3" t="s">
        <v>215</v>
      </c>
    </row>
    <row r="86" spans="2:6" ht="56.4" customHeight="1" x14ac:dyDescent="0.3">
      <c r="F86" s="5" t="s">
        <v>216</v>
      </c>
    </row>
  </sheetData>
  <mergeCells count="12">
    <mergeCell ref="A2:Q2"/>
    <mergeCell ref="A3:E3"/>
    <mergeCell ref="F3:G3"/>
    <mergeCell ref="B57:F57"/>
    <mergeCell ref="B67:F67"/>
    <mergeCell ref="B75:F75"/>
    <mergeCell ref="B7:F7"/>
    <mergeCell ref="B12:F12"/>
    <mergeCell ref="B21:F21"/>
    <mergeCell ref="B30:F30"/>
    <mergeCell ref="B27:F27"/>
    <mergeCell ref="B46:F4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4"/>
  <sheetViews>
    <sheetView topLeftCell="A4" workbookViewId="0">
      <selection activeCell="D17" sqref="D17"/>
    </sheetView>
  </sheetViews>
  <sheetFormatPr defaultRowHeight="14.4" x14ac:dyDescent="0.3"/>
  <cols>
    <col min="2" max="2" width="13" customWidth="1"/>
    <col min="4" max="4" width="50" customWidth="1"/>
  </cols>
  <sheetData>
    <row r="4" spans="1:4" ht="15.6" x14ac:dyDescent="0.35">
      <c r="A4" t="s">
        <v>83</v>
      </c>
      <c r="B4">
        <v>0.33300000000000002</v>
      </c>
      <c r="C4" t="s">
        <v>7</v>
      </c>
      <c r="D4" t="s">
        <v>26</v>
      </c>
    </row>
    <row r="5" spans="1:4" ht="15.6" x14ac:dyDescent="0.35">
      <c r="A5" t="s">
        <v>84</v>
      </c>
      <c r="B5">
        <v>26</v>
      </c>
      <c r="C5" t="s">
        <v>7</v>
      </c>
      <c r="D5" t="s">
        <v>82</v>
      </c>
    </row>
    <row r="6" spans="1:4" x14ac:dyDescent="0.3">
      <c r="A6" t="s">
        <v>99</v>
      </c>
      <c r="B6">
        <v>8.0000000000000002E-3</v>
      </c>
    </row>
    <row r="7" spans="1:4" x14ac:dyDescent="0.3">
      <c r="A7" t="s">
        <v>100</v>
      </c>
      <c r="B7">
        <v>3.5</v>
      </c>
      <c r="C7" t="s">
        <v>7</v>
      </c>
    </row>
    <row r="8" spans="1:4" x14ac:dyDescent="0.3">
      <c r="A8" t="s">
        <v>101</v>
      </c>
      <c r="B8">
        <f>(0.21/1000000)</f>
        <v>2.1E-7</v>
      </c>
      <c r="C8" t="s">
        <v>102</v>
      </c>
      <c r="D8" t="s">
        <v>103</v>
      </c>
    </row>
    <row r="9" spans="1:4" x14ac:dyDescent="0.3">
      <c r="A9" t="s">
        <v>105</v>
      </c>
      <c r="B9">
        <v>2E-3</v>
      </c>
      <c r="C9" t="s">
        <v>4</v>
      </c>
      <c r="D9" t="s">
        <v>104</v>
      </c>
    </row>
    <row r="10" spans="1:4" x14ac:dyDescent="0.3">
      <c r="A10" t="s">
        <v>106</v>
      </c>
      <c r="B10">
        <v>18</v>
      </c>
      <c r="C10" t="s">
        <v>7</v>
      </c>
      <c r="D10" t="s">
        <v>107</v>
      </c>
    </row>
    <row r="11" spans="1:4" x14ac:dyDescent="0.3">
      <c r="A11" t="s">
        <v>108</v>
      </c>
      <c r="B11">
        <v>10.5</v>
      </c>
      <c r="C11" t="s">
        <v>7</v>
      </c>
      <c r="D11" t="s">
        <v>109</v>
      </c>
    </row>
    <row r="12" spans="1:4" x14ac:dyDescent="0.3">
      <c r="A12" t="s">
        <v>110</v>
      </c>
      <c r="B12">
        <v>2.0999999999999999E-3</v>
      </c>
      <c r="C12" t="s">
        <v>4</v>
      </c>
      <c r="D12" t="s">
        <v>111</v>
      </c>
    </row>
    <row r="13" spans="1:4" ht="15.6" x14ac:dyDescent="0.35">
      <c r="A13" t="s">
        <v>128</v>
      </c>
      <c r="B13">
        <v>1.4</v>
      </c>
      <c r="C13" t="s">
        <v>7</v>
      </c>
      <c r="D13" t="s">
        <v>129</v>
      </c>
    </row>
    <row r="14" spans="1:4" ht="15.6" x14ac:dyDescent="0.35">
      <c r="A14" t="s">
        <v>183</v>
      </c>
      <c r="B14">
        <v>0.32300000000000001</v>
      </c>
    </row>
    <row r="15" spans="1:4" ht="15.6" x14ac:dyDescent="0.35">
      <c r="A15" t="s">
        <v>184</v>
      </c>
      <c r="B15">
        <v>3</v>
      </c>
    </row>
    <row r="16" spans="1:4" x14ac:dyDescent="0.3">
      <c r="A16" t="s">
        <v>189</v>
      </c>
      <c r="B16" s="28">
        <v>4.0000000000000003E-5</v>
      </c>
      <c r="C16" t="s">
        <v>159</v>
      </c>
    </row>
    <row r="17" spans="1:4" ht="15.6" x14ac:dyDescent="0.35">
      <c r="A17" t="s">
        <v>201</v>
      </c>
      <c r="B17" s="28">
        <v>6.0000000000000002E-5</v>
      </c>
      <c r="C17" t="s">
        <v>202</v>
      </c>
      <c r="D17" t="s">
        <v>203</v>
      </c>
    </row>
    <row r="19" spans="1:4" x14ac:dyDescent="0.3">
      <c r="A19" s="1" t="s">
        <v>21</v>
      </c>
      <c r="B19">
        <v>0.85</v>
      </c>
      <c r="D19" t="s">
        <v>27</v>
      </c>
    </row>
    <row r="20" spans="1:4" x14ac:dyDescent="0.3">
      <c r="A20" t="s">
        <v>24</v>
      </c>
      <c r="B20">
        <v>20</v>
      </c>
      <c r="C20" t="s">
        <v>7</v>
      </c>
      <c r="D20" t="s">
        <v>25</v>
      </c>
    </row>
    <row r="22" spans="1:4" ht="28.8" x14ac:dyDescent="0.3">
      <c r="A22" t="s">
        <v>33</v>
      </c>
      <c r="B22">
        <v>0.5</v>
      </c>
      <c r="D22" s="2" t="s">
        <v>34</v>
      </c>
    </row>
    <row r="24" spans="1:4" ht="28.8" x14ac:dyDescent="0.3">
      <c r="A24" t="s">
        <v>196</v>
      </c>
      <c r="B24">
        <v>-90</v>
      </c>
      <c r="D24" s="2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opLeftCell="A7" workbookViewId="0">
      <selection activeCell="C24" sqref="C24"/>
    </sheetView>
  </sheetViews>
  <sheetFormatPr defaultRowHeight="14.4" x14ac:dyDescent="0.3"/>
  <cols>
    <col min="2" max="2" width="12.88671875" customWidth="1"/>
    <col min="3" max="3" width="14.44140625" customWidth="1"/>
  </cols>
  <sheetData>
    <row r="2" spans="2:6" ht="18" x14ac:dyDescent="0.3">
      <c r="B2" s="24" t="s">
        <v>169</v>
      </c>
      <c r="C2" s="32">
        <f>3.142*SQRT(Lp*µH*COSS*pF)</f>
        <v>7.8235169073761196E-7</v>
      </c>
      <c r="D2" s="11" t="s">
        <v>159</v>
      </c>
      <c r="E2" s="11"/>
      <c r="F2" s="11"/>
    </row>
    <row r="3" spans="2:6" ht="18" x14ac:dyDescent="0.3">
      <c r="B3" s="8" t="s">
        <v>166</v>
      </c>
      <c r="C3" s="33">
        <f>Rsense*Iout*Nsp+Rsense*(Iout*(Vout_nom+Vf)*Lp*µH+SQRT((Lp*µH)^2*Iout^2*(Nsp*Vin_typ+Vout_nom+Vf)^2+2*Lp*µH*Iout*(Vout_nom+Vf)*Vin_typ^2*tv))/(Lp*µH*Vin_typ)</f>
        <v>0.61883073064045024</v>
      </c>
      <c r="D3" s="11" t="s">
        <v>7</v>
      </c>
      <c r="E3" s="4"/>
      <c r="F3" s="3"/>
    </row>
    <row r="4" spans="2:6" ht="18" x14ac:dyDescent="0.3">
      <c r="B4" s="8" t="s">
        <v>170</v>
      </c>
      <c r="C4" s="33">
        <f>Vout_nom+Vf</f>
        <v>41</v>
      </c>
      <c r="D4" s="11" t="s">
        <v>7</v>
      </c>
      <c r="E4" s="4"/>
      <c r="F4" s="3"/>
    </row>
    <row r="5" spans="2:6" ht="18" x14ac:dyDescent="0.3">
      <c r="B5" s="8" t="s">
        <v>167</v>
      </c>
      <c r="C5" s="25">
        <f>Nsp*Lp*µH*VCS1_/(VO*Rsense)</f>
        <v>6.269811841659586E-6</v>
      </c>
      <c r="D5" s="11" t="s">
        <v>159</v>
      </c>
      <c r="E5" s="4"/>
      <c r="F5" s="3"/>
    </row>
    <row r="6" spans="2:6" ht="18" x14ac:dyDescent="0.3">
      <c r="B6" s="8" t="s">
        <v>168</v>
      </c>
      <c r="C6" s="25">
        <f>Lp*µH*VCS1_/(Rsense*Vin_typ)+C5+tv</f>
        <v>1.1818313259068988E-5</v>
      </c>
      <c r="D6" s="11" t="s">
        <v>159</v>
      </c>
      <c r="E6" s="4"/>
      <c r="F6" s="3"/>
    </row>
    <row r="7" spans="2:6" ht="18" x14ac:dyDescent="0.3">
      <c r="B7" s="8" t="s">
        <v>171</v>
      </c>
      <c r="C7" s="20">
        <f>tdemag1/C6</f>
        <v>0.53051664008384081</v>
      </c>
      <c r="D7" s="11"/>
      <c r="E7" s="4"/>
      <c r="F7" s="3"/>
    </row>
    <row r="8" spans="2:6" ht="18" x14ac:dyDescent="0.3">
      <c r="B8" s="8" t="s">
        <v>173</v>
      </c>
      <c r="C8" s="20">
        <f>Rload*Vin_typ*(VO+Nsp*Vin_typ)/(2*Rsense*(VO+Nsp*Vin_typ)^2+Vin_typ*VCS1_*Rload)</f>
        <v>47.698321934948112</v>
      </c>
      <c r="D8" s="11"/>
      <c r="E8" s="4"/>
      <c r="F8" s="3"/>
    </row>
    <row r="9" spans="2:6" ht="18" x14ac:dyDescent="0.3">
      <c r="B9" s="8" t="s">
        <v>174</v>
      </c>
      <c r="C9" s="26">
        <f>(Lp*µH)^2*Nsp^2*VCS1_^2/(Rsense^2*VO^3*(tv+Lp*µH*VCS1_*(Nsp/VO+1/Vin_typ)/Rsense)^2)</f>
        <v>6.8645830586792061E-3</v>
      </c>
      <c r="D9" s="11"/>
      <c r="E9" s="4"/>
      <c r="F9" s="3"/>
    </row>
    <row r="10" spans="2:6" ht="18" x14ac:dyDescent="0.3">
      <c r="B10" s="8" t="s">
        <v>175</v>
      </c>
      <c r="C10" s="26">
        <f>(Lp*µH)*Nsp*VCS1_/(Rsense*VO^2*(tv+Lp*µH*VCS1_*(Nsp/VO+1/Vin_typ)/Rsense))</f>
        <v>1.2939430245947335E-2</v>
      </c>
      <c r="D10" s="11"/>
      <c r="E10" s="4"/>
      <c r="F10" s="3"/>
    </row>
    <row r="11" spans="2:6" ht="18" x14ac:dyDescent="0.3">
      <c r="B11" s="8" t="s">
        <v>176</v>
      </c>
      <c r="C11" s="26">
        <f>Kd2Vo1_1-C10</f>
        <v>-6.0748471872681294E-3</v>
      </c>
      <c r="D11" s="11"/>
      <c r="E11" s="4"/>
      <c r="F11" s="3"/>
    </row>
    <row r="12" spans="2:6" ht="18" x14ac:dyDescent="0.3">
      <c r="B12" s="8" t="s">
        <v>172</v>
      </c>
      <c r="C12" s="26">
        <f>H0*(VCS1_/D21_)*C11</f>
        <v>-0.3379958127337534</v>
      </c>
      <c r="D12" s="11"/>
      <c r="E12" s="4"/>
      <c r="F12" s="3"/>
    </row>
    <row r="13" spans="2:6" ht="18" x14ac:dyDescent="0.3">
      <c r="B13" s="8" t="s">
        <v>178</v>
      </c>
      <c r="C13" s="25">
        <f>(Lp*µH)*Nsp/(Rsense*VO*Tsw1_)-(Lp*µH)^2*Nsp*VCS1_*(Nsp/VO+1/Vin_typ)/(Rsense^2*VO*Tsw1_^2)</f>
        <v>5.675101930669002E-2</v>
      </c>
      <c r="D13" s="11"/>
      <c r="E13" s="4"/>
      <c r="F13" s="3"/>
    </row>
    <row r="14" spans="2:6" ht="18" x14ac:dyDescent="0.3">
      <c r="B14" s="8" t="s">
        <v>179</v>
      </c>
      <c r="C14" s="26">
        <f>(VCS1_/D21_)*Kd2Vc1</f>
        <v>6.6198252964504878E-2</v>
      </c>
      <c r="D14" s="11"/>
      <c r="E14" s="4"/>
      <c r="F14" s="3"/>
    </row>
    <row r="15" spans="2:6" ht="18" x14ac:dyDescent="0.3">
      <c r="B15" s="8" t="s">
        <v>180</v>
      </c>
      <c r="C15" s="20">
        <f>1/(Cout*µF*((Vin_typ*VCS1_*Rload*rESR+2*Rsense*(VO+Nsp*Vin_typ)^2*(rESR+Rload))/(2*Rsense*(VO+Nsp*Vin_typ)^2+Vin_typ*VCS1_*Rload)))</f>
        <v>27.475074540357859</v>
      </c>
      <c r="D15" s="11" t="s">
        <v>212</v>
      </c>
      <c r="E15" s="4"/>
      <c r="F15" s="3"/>
    </row>
    <row r="16" spans="2:6" ht="18" x14ac:dyDescent="0.3">
      <c r="B16" s="8" t="s">
        <v>181</v>
      </c>
      <c r="C16" s="25">
        <f>1/(rESR*Cout*µF)</f>
        <v>75757.57575757576</v>
      </c>
      <c r="D16" s="11" t="s">
        <v>212</v>
      </c>
      <c r="E16" s="4"/>
      <c r="F16" s="3"/>
    </row>
    <row r="17" spans="2:6" ht="18" x14ac:dyDescent="0.3">
      <c r="B17" s="8" t="s">
        <v>182</v>
      </c>
      <c r="C17" s="25">
        <f>-1/(Lp*µH*VCS1_/(2*Rsense*Vin_typ))</f>
        <v>-419625.92757164658</v>
      </c>
      <c r="D17" s="11" t="s">
        <v>212</v>
      </c>
      <c r="E17" s="4"/>
      <c r="F17" s="3"/>
    </row>
    <row r="18" spans="2:6" ht="18" x14ac:dyDescent="0.3">
      <c r="B18" s="8" t="s">
        <v>190</v>
      </c>
      <c r="C18" s="29">
        <f>(1/(Kv1_+Kv2_+1))*(1/ωp11+tau/D21_+Kv1_/ωp11+Kv2_/ωz11+tau*(1+Kv1_+Kv2_))</f>
        <v>5.3427565164606047E-2</v>
      </c>
      <c r="D18" s="11"/>
      <c r="E18" s="4"/>
      <c r="F18" s="3"/>
    </row>
    <row r="19" spans="2:6" ht="18" x14ac:dyDescent="0.3">
      <c r="B19" s="8" t="s">
        <v>186</v>
      </c>
      <c r="C19" s="27" t="str">
        <f>COMPLEX((Nauxp/Nsp)*kCV*(1/D21_)*(1/kdiv)*(H0/(Kv1_+Kv2_+1)),0,"i")</f>
        <v>7,08598769225363</v>
      </c>
      <c r="D19" s="11"/>
      <c r="E19" s="4"/>
      <c r="F19" s="3" t="s">
        <v>185</v>
      </c>
    </row>
    <row r="20" spans="2:6" ht="15.6" x14ac:dyDescent="0.3">
      <c r="B20" s="8" t="s">
        <v>191</v>
      </c>
      <c r="C20" s="8" t="str">
        <f>COMPLEX(1,2*3.142*Fc/ωz11,"i")</f>
        <v>1+0,000829488i</v>
      </c>
      <c r="D20" s="11"/>
      <c r="E20" s="4"/>
      <c r="F20" s="3"/>
    </row>
    <row r="21" spans="2:6" ht="15.6" x14ac:dyDescent="0.3">
      <c r="B21" s="8" t="s">
        <v>187</v>
      </c>
      <c r="C21" s="27" t="str">
        <f>COMPLEX(1,2*3.142*Fc/ωz21,"i")</f>
        <v>1-0,000149752424412028i</v>
      </c>
      <c r="D21" s="11"/>
      <c r="E21" s="4"/>
      <c r="F21" s="3"/>
    </row>
    <row r="22" spans="2:6" ht="15.6" x14ac:dyDescent="0.3">
      <c r="B22" s="8" t="s">
        <v>188</v>
      </c>
      <c r="C22" s="8" t="str">
        <f>COMPLEX(1,2*3.142*b1_*Fc,"i")</f>
        <v>1+3,35738819494384i</v>
      </c>
      <c r="D22" s="11"/>
      <c r="E22" s="4"/>
      <c r="F22" s="3"/>
    </row>
    <row r="23" spans="2:6" ht="18" x14ac:dyDescent="0.3">
      <c r="B23" s="8" t="s">
        <v>193</v>
      </c>
      <c r="C23" s="8" t="str">
        <f>IMPRODUCT(C19,C20,C21)</f>
        <v>7,08598857245971+0,00481659792260331i</v>
      </c>
      <c r="D23" s="11"/>
      <c r="E23" s="4"/>
      <c r="F23" s="3"/>
    </row>
    <row r="24" spans="2:6" ht="18" x14ac:dyDescent="0.3">
      <c r="B24" s="8" t="s">
        <v>194</v>
      </c>
      <c r="C24" s="8" t="str">
        <f>IMDIV(C23,pole1_Fc)</f>
        <v>0,578726177237065-1,93819183763809i</v>
      </c>
      <c r="D24" s="11"/>
      <c r="E24" s="4"/>
      <c r="F2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95</vt:i4>
      </vt:variant>
    </vt:vector>
  </HeadingPairs>
  <TitlesOfParts>
    <vt:vector size="98" baseType="lpstr">
      <vt:lpstr>Spreadsheet</vt:lpstr>
      <vt:lpstr>constants</vt:lpstr>
      <vt:lpstr>TransFunc</vt:lpstr>
      <vt:lpstr>µF</vt:lpstr>
      <vt:lpstr>µH</vt:lpstr>
      <vt:lpstr>alpha</vt:lpstr>
      <vt:lpstr>b1_</vt:lpstr>
      <vt:lpstr>BVdss</vt:lpstr>
      <vt:lpstr>CCOMP2</vt:lpstr>
      <vt:lpstr>COSS</vt:lpstr>
      <vt:lpstr>Cout</vt:lpstr>
      <vt:lpstr>D_LL</vt:lpstr>
      <vt:lpstr>D21_</vt:lpstr>
      <vt:lpstr>Effi</vt:lpstr>
      <vt:lpstr>Fc</vt:lpstr>
      <vt:lpstr>Fline</vt:lpstr>
      <vt:lpstr>fpCOMP</vt:lpstr>
      <vt:lpstr>Fsw</vt:lpstr>
      <vt:lpstr>fzCOMP</vt:lpstr>
      <vt:lpstr>gmCV</vt:lpstr>
      <vt:lpstr>H0</vt:lpstr>
      <vt:lpstr>H01_</vt:lpstr>
      <vt:lpstr>HFc</vt:lpstr>
      <vt:lpstr>HPS_Fc</vt:lpstr>
      <vt:lpstr>ICC2_</vt:lpstr>
      <vt:lpstr>Iout</vt:lpstr>
      <vt:lpstr>Ipri_rms</vt:lpstr>
      <vt:lpstr>Isec_rms</vt:lpstr>
      <vt:lpstr>IZCD_max</vt:lpstr>
      <vt:lpstr>kc</vt:lpstr>
      <vt:lpstr>kCV</vt:lpstr>
      <vt:lpstr>Kd2Vc1</vt:lpstr>
      <vt:lpstr>Kd2Vo1</vt:lpstr>
      <vt:lpstr>Kd2Vo1_1</vt:lpstr>
      <vt:lpstr>Kd2Vo1_2</vt:lpstr>
      <vt:lpstr>kdiv</vt:lpstr>
      <vt:lpstr>KHV</vt:lpstr>
      <vt:lpstr>KIout_PPR</vt:lpstr>
      <vt:lpstr>Kleak</vt:lpstr>
      <vt:lpstr>KLFF</vt:lpstr>
      <vt:lpstr>Kv1_</vt:lpstr>
      <vt:lpstr>Kv2_</vt:lpstr>
      <vt:lpstr>KZCD</vt:lpstr>
      <vt:lpstr>Lleak</vt:lpstr>
      <vt:lpstr>Lp</vt:lpstr>
      <vt:lpstr>Nauxp</vt:lpstr>
      <vt:lpstr>nC</vt:lpstr>
      <vt:lpstr>Nsp</vt:lpstr>
      <vt:lpstr>num_HPS</vt:lpstr>
      <vt:lpstr>PBoost</vt:lpstr>
      <vt:lpstr>pF</vt:lpstr>
      <vt:lpstr>PM</vt:lpstr>
      <vt:lpstr>pole1_Fc</vt:lpstr>
      <vt:lpstr>Pout_max</vt:lpstr>
      <vt:lpstr>Pout_min</vt:lpstr>
      <vt:lpstr>PS</vt:lpstr>
      <vt:lpstr>Qg</vt:lpstr>
      <vt:lpstr>Rclamp</vt:lpstr>
      <vt:lpstr>RCOMP</vt:lpstr>
      <vt:lpstr>Rdson110</vt:lpstr>
      <vt:lpstr>rESR</vt:lpstr>
      <vt:lpstr>RLED_min</vt:lpstr>
      <vt:lpstr>Rload</vt:lpstr>
      <vt:lpstr>Rsense</vt:lpstr>
      <vt:lpstr>RZCDL</vt:lpstr>
      <vt:lpstr>RZCDU</vt:lpstr>
      <vt:lpstr>tau</vt:lpstr>
      <vt:lpstr>tdemag1</vt:lpstr>
      <vt:lpstr>tprop</vt:lpstr>
      <vt:lpstr>Tsw_OVP</vt:lpstr>
      <vt:lpstr>Tsw1_</vt:lpstr>
      <vt:lpstr>tv</vt:lpstr>
      <vt:lpstr>VCC_min</vt:lpstr>
      <vt:lpstr>VCCoff</vt:lpstr>
      <vt:lpstr>VCCon</vt:lpstr>
      <vt:lpstr>VCCOVP</vt:lpstr>
      <vt:lpstr>Vclamp</vt:lpstr>
      <vt:lpstr>VCS1_</vt:lpstr>
      <vt:lpstr>VDS_max</vt:lpstr>
      <vt:lpstr>Vf</vt:lpstr>
      <vt:lpstr>VILIMIT</vt:lpstr>
      <vt:lpstr>Vin_max</vt:lpstr>
      <vt:lpstr>Vin_min</vt:lpstr>
      <vt:lpstr>Vin_typ</vt:lpstr>
      <vt:lpstr>VO</vt:lpstr>
      <vt:lpstr>Vos</vt:lpstr>
      <vt:lpstr>Vout_min</vt:lpstr>
      <vt:lpstr>Vout_nom</vt:lpstr>
      <vt:lpstr>VoutOVP</vt:lpstr>
      <vt:lpstr>VREF</vt:lpstr>
      <vt:lpstr>VREFCV</vt:lpstr>
      <vt:lpstr>Vsec_max</vt:lpstr>
      <vt:lpstr>zero1_Fc</vt:lpstr>
      <vt:lpstr>zero2_Fc</vt:lpstr>
      <vt:lpstr>α</vt:lpstr>
      <vt:lpstr>ωp11</vt:lpstr>
      <vt:lpstr>ωz11</vt:lpstr>
      <vt:lpstr>ωz21</vt:lpstr>
    </vt:vector>
  </TitlesOfParts>
  <Company>ON Semiconductor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Cannenterre</dc:creator>
  <cp:lastModifiedBy>Stephanie Cannenterre</cp:lastModifiedBy>
  <dcterms:created xsi:type="dcterms:W3CDTF">2021-03-26T07:46:03Z</dcterms:created>
  <dcterms:modified xsi:type="dcterms:W3CDTF">2021-04-06T07:26:21Z</dcterms:modified>
</cp:coreProperties>
</file>