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G\NCP106x\2022-5-10 web tools update\"/>
    </mc:Choice>
  </mc:AlternateContent>
  <xr:revisionPtr revIDLastSave="0" documentId="13_ncr:1_{7295EBD9-CD70-4190-ADB1-79069A5561DF}" xr6:coauthVersionLast="46" xr6:coauthVersionMax="46" xr10:uidLastSave="{00000000-0000-0000-0000-000000000000}"/>
  <bookViews>
    <workbookView xWindow="2010" yWindow="3870" windowWidth="21600" windowHeight="12735" xr2:uid="{00000000-000D-0000-FFFF-FFFF00000000}"/>
  </bookViews>
  <sheets>
    <sheet name="FB analysis" sheetId="7" r:id="rId1"/>
    <sheet name="Sheet1" sheetId="8" r:id="rId2"/>
  </sheets>
  <definedNames>
    <definedName name="fmax">'FB analysis'!$B$26</definedName>
    <definedName name="fmin">'FB analysis'!$B$25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7" l="1"/>
  <c r="J4" i="8"/>
  <c r="I4" i="8" l="1"/>
  <c r="I6" i="8" s="1"/>
  <c r="H4" i="8"/>
  <c r="H6" i="8" s="1"/>
  <c r="J6" i="8" l="1"/>
  <c r="B75" i="8"/>
  <c r="C75" i="8" s="1"/>
  <c r="B18" i="7" l="1"/>
  <c r="D10" i="8" s="1"/>
  <c r="B24" i="8"/>
  <c r="H19" i="8"/>
  <c r="C19" i="8"/>
  <c r="D19" i="8" s="1"/>
  <c r="B19" i="8"/>
  <c r="B10" i="8" l="1"/>
  <c r="B12" i="8" s="1"/>
  <c r="C10" i="8"/>
  <c r="C12" i="8" s="1"/>
  <c r="D12" i="8"/>
  <c r="J19" i="8"/>
  <c r="J21" i="8" s="1"/>
  <c r="E19" i="8"/>
  <c r="E21" i="8" s="1"/>
  <c r="A25" i="8"/>
  <c r="B25" i="8" s="1"/>
  <c r="C24" i="8"/>
  <c r="V24" i="8" s="1"/>
  <c r="W24" i="8" s="1"/>
  <c r="L21" i="8"/>
  <c r="H21" i="8"/>
  <c r="F19" i="8" l="1"/>
  <c r="D75" i="8"/>
  <c r="X24" i="8"/>
  <c r="J75" i="8"/>
  <c r="K75" i="8" s="1"/>
  <c r="I19" i="8"/>
  <c r="I21" i="8" s="1"/>
  <c r="B21" i="8"/>
  <c r="K19" i="8"/>
  <c r="K21" i="8" s="1"/>
  <c r="F24" i="8" s="1"/>
  <c r="D21" i="8"/>
  <c r="D24" i="8"/>
  <c r="A26" i="8"/>
  <c r="B26" i="8" s="1"/>
  <c r="C25" i="8"/>
  <c r="V25" i="8" s="1"/>
  <c r="C21" i="8"/>
  <c r="X25" i="8" l="1"/>
  <c r="W25" i="8"/>
  <c r="L75" i="8"/>
  <c r="F75" i="8"/>
  <c r="E24" i="8"/>
  <c r="E75" i="8"/>
  <c r="F25" i="8"/>
  <c r="G19" i="8"/>
  <c r="G21" i="8" s="1"/>
  <c r="F21" i="8"/>
  <c r="D25" i="8"/>
  <c r="E25" i="8"/>
  <c r="A27" i="8"/>
  <c r="B27" i="8" s="1"/>
  <c r="C26" i="8"/>
  <c r="V26" i="8" s="1"/>
  <c r="J24" i="8"/>
  <c r="W26" i="8" l="1"/>
  <c r="X26" i="8"/>
  <c r="G24" i="8"/>
  <c r="I24" i="8" s="1"/>
  <c r="G75" i="8"/>
  <c r="K24" i="8"/>
  <c r="L24" i="8"/>
  <c r="J26" i="8"/>
  <c r="E26" i="8"/>
  <c r="D26" i="8"/>
  <c r="F26" i="8"/>
  <c r="J25" i="8"/>
  <c r="A28" i="8"/>
  <c r="B28" i="8" s="1"/>
  <c r="C27" i="8"/>
  <c r="V27" i="8" s="1"/>
  <c r="G25" i="8"/>
  <c r="Y25" i="8" l="1"/>
  <c r="Z25" i="8" s="1"/>
  <c r="X27" i="8"/>
  <c r="W27" i="8"/>
  <c r="Y24" i="8"/>
  <c r="H24" i="8"/>
  <c r="M24" i="8"/>
  <c r="N24" i="8" s="1"/>
  <c r="H75" i="8"/>
  <c r="M75" i="8"/>
  <c r="I75" i="8"/>
  <c r="L25" i="8"/>
  <c r="K25" i="8"/>
  <c r="E27" i="8"/>
  <c r="D27" i="8"/>
  <c r="J27" i="8"/>
  <c r="F27" i="8"/>
  <c r="G26" i="8"/>
  <c r="Y26" i="8" s="1"/>
  <c r="I25" i="8"/>
  <c r="M25" i="8"/>
  <c r="H25" i="8"/>
  <c r="A29" i="8"/>
  <c r="B29" i="8" s="1"/>
  <c r="C28" i="8"/>
  <c r="V28" i="8" s="1"/>
  <c r="K26" i="8"/>
  <c r="L26" i="8"/>
  <c r="AA25" i="8" l="1"/>
  <c r="Z26" i="8"/>
  <c r="AA26" i="8"/>
  <c r="W28" i="8"/>
  <c r="X28" i="8"/>
  <c r="O24" i="8"/>
  <c r="AA24" i="8"/>
  <c r="Z24" i="8"/>
  <c r="O75" i="8"/>
  <c r="B30" i="7" s="1"/>
  <c r="C2" i="8" s="1"/>
  <c r="D2" i="8" s="1"/>
  <c r="N75" i="8"/>
  <c r="B31" i="7" s="1"/>
  <c r="B2" i="8" s="1"/>
  <c r="L27" i="8"/>
  <c r="K27" i="8"/>
  <c r="D28" i="8"/>
  <c r="J28" i="8"/>
  <c r="E28" i="8"/>
  <c r="F28" i="8"/>
  <c r="G27" i="8"/>
  <c r="Y27" i="8" s="1"/>
  <c r="M26" i="8"/>
  <c r="I26" i="8"/>
  <c r="H26" i="8"/>
  <c r="N25" i="8"/>
  <c r="O25" i="8"/>
  <c r="A30" i="8"/>
  <c r="B30" i="8" s="1"/>
  <c r="C29" i="8"/>
  <c r="V29" i="8" s="1"/>
  <c r="Z27" i="8" l="1"/>
  <c r="AA27" i="8"/>
  <c r="X29" i="8"/>
  <c r="W29" i="8"/>
  <c r="F2" i="8"/>
  <c r="E2" i="8"/>
  <c r="G28" i="8"/>
  <c r="I28" i="8" s="1"/>
  <c r="N26" i="8"/>
  <c r="O26" i="8"/>
  <c r="M27" i="8"/>
  <c r="I27" i="8"/>
  <c r="H27" i="8"/>
  <c r="J29" i="8"/>
  <c r="D29" i="8"/>
  <c r="E29" i="8"/>
  <c r="F29" i="8"/>
  <c r="A31" i="8"/>
  <c r="B31" i="8" s="1"/>
  <c r="C30" i="8"/>
  <c r="V30" i="8" s="1"/>
  <c r="L28" i="8"/>
  <c r="K28" i="8"/>
  <c r="B35" i="7" l="1"/>
  <c r="B33" i="7"/>
  <c r="X30" i="8"/>
  <c r="W30" i="8"/>
  <c r="Y28" i="8"/>
  <c r="H28" i="8"/>
  <c r="M28" i="8"/>
  <c r="N28" i="8" s="1"/>
  <c r="C31" i="8"/>
  <c r="V31" i="8" s="1"/>
  <c r="A32" i="8"/>
  <c r="B32" i="8" s="1"/>
  <c r="N27" i="8"/>
  <c r="O27" i="8"/>
  <c r="J30" i="8"/>
  <c r="E30" i="8"/>
  <c r="D30" i="8"/>
  <c r="F30" i="8"/>
  <c r="G29" i="8"/>
  <c r="Y29" i="8" s="1"/>
  <c r="K29" i="8"/>
  <c r="L29" i="8"/>
  <c r="AA29" i="8" l="1"/>
  <c r="Z29" i="8"/>
  <c r="Z28" i="8"/>
  <c r="AA28" i="8"/>
  <c r="W31" i="8"/>
  <c r="X31" i="8"/>
  <c r="B34" i="7"/>
  <c r="C4" i="8" s="1"/>
  <c r="C6" i="8" s="1"/>
  <c r="O28" i="8"/>
  <c r="I29" i="8"/>
  <c r="H29" i="8"/>
  <c r="M29" i="8"/>
  <c r="A33" i="8"/>
  <c r="B33" i="8" s="1"/>
  <c r="C32" i="8"/>
  <c r="V32" i="8" s="1"/>
  <c r="L30" i="8"/>
  <c r="K30" i="8"/>
  <c r="G30" i="8"/>
  <c r="Y30" i="8" s="1"/>
  <c r="E31" i="8"/>
  <c r="D31" i="8"/>
  <c r="J31" i="8"/>
  <c r="F31" i="8"/>
  <c r="D4" i="8" l="1"/>
  <c r="D6" i="8" s="1"/>
  <c r="Z30" i="8"/>
  <c r="AA30" i="8"/>
  <c r="X32" i="8"/>
  <c r="W32" i="8"/>
  <c r="B4" i="8"/>
  <c r="B6" i="8" s="1"/>
  <c r="L31" i="8"/>
  <c r="K31" i="8"/>
  <c r="G31" i="8"/>
  <c r="Y31" i="8" s="1"/>
  <c r="D32" i="8"/>
  <c r="E32" i="8"/>
  <c r="J32" i="8"/>
  <c r="F32" i="8"/>
  <c r="A34" i="8"/>
  <c r="B34" i="8" s="1"/>
  <c r="C33" i="8"/>
  <c r="V33" i="8" s="1"/>
  <c r="M30" i="8"/>
  <c r="I30" i="8"/>
  <c r="H30" i="8"/>
  <c r="O29" i="8"/>
  <c r="N29" i="8"/>
  <c r="Z31" i="8" l="1"/>
  <c r="AA31" i="8"/>
  <c r="W33" i="8"/>
  <c r="X33" i="8"/>
  <c r="P75" i="8"/>
  <c r="Q75" i="8" s="1"/>
  <c r="P32" i="8"/>
  <c r="Q32" i="8" s="1"/>
  <c r="P30" i="8"/>
  <c r="Q30" i="8" s="1"/>
  <c r="P29" i="8"/>
  <c r="R29" i="8" s="1"/>
  <c r="P26" i="8"/>
  <c r="R26" i="8" s="1"/>
  <c r="P27" i="8"/>
  <c r="S27" i="8" s="1"/>
  <c r="P25" i="8"/>
  <c r="S25" i="8" s="1"/>
  <c r="P28" i="8"/>
  <c r="R28" i="8" s="1"/>
  <c r="P31" i="8"/>
  <c r="S31" i="8" s="1"/>
  <c r="P24" i="8"/>
  <c r="A35" i="8"/>
  <c r="B35" i="8" s="1"/>
  <c r="C34" i="8"/>
  <c r="V34" i="8" s="1"/>
  <c r="N30" i="8"/>
  <c r="O30" i="8"/>
  <c r="J33" i="8"/>
  <c r="E33" i="8"/>
  <c r="D33" i="8"/>
  <c r="F33" i="8"/>
  <c r="P33" i="8"/>
  <c r="G32" i="8"/>
  <c r="S32" i="8" s="1"/>
  <c r="M31" i="8"/>
  <c r="I31" i="8"/>
  <c r="H31" i="8"/>
  <c r="L32" i="8"/>
  <c r="K32" i="8"/>
  <c r="R32" i="8" l="1"/>
  <c r="R27" i="8"/>
  <c r="S75" i="8"/>
  <c r="T75" i="8" s="1"/>
  <c r="R75" i="8"/>
  <c r="Q27" i="8"/>
  <c r="W34" i="8"/>
  <c r="X34" i="8"/>
  <c r="S30" i="8"/>
  <c r="U30" i="8" s="1"/>
  <c r="Y32" i="8"/>
  <c r="S29" i="8"/>
  <c r="U29" i="8" s="1"/>
  <c r="Q29" i="8"/>
  <c r="R30" i="8"/>
  <c r="Q25" i="8"/>
  <c r="R25" i="8"/>
  <c r="S26" i="8"/>
  <c r="U26" i="8" s="1"/>
  <c r="Q26" i="8"/>
  <c r="S28" i="8"/>
  <c r="T28" i="8" s="1"/>
  <c r="Q28" i="8"/>
  <c r="Q31" i="8"/>
  <c r="R31" i="8"/>
  <c r="R24" i="8"/>
  <c r="S24" i="8"/>
  <c r="Q24" i="8"/>
  <c r="T25" i="8"/>
  <c r="U25" i="8"/>
  <c r="T29" i="8"/>
  <c r="U27" i="8"/>
  <c r="T27" i="8"/>
  <c r="T32" i="8"/>
  <c r="U32" i="8"/>
  <c r="H32" i="8"/>
  <c r="M32" i="8"/>
  <c r="I32" i="8"/>
  <c r="U31" i="8"/>
  <c r="T31" i="8"/>
  <c r="G33" i="8"/>
  <c r="Y33" i="8" s="1"/>
  <c r="R33" i="8"/>
  <c r="Q33" i="8"/>
  <c r="J34" i="8"/>
  <c r="E34" i="8"/>
  <c r="D34" i="8"/>
  <c r="F34" i="8"/>
  <c r="P34" i="8"/>
  <c r="O31" i="8"/>
  <c r="N31" i="8"/>
  <c r="K33" i="8"/>
  <c r="L33" i="8"/>
  <c r="A36" i="8"/>
  <c r="B36" i="8" s="1"/>
  <c r="C35" i="8"/>
  <c r="V35" i="8" s="1"/>
  <c r="U75" i="8" l="1"/>
  <c r="T30" i="8"/>
  <c r="Z33" i="8"/>
  <c r="AA33" i="8"/>
  <c r="W35" i="8"/>
  <c r="X35" i="8"/>
  <c r="Z32" i="8"/>
  <c r="AA32" i="8"/>
  <c r="T26" i="8"/>
  <c r="U28" i="8"/>
  <c r="T24" i="8"/>
  <c r="U24" i="8"/>
  <c r="G34" i="8"/>
  <c r="M34" i="8" s="1"/>
  <c r="C36" i="8"/>
  <c r="V36" i="8" s="1"/>
  <c r="A37" i="8"/>
  <c r="B37" i="8" s="1"/>
  <c r="H33" i="8"/>
  <c r="M33" i="8"/>
  <c r="I33" i="8"/>
  <c r="O32" i="8"/>
  <c r="N32" i="8"/>
  <c r="R34" i="8"/>
  <c r="Q34" i="8"/>
  <c r="K34" i="8"/>
  <c r="L34" i="8"/>
  <c r="E35" i="8"/>
  <c r="D35" i="8"/>
  <c r="J35" i="8"/>
  <c r="F35" i="8"/>
  <c r="P35" i="8"/>
  <c r="S33" i="8"/>
  <c r="Y34" i="8" l="1"/>
  <c r="X36" i="8"/>
  <c r="W36" i="8"/>
  <c r="I34" i="8"/>
  <c r="S34" i="8"/>
  <c r="T34" i="8" s="1"/>
  <c r="H34" i="8"/>
  <c r="Q35" i="8"/>
  <c r="R35" i="8"/>
  <c r="O33" i="8"/>
  <c r="N33" i="8"/>
  <c r="L35" i="8"/>
  <c r="K35" i="8"/>
  <c r="A38" i="8"/>
  <c r="B38" i="8" s="1"/>
  <c r="C37" i="8"/>
  <c r="V37" i="8" s="1"/>
  <c r="U33" i="8"/>
  <c r="T33" i="8"/>
  <c r="G35" i="8"/>
  <c r="Y35" i="8" s="1"/>
  <c r="N34" i="8"/>
  <c r="O34" i="8"/>
  <c r="D36" i="8"/>
  <c r="E36" i="8"/>
  <c r="J36" i="8"/>
  <c r="F36" i="8"/>
  <c r="P36" i="8"/>
  <c r="AA35" i="8" l="1"/>
  <c r="Z35" i="8"/>
  <c r="W37" i="8"/>
  <c r="X37" i="8"/>
  <c r="Z34" i="8"/>
  <c r="AA34" i="8"/>
  <c r="U34" i="8"/>
  <c r="L36" i="8"/>
  <c r="K36" i="8"/>
  <c r="J37" i="8"/>
  <c r="D37" i="8"/>
  <c r="E37" i="8"/>
  <c r="F37" i="8"/>
  <c r="P37" i="8"/>
  <c r="M35" i="8"/>
  <c r="I35" i="8"/>
  <c r="H35" i="8"/>
  <c r="A39" i="8"/>
  <c r="B39" i="8" s="1"/>
  <c r="C38" i="8"/>
  <c r="V38" i="8" s="1"/>
  <c r="S35" i="8"/>
  <c r="Q36" i="8"/>
  <c r="R36" i="8"/>
  <c r="G36" i="8"/>
  <c r="S36" i="8" s="1"/>
  <c r="X38" i="8" l="1"/>
  <c r="W38" i="8"/>
  <c r="Y36" i="8"/>
  <c r="G37" i="8"/>
  <c r="I37" i="8" s="1"/>
  <c r="T36" i="8"/>
  <c r="U36" i="8"/>
  <c r="A40" i="8"/>
  <c r="B40" i="8" s="1"/>
  <c r="C39" i="8"/>
  <c r="V39" i="8" s="1"/>
  <c r="R37" i="8"/>
  <c r="Q37" i="8"/>
  <c r="K37" i="8"/>
  <c r="L37" i="8"/>
  <c r="U35" i="8"/>
  <c r="T35" i="8"/>
  <c r="H36" i="8"/>
  <c r="I36" i="8"/>
  <c r="M36" i="8"/>
  <c r="J38" i="8"/>
  <c r="E38" i="8"/>
  <c r="D38" i="8"/>
  <c r="F38" i="8"/>
  <c r="P38" i="8"/>
  <c r="N35" i="8"/>
  <c r="O35" i="8"/>
  <c r="W39" i="8" l="1"/>
  <c r="X39" i="8"/>
  <c r="Z36" i="8"/>
  <c r="AA36" i="8"/>
  <c r="Y37" i="8"/>
  <c r="S37" i="8"/>
  <c r="T37" i="8" s="1"/>
  <c r="M37" i="8"/>
  <c r="N37" i="8" s="1"/>
  <c r="H37" i="8"/>
  <c r="G38" i="8"/>
  <c r="M38" i="8" s="1"/>
  <c r="E39" i="8"/>
  <c r="D39" i="8"/>
  <c r="J39" i="8"/>
  <c r="F39" i="8"/>
  <c r="P39" i="8"/>
  <c r="L38" i="8"/>
  <c r="K38" i="8"/>
  <c r="A41" i="8"/>
  <c r="B41" i="8" s="1"/>
  <c r="C40" i="8"/>
  <c r="V40" i="8" s="1"/>
  <c r="R38" i="8"/>
  <c r="Q38" i="8"/>
  <c r="O36" i="8"/>
  <c r="N36" i="8"/>
  <c r="X40" i="8" l="1"/>
  <c r="W40" i="8"/>
  <c r="AA37" i="8"/>
  <c r="Z37" i="8"/>
  <c r="Y38" i="8"/>
  <c r="O37" i="8"/>
  <c r="U37" i="8"/>
  <c r="I38" i="8"/>
  <c r="H38" i="8"/>
  <c r="S38" i="8"/>
  <c r="T38" i="8" s="1"/>
  <c r="L39" i="8"/>
  <c r="K39" i="8"/>
  <c r="N38" i="8"/>
  <c r="O38" i="8"/>
  <c r="D40" i="8"/>
  <c r="J40" i="8"/>
  <c r="E40" i="8"/>
  <c r="F40" i="8"/>
  <c r="P40" i="8"/>
  <c r="A42" i="8"/>
  <c r="B42" i="8" s="1"/>
  <c r="C41" i="8"/>
  <c r="V41" i="8" s="1"/>
  <c r="G39" i="8"/>
  <c r="S39" i="8" s="1"/>
  <c r="Q39" i="8"/>
  <c r="R39" i="8"/>
  <c r="X41" i="8" l="1"/>
  <c r="W41" i="8"/>
  <c r="Z38" i="8"/>
  <c r="AA38" i="8"/>
  <c r="Y39" i="8"/>
  <c r="U38" i="8"/>
  <c r="U39" i="8"/>
  <c r="T39" i="8"/>
  <c r="J41" i="8"/>
  <c r="E41" i="8"/>
  <c r="D41" i="8"/>
  <c r="F41" i="8"/>
  <c r="P41" i="8"/>
  <c r="L40" i="8"/>
  <c r="K40" i="8"/>
  <c r="Q40" i="8"/>
  <c r="R40" i="8"/>
  <c r="G40" i="8"/>
  <c r="S40" i="8" s="1"/>
  <c r="M39" i="8"/>
  <c r="I39" i="8"/>
  <c r="H39" i="8"/>
  <c r="A43" i="8"/>
  <c r="B43" i="8" s="1"/>
  <c r="C42" i="8"/>
  <c r="V42" i="8" s="1"/>
  <c r="X42" i="8" l="1"/>
  <c r="W42" i="8"/>
  <c r="Z39" i="8"/>
  <c r="AA39" i="8"/>
  <c r="Y40" i="8"/>
  <c r="T40" i="8"/>
  <c r="U40" i="8"/>
  <c r="C43" i="8"/>
  <c r="V43" i="8" s="1"/>
  <c r="A44" i="8"/>
  <c r="B44" i="8" s="1"/>
  <c r="K41" i="8"/>
  <c r="L41" i="8"/>
  <c r="Q41" i="8"/>
  <c r="R41" i="8"/>
  <c r="J42" i="8"/>
  <c r="E42" i="8"/>
  <c r="D42" i="8"/>
  <c r="F42" i="8"/>
  <c r="P42" i="8"/>
  <c r="O39" i="8"/>
  <c r="N39" i="8"/>
  <c r="H40" i="8"/>
  <c r="M40" i="8"/>
  <c r="I40" i="8"/>
  <c r="G41" i="8"/>
  <c r="Y41" i="8" s="1"/>
  <c r="AA41" i="8" l="1"/>
  <c r="Z41" i="8"/>
  <c r="AA40" i="8"/>
  <c r="Z40" i="8"/>
  <c r="W43" i="8"/>
  <c r="X43" i="8"/>
  <c r="G42" i="8"/>
  <c r="S42" i="8" s="1"/>
  <c r="H41" i="8"/>
  <c r="M41" i="8"/>
  <c r="I41" i="8"/>
  <c r="E43" i="8"/>
  <c r="D43" i="8"/>
  <c r="J43" i="8"/>
  <c r="F43" i="8"/>
  <c r="P43" i="8"/>
  <c r="R42" i="8"/>
  <c r="Q42" i="8"/>
  <c r="L42" i="8"/>
  <c r="K42" i="8"/>
  <c r="C44" i="8"/>
  <c r="V44" i="8" s="1"/>
  <c r="A45" i="8"/>
  <c r="B45" i="8" s="1"/>
  <c r="O40" i="8"/>
  <c r="N40" i="8"/>
  <c r="S41" i="8"/>
  <c r="Y42" i="8" l="1"/>
  <c r="W44" i="8"/>
  <c r="X44" i="8"/>
  <c r="I42" i="8"/>
  <c r="M42" i="8"/>
  <c r="O42" i="8" s="1"/>
  <c r="H42" i="8"/>
  <c r="Q43" i="8"/>
  <c r="R43" i="8"/>
  <c r="C45" i="8"/>
  <c r="V45" i="8" s="1"/>
  <c r="A46" i="8"/>
  <c r="B46" i="8" s="1"/>
  <c r="L43" i="8"/>
  <c r="K43" i="8"/>
  <c r="O41" i="8"/>
  <c r="N41" i="8"/>
  <c r="U41" i="8"/>
  <c r="T41" i="8"/>
  <c r="D44" i="8"/>
  <c r="E44" i="8"/>
  <c r="J44" i="8"/>
  <c r="F44" i="8"/>
  <c r="P44" i="8"/>
  <c r="U42" i="8"/>
  <c r="T42" i="8"/>
  <c r="G43" i="8"/>
  <c r="Y43" i="8" s="1"/>
  <c r="Z43" i="8" l="1"/>
  <c r="AA43" i="8"/>
  <c r="X45" i="8"/>
  <c r="W45" i="8"/>
  <c r="Z42" i="8"/>
  <c r="AA42" i="8"/>
  <c r="N42" i="8"/>
  <c r="L44" i="8"/>
  <c r="K44" i="8"/>
  <c r="R44" i="8"/>
  <c r="Q44" i="8"/>
  <c r="G44" i="8"/>
  <c r="S44" i="8" s="1"/>
  <c r="A47" i="8"/>
  <c r="B47" i="8" s="1"/>
  <c r="C46" i="8"/>
  <c r="V46" i="8" s="1"/>
  <c r="M43" i="8"/>
  <c r="I43" i="8"/>
  <c r="H43" i="8"/>
  <c r="S43" i="8"/>
  <c r="J45" i="8"/>
  <c r="E45" i="8"/>
  <c r="D45" i="8"/>
  <c r="F45" i="8"/>
  <c r="P45" i="8"/>
  <c r="W46" i="8" l="1"/>
  <c r="X46" i="8"/>
  <c r="Y44" i="8"/>
  <c r="T44" i="8"/>
  <c r="U44" i="8"/>
  <c r="U43" i="8"/>
  <c r="T43" i="8"/>
  <c r="J46" i="8"/>
  <c r="E46" i="8"/>
  <c r="D46" i="8"/>
  <c r="F46" i="8"/>
  <c r="P46" i="8"/>
  <c r="G45" i="8"/>
  <c r="S45" i="8" s="1"/>
  <c r="C47" i="8"/>
  <c r="V47" i="8" s="1"/>
  <c r="A48" i="8"/>
  <c r="B48" i="8" s="1"/>
  <c r="R45" i="8"/>
  <c r="Q45" i="8"/>
  <c r="H44" i="8"/>
  <c r="M44" i="8"/>
  <c r="I44" i="8"/>
  <c r="K45" i="8"/>
  <c r="L45" i="8"/>
  <c r="O43" i="8"/>
  <c r="N43" i="8"/>
  <c r="Y45" i="8" l="1"/>
  <c r="W47" i="8"/>
  <c r="X47" i="8"/>
  <c r="Z44" i="8"/>
  <c r="AA44" i="8"/>
  <c r="D47" i="8"/>
  <c r="E47" i="8"/>
  <c r="J47" i="8"/>
  <c r="F47" i="8"/>
  <c r="P47" i="8"/>
  <c r="G46" i="8"/>
  <c r="S46" i="8" s="1"/>
  <c r="O44" i="8"/>
  <c r="N44" i="8"/>
  <c r="A49" i="8"/>
  <c r="B49" i="8" s="1"/>
  <c r="C48" i="8"/>
  <c r="V48" i="8" s="1"/>
  <c r="T45" i="8"/>
  <c r="U45" i="8"/>
  <c r="M45" i="8"/>
  <c r="H45" i="8"/>
  <c r="I45" i="8"/>
  <c r="Q46" i="8"/>
  <c r="R46" i="8"/>
  <c r="K46" i="8"/>
  <c r="L46" i="8"/>
  <c r="Y46" i="8" l="1"/>
  <c r="W48" i="8"/>
  <c r="X48" i="8"/>
  <c r="Z45" i="8"/>
  <c r="AA45" i="8"/>
  <c r="O45" i="8"/>
  <c r="N45" i="8"/>
  <c r="A50" i="8"/>
  <c r="B50" i="8" s="1"/>
  <c r="C49" i="8"/>
  <c r="V49" i="8" s="1"/>
  <c r="L47" i="8"/>
  <c r="K47" i="8"/>
  <c r="U46" i="8"/>
  <c r="T46" i="8"/>
  <c r="D48" i="8"/>
  <c r="E48" i="8"/>
  <c r="J48" i="8"/>
  <c r="F48" i="8"/>
  <c r="P48" i="8"/>
  <c r="M46" i="8"/>
  <c r="I46" i="8"/>
  <c r="H46" i="8"/>
  <c r="Q47" i="8"/>
  <c r="R47" i="8"/>
  <c r="G47" i="8"/>
  <c r="Y47" i="8" s="1"/>
  <c r="AA47" i="8" l="1"/>
  <c r="Z47" i="8"/>
  <c r="W49" i="8"/>
  <c r="X49" i="8"/>
  <c r="AA46" i="8"/>
  <c r="Z46" i="8"/>
  <c r="G48" i="8"/>
  <c r="S48" i="8" s="1"/>
  <c r="K48" i="8"/>
  <c r="L48" i="8"/>
  <c r="J49" i="8"/>
  <c r="E49" i="8"/>
  <c r="D49" i="8"/>
  <c r="F49" i="8"/>
  <c r="P49" i="8"/>
  <c r="N46" i="8"/>
  <c r="O46" i="8"/>
  <c r="A51" i="8"/>
  <c r="B51" i="8" s="1"/>
  <c r="C50" i="8"/>
  <c r="V50" i="8" s="1"/>
  <c r="H47" i="8"/>
  <c r="M47" i="8"/>
  <c r="I47" i="8"/>
  <c r="S47" i="8"/>
  <c r="Q48" i="8"/>
  <c r="R48" i="8"/>
  <c r="X50" i="8" l="1"/>
  <c r="W50" i="8"/>
  <c r="Y48" i="8"/>
  <c r="H48" i="8"/>
  <c r="M48" i="8"/>
  <c r="N48" i="8" s="1"/>
  <c r="I48" i="8"/>
  <c r="R49" i="8"/>
  <c r="Q49" i="8"/>
  <c r="T47" i="8"/>
  <c r="U47" i="8"/>
  <c r="A52" i="8"/>
  <c r="B52" i="8" s="1"/>
  <c r="C51" i="8"/>
  <c r="V51" i="8" s="1"/>
  <c r="K49" i="8"/>
  <c r="L49" i="8"/>
  <c r="O47" i="8"/>
  <c r="N47" i="8"/>
  <c r="G49" i="8"/>
  <c r="Y49" i="8" s="1"/>
  <c r="E50" i="8"/>
  <c r="J50" i="8"/>
  <c r="D50" i="8"/>
  <c r="F50" i="8"/>
  <c r="P50" i="8"/>
  <c r="T48" i="8"/>
  <c r="U48" i="8"/>
  <c r="AA49" i="8" l="1"/>
  <c r="Z49" i="8"/>
  <c r="Z48" i="8"/>
  <c r="AA48" i="8"/>
  <c r="W51" i="8"/>
  <c r="X51" i="8"/>
  <c r="O48" i="8"/>
  <c r="I49" i="8"/>
  <c r="H49" i="8"/>
  <c r="M49" i="8"/>
  <c r="G50" i="8"/>
  <c r="Y50" i="8" s="1"/>
  <c r="S49" i="8"/>
  <c r="L50" i="8"/>
  <c r="K50" i="8"/>
  <c r="D51" i="8"/>
  <c r="J51" i="8"/>
  <c r="E51" i="8"/>
  <c r="F51" i="8"/>
  <c r="P51" i="8"/>
  <c r="Q50" i="8"/>
  <c r="R50" i="8"/>
  <c r="A53" i="8"/>
  <c r="B53" i="8" s="1"/>
  <c r="C52" i="8"/>
  <c r="V52" i="8" s="1"/>
  <c r="AA50" i="8" l="1"/>
  <c r="Z50" i="8"/>
  <c r="X52" i="8"/>
  <c r="W52" i="8"/>
  <c r="G51" i="8"/>
  <c r="M51" i="8" s="1"/>
  <c r="M50" i="8"/>
  <c r="I50" i="8"/>
  <c r="H50" i="8"/>
  <c r="S50" i="8"/>
  <c r="N49" i="8"/>
  <c r="O49" i="8"/>
  <c r="J52" i="8"/>
  <c r="E52" i="8"/>
  <c r="D52" i="8"/>
  <c r="F52" i="8"/>
  <c r="P52" i="8"/>
  <c r="Q51" i="8"/>
  <c r="R51" i="8"/>
  <c r="A54" i="8"/>
  <c r="B54" i="8" s="1"/>
  <c r="C53" i="8"/>
  <c r="V53" i="8" s="1"/>
  <c r="L51" i="8"/>
  <c r="K51" i="8"/>
  <c r="U49" i="8"/>
  <c r="T49" i="8"/>
  <c r="W53" i="8" l="1"/>
  <c r="X53" i="8"/>
  <c r="Y51" i="8"/>
  <c r="S51" i="8"/>
  <c r="T51" i="8" s="1"/>
  <c r="H51" i="8"/>
  <c r="I51" i="8"/>
  <c r="U50" i="8"/>
  <c r="T50" i="8"/>
  <c r="J53" i="8"/>
  <c r="E53" i="8"/>
  <c r="D53" i="8"/>
  <c r="F53" i="8"/>
  <c r="P53" i="8"/>
  <c r="K52" i="8"/>
  <c r="L52" i="8"/>
  <c r="Q52" i="8"/>
  <c r="R52" i="8"/>
  <c r="A55" i="8"/>
  <c r="B55" i="8" s="1"/>
  <c r="C54" i="8"/>
  <c r="V54" i="8" s="1"/>
  <c r="O51" i="8"/>
  <c r="N51" i="8"/>
  <c r="G52" i="8"/>
  <c r="S52" i="8" s="1"/>
  <c r="N50" i="8"/>
  <c r="O50" i="8"/>
  <c r="Y52" i="8" l="1"/>
  <c r="X54" i="8"/>
  <c r="W54" i="8"/>
  <c r="AA51" i="8"/>
  <c r="Z51" i="8"/>
  <c r="U51" i="8"/>
  <c r="U52" i="8"/>
  <c r="T52" i="8"/>
  <c r="E54" i="8"/>
  <c r="J54" i="8"/>
  <c r="D54" i="8"/>
  <c r="F54" i="8"/>
  <c r="P54" i="8"/>
  <c r="A56" i="8"/>
  <c r="B56" i="8" s="1"/>
  <c r="C55" i="8"/>
  <c r="V55" i="8" s="1"/>
  <c r="K53" i="8"/>
  <c r="L53" i="8"/>
  <c r="R53" i="8"/>
  <c r="Q53" i="8"/>
  <c r="I52" i="8"/>
  <c r="H52" i="8"/>
  <c r="M52" i="8"/>
  <c r="G53" i="8"/>
  <c r="S53" i="8" s="1"/>
  <c r="W55" i="8" l="1"/>
  <c r="X55" i="8"/>
  <c r="Y53" i="8"/>
  <c r="Z52" i="8"/>
  <c r="AA52" i="8"/>
  <c r="G54" i="8"/>
  <c r="I54" i="8" s="1"/>
  <c r="O52" i="8"/>
  <c r="N52" i="8"/>
  <c r="U53" i="8"/>
  <c r="T53" i="8"/>
  <c r="A57" i="8"/>
  <c r="B57" i="8" s="1"/>
  <c r="C56" i="8"/>
  <c r="V56" i="8" s="1"/>
  <c r="Q54" i="8"/>
  <c r="R54" i="8"/>
  <c r="K54" i="8"/>
  <c r="L54" i="8"/>
  <c r="I53" i="8"/>
  <c r="H53" i="8"/>
  <c r="M53" i="8"/>
  <c r="D55" i="8"/>
  <c r="J55" i="8"/>
  <c r="E55" i="8"/>
  <c r="F55" i="8"/>
  <c r="P55" i="8"/>
  <c r="Y54" i="8" l="1"/>
  <c r="Z54" i="8" s="1"/>
  <c r="AA53" i="8"/>
  <c r="Z53" i="8"/>
  <c r="W56" i="8"/>
  <c r="X56" i="8"/>
  <c r="M54" i="8"/>
  <c r="N54" i="8" s="1"/>
  <c r="G55" i="8"/>
  <c r="H55" i="8" s="1"/>
  <c r="H54" i="8"/>
  <c r="S54" i="8"/>
  <c r="T54" i="8" s="1"/>
  <c r="Q55" i="8"/>
  <c r="R55" i="8"/>
  <c r="N53" i="8"/>
  <c r="O53" i="8"/>
  <c r="J56" i="8"/>
  <c r="D56" i="8"/>
  <c r="E56" i="8"/>
  <c r="F56" i="8"/>
  <c r="P56" i="8"/>
  <c r="L55" i="8"/>
  <c r="K55" i="8"/>
  <c r="A58" i="8"/>
  <c r="B58" i="8" s="1"/>
  <c r="C57" i="8"/>
  <c r="V57" i="8" s="1"/>
  <c r="AA54" i="8" l="1"/>
  <c r="X57" i="8"/>
  <c r="W57" i="8"/>
  <c r="Y55" i="8"/>
  <c r="O54" i="8"/>
  <c r="S55" i="8"/>
  <c r="U55" i="8" s="1"/>
  <c r="I55" i="8"/>
  <c r="M55" i="8"/>
  <c r="N55" i="8" s="1"/>
  <c r="U54" i="8"/>
  <c r="G56" i="8"/>
  <c r="I56" i="8" s="1"/>
  <c r="J57" i="8"/>
  <c r="D57" i="8"/>
  <c r="E57" i="8"/>
  <c r="F57" i="8"/>
  <c r="P57" i="8"/>
  <c r="K56" i="8"/>
  <c r="L56" i="8"/>
  <c r="A59" i="8"/>
  <c r="B59" i="8" s="1"/>
  <c r="C58" i="8"/>
  <c r="V58" i="8" s="1"/>
  <c r="Q56" i="8"/>
  <c r="R56" i="8"/>
  <c r="W58" i="8" l="1"/>
  <c r="X58" i="8"/>
  <c r="AA55" i="8"/>
  <c r="Z55" i="8"/>
  <c r="Y56" i="8"/>
  <c r="T55" i="8"/>
  <c r="O55" i="8"/>
  <c r="H56" i="8"/>
  <c r="M56" i="8"/>
  <c r="O56" i="8" s="1"/>
  <c r="S56" i="8"/>
  <c r="T56" i="8" s="1"/>
  <c r="R57" i="8"/>
  <c r="Q57" i="8"/>
  <c r="L57" i="8"/>
  <c r="K57" i="8"/>
  <c r="E58" i="8"/>
  <c r="J58" i="8"/>
  <c r="D58" i="8"/>
  <c r="F58" i="8"/>
  <c r="P58" i="8"/>
  <c r="A60" i="8"/>
  <c r="B60" i="8" s="1"/>
  <c r="C59" i="8"/>
  <c r="V59" i="8" s="1"/>
  <c r="G57" i="8"/>
  <c r="S57" i="8" s="1"/>
  <c r="W59" i="8" l="1"/>
  <c r="X59" i="8"/>
  <c r="Z56" i="8"/>
  <c r="AA56" i="8"/>
  <c r="Y57" i="8"/>
  <c r="N56" i="8"/>
  <c r="U56" i="8"/>
  <c r="U57" i="8"/>
  <c r="T57" i="8"/>
  <c r="L58" i="8"/>
  <c r="K58" i="8"/>
  <c r="M57" i="8"/>
  <c r="H57" i="8"/>
  <c r="I57" i="8"/>
  <c r="A61" i="8"/>
  <c r="B61" i="8" s="1"/>
  <c r="C60" i="8"/>
  <c r="V60" i="8" s="1"/>
  <c r="G58" i="8"/>
  <c r="Y58" i="8" s="1"/>
  <c r="J59" i="8"/>
  <c r="D59" i="8"/>
  <c r="E59" i="8"/>
  <c r="F59" i="8"/>
  <c r="P59" i="8"/>
  <c r="Q58" i="8"/>
  <c r="R58" i="8"/>
  <c r="AA58" i="8" l="1"/>
  <c r="Z58" i="8"/>
  <c r="Z57" i="8"/>
  <c r="AA57" i="8"/>
  <c r="X60" i="8"/>
  <c r="W60" i="8"/>
  <c r="G59" i="8"/>
  <c r="M59" i="8" s="1"/>
  <c r="Q59" i="8"/>
  <c r="R59" i="8"/>
  <c r="M58" i="8"/>
  <c r="I58" i="8"/>
  <c r="H58" i="8"/>
  <c r="A62" i="8"/>
  <c r="B62" i="8" s="1"/>
  <c r="C61" i="8"/>
  <c r="V61" i="8" s="1"/>
  <c r="K59" i="8"/>
  <c r="L59" i="8"/>
  <c r="S58" i="8"/>
  <c r="J60" i="8"/>
  <c r="D60" i="8"/>
  <c r="E60" i="8"/>
  <c r="F60" i="8"/>
  <c r="P60" i="8"/>
  <c r="N57" i="8"/>
  <c r="O57" i="8"/>
  <c r="W61" i="8" l="1"/>
  <c r="X61" i="8"/>
  <c r="Y59" i="8"/>
  <c r="S59" i="8"/>
  <c r="T59" i="8" s="1"/>
  <c r="H59" i="8"/>
  <c r="I59" i="8"/>
  <c r="G60" i="8"/>
  <c r="Y60" i="8" s="1"/>
  <c r="L60" i="8"/>
  <c r="K60" i="8"/>
  <c r="N58" i="8"/>
  <c r="O58" i="8"/>
  <c r="C62" i="8"/>
  <c r="V62" i="8" s="1"/>
  <c r="A63" i="8"/>
  <c r="B63" i="8" s="1"/>
  <c r="R60" i="8"/>
  <c r="Q60" i="8"/>
  <c r="T58" i="8"/>
  <c r="U58" i="8"/>
  <c r="J61" i="8"/>
  <c r="E61" i="8"/>
  <c r="D61" i="8"/>
  <c r="F61" i="8"/>
  <c r="P61" i="8"/>
  <c r="O59" i="8"/>
  <c r="N59" i="8"/>
  <c r="Z60" i="8" l="1"/>
  <c r="AA60" i="8"/>
  <c r="AA59" i="8"/>
  <c r="Z59" i="8"/>
  <c r="W62" i="8"/>
  <c r="X62" i="8"/>
  <c r="U59" i="8"/>
  <c r="G61" i="8"/>
  <c r="M61" i="8" s="1"/>
  <c r="E62" i="8"/>
  <c r="D62" i="8"/>
  <c r="J62" i="8"/>
  <c r="F62" i="8"/>
  <c r="P62" i="8"/>
  <c r="K61" i="8"/>
  <c r="L61" i="8"/>
  <c r="M60" i="8"/>
  <c r="I60" i="8"/>
  <c r="H60" i="8"/>
  <c r="R61" i="8"/>
  <c r="Q61" i="8"/>
  <c r="A64" i="8"/>
  <c r="B64" i="8" s="1"/>
  <c r="C63" i="8"/>
  <c r="V63" i="8" s="1"/>
  <c r="S60" i="8"/>
  <c r="X63" i="8" l="1"/>
  <c r="W63" i="8"/>
  <c r="Y61" i="8"/>
  <c r="S61" i="8"/>
  <c r="U61" i="8" s="1"/>
  <c r="H61" i="8"/>
  <c r="I61" i="8"/>
  <c r="G62" i="8"/>
  <c r="M62" i="8" s="1"/>
  <c r="A65" i="8"/>
  <c r="B65" i="8" s="1"/>
  <c r="C64" i="8"/>
  <c r="V64" i="8" s="1"/>
  <c r="Q62" i="8"/>
  <c r="R62" i="8"/>
  <c r="T60" i="8"/>
  <c r="U60" i="8"/>
  <c r="N61" i="8"/>
  <c r="O61" i="8"/>
  <c r="O60" i="8"/>
  <c r="N60" i="8"/>
  <c r="D63" i="8"/>
  <c r="E63" i="8"/>
  <c r="J63" i="8"/>
  <c r="F63" i="8"/>
  <c r="P63" i="8"/>
  <c r="L62" i="8"/>
  <c r="K62" i="8"/>
  <c r="AA61" i="8" l="1"/>
  <c r="Z61" i="8"/>
  <c r="W64" i="8"/>
  <c r="X64" i="8"/>
  <c r="Y62" i="8"/>
  <c r="T61" i="8"/>
  <c r="S62" i="8"/>
  <c r="U62" i="8" s="1"/>
  <c r="H62" i="8"/>
  <c r="I62" i="8"/>
  <c r="R63" i="8"/>
  <c r="Q63" i="8"/>
  <c r="G63" i="8"/>
  <c r="Y63" i="8" s="1"/>
  <c r="L63" i="8"/>
  <c r="K63" i="8"/>
  <c r="J64" i="8"/>
  <c r="D64" i="8"/>
  <c r="E64" i="8"/>
  <c r="F64" i="8"/>
  <c r="P64" i="8"/>
  <c r="N62" i="8"/>
  <c r="O62" i="8"/>
  <c r="A66" i="8"/>
  <c r="B66" i="8" s="1"/>
  <c r="C65" i="8"/>
  <c r="V65" i="8" s="1"/>
  <c r="Z63" i="8" l="1"/>
  <c r="AA63" i="8"/>
  <c r="W65" i="8"/>
  <c r="X65" i="8"/>
  <c r="AA62" i="8"/>
  <c r="Z62" i="8"/>
  <c r="T62" i="8"/>
  <c r="H63" i="8"/>
  <c r="M63" i="8"/>
  <c r="I63" i="8"/>
  <c r="R64" i="8"/>
  <c r="Q64" i="8"/>
  <c r="A67" i="8"/>
  <c r="B67" i="8" s="1"/>
  <c r="C66" i="8"/>
  <c r="V66" i="8" s="1"/>
  <c r="S63" i="8"/>
  <c r="G64" i="8"/>
  <c r="S64" i="8" s="1"/>
  <c r="J65" i="8"/>
  <c r="E65" i="8"/>
  <c r="D65" i="8"/>
  <c r="F65" i="8"/>
  <c r="P65" i="8"/>
  <c r="K64" i="8"/>
  <c r="L64" i="8"/>
  <c r="W66" i="8" l="1"/>
  <c r="X66" i="8"/>
  <c r="Y64" i="8"/>
  <c r="G65" i="8"/>
  <c r="H65" i="8" s="1"/>
  <c r="U64" i="8"/>
  <c r="T64" i="8"/>
  <c r="T63" i="8"/>
  <c r="U63" i="8"/>
  <c r="E66" i="8"/>
  <c r="D66" i="8"/>
  <c r="J66" i="8"/>
  <c r="F66" i="8"/>
  <c r="P66" i="8"/>
  <c r="R65" i="8"/>
  <c r="Q65" i="8"/>
  <c r="K65" i="8"/>
  <c r="L65" i="8"/>
  <c r="A68" i="8"/>
  <c r="B68" i="8" s="1"/>
  <c r="C67" i="8"/>
  <c r="V67" i="8" s="1"/>
  <c r="O63" i="8"/>
  <c r="N63" i="8"/>
  <c r="H64" i="8"/>
  <c r="M64" i="8"/>
  <c r="I64" i="8"/>
  <c r="Y65" i="8" l="1"/>
  <c r="AA65" i="8" s="1"/>
  <c r="Z64" i="8"/>
  <c r="AA64" i="8"/>
  <c r="X67" i="8"/>
  <c r="W67" i="8"/>
  <c r="S65" i="8"/>
  <c r="U65" i="8" s="1"/>
  <c r="M65" i="8"/>
  <c r="N65" i="8" s="1"/>
  <c r="I65" i="8"/>
  <c r="O64" i="8"/>
  <c r="N64" i="8"/>
  <c r="Q66" i="8"/>
  <c r="R66" i="8"/>
  <c r="D67" i="8"/>
  <c r="E67" i="8"/>
  <c r="J67" i="8"/>
  <c r="F67" i="8"/>
  <c r="P67" i="8"/>
  <c r="A69" i="8"/>
  <c r="B69" i="8" s="1"/>
  <c r="C68" i="8"/>
  <c r="V68" i="8" s="1"/>
  <c r="L66" i="8"/>
  <c r="K66" i="8"/>
  <c r="G66" i="8"/>
  <c r="Y66" i="8" s="1"/>
  <c r="Z65" i="8" l="1"/>
  <c r="Z66" i="8"/>
  <c r="AA66" i="8"/>
  <c r="X68" i="8"/>
  <c r="W68" i="8"/>
  <c r="T65" i="8"/>
  <c r="O65" i="8"/>
  <c r="L67" i="8"/>
  <c r="K67" i="8"/>
  <c r="M66" i="8"/>
  <c r="I66" i="8"/>
  <c r="H66" i="8"/>
  <c r="J68" i="8"/>
  <c r="D68" i="8"/>
  <c r="E68" i="8"/>
  <c r="F68" i="8"/>
  <c r="P68" i="8"/>
  <c r="S66" i="8"/>
  <c r="A70" i="8"/>
  <c r="B70" i="8" s="1"/>
  <c r="C69" i="8"/>
  <c r="V69" i="8" s="1"/>
  <c r="Q67" i="8"/>
  <c r="R67" i="8"/>
  <c r="G67" i="8"/>
  <c r="S67" i="8" s="1"/>
  <c r="X69" i="8" l="1"/>
  <c r="W69" i="8"/>
  <c r="Y67" i="8"/>
  <c r="G68" i="8"/>
  <c r="M68" i="8" s="1"/>
  <c r="T67" i="8"/>
  <c r="U67" i="8"/>
  <c r="U66" i="8"/>
  <c r="T66" i="8"/>
  <c r="N66" i="8"/>
  <c r="O66" i="8"/>
  <c r="K68" i="8"/>
  <c r="L68" i="8"/>
  <c r="R68" i="8"/>
  <c r="Q68" i="8"/>
  <c r="J69" i="8"/>
  <c r="E69" i="8"/>
  <c r="D69" i="8"/>
  <c r="F69" i="8"/>
  <c r="P69" i="8"/>
  <c r="H67" i="8"/>
  <c r="I67" i="8"/>
  <c r="M67" i="8"/>
  <c r="C70" i="8"/>
  <c r="V70" i="8" s="1"/>
  <c r="A71" i="8"/>
  <c r="B71" i="8" s="1"/>
  <c r="AA67" i="8" l="1"/>
  <c r="Z67" i="8"/>
  <c r="Y68" i="8"/>
  <c r="X70" i="8"/>
  <c r="W70" i="8"/>
  <c r="H68" i="8"/>
  <c r="S68" i="8"/>
  <c r="T68" i="8" s="1"/>
  <c r="I68" i="8"/>
  <c r="L69" i="8"/>
  <c r="K69" i="8"/>
  <c r="O68" i="8"/>
  <c r="N68" i="8"/>
  <c r="R69" i="8"/>
  <c r="Q69" i="8"/>
  <c r="O67" i="8"/>
  <c r="N67" i="8"/>
  <c r="C71" i="8"/>
  <c r="V71" i="8" s="1"/>
  <c r="A72" i="8"/>
  <c r="B72" i="8" s="1"/>
  <c r="E70" i="8"/>
  <c r="D70" i="8"/>
  <c r="J70" i="8"/>
  <c r="F70" i="8"/>
  <c r="P70" i="8"/>
  <c r="G69" i="8"/>
  <c r="S69" i="8" s="1"/>
  <c r="Z68" i="8" l="1"/>
  <c r="AA68" i="8"/>
  <c r="X71" i="8"/>
  <c r="W71" i="8"/>
  <c r="Y69" i="8"/>
  <c r="U68" i="8"/>
  <c r="G70" i="8"/>
  <c r="H70" i="8" s="1"/>
  <c r="U69" i="8"/>
  <c r="T69" i="8"/>
  <c r="L70" i="8"/>
  <c r="K70" i="8"/>
  <c r="D71" i="8"/>
  <c r="J71" i="8"/>
  <c r="E71" i="8"/>
  <c r="F71" i="8"/>
  <c r="P71" i="8"/>
  <c r="Q70" i="8"/>
  <c r="R70" i="8"/>
  <c r="M69" i="8"/>
  <c r="I69" i="8"/>
  <c r="H69" i="8"/>
  <c r="A73" i="8"/>
  <c r="B73" i="8" s="1"/>
  <c r="C72" i="8"/>
  <c r="V72" i="8" s="1"/>
  <c r="W72" i="8" l="1"/>
  <c r="X72" i="8"/>
  <c r="Y70" i="8"/>
  <c r="AA69" i="8"/>
  <c r="Z69" i="8"/>
  <c r="S70" i="8"/>
  <c r="T70" i="8" s="1"/>
  <c r="M70" i="8"/>
  <c r="N70" i="8" s="1"/>
  <c r="I70" i="8"/>
  <c r="J72" i="8"/>
  <c r="E72" i="8"/>
  <c r="D72" i="8"/>
  <c r="F72" i="8"/>
  <c r="P72" i="8"/>
  <c r="A74" i="8"/>
  <c r="C73" i="8"/>
  <c r="V73" i="8" s="1"/>
  <c r="N69" i="8"/>
  <c r="O69" i="8"/>
  <c r="L71" i="8"/>
  <c r="K71" i="8"/>
  <c r="R71" i="8"/>
  <c r="Q71" i="8"/>
  <c r="G71" i="8"/>
  <c r="Y71" i="8" s="1"/>
  <c r="B74" i="8" l="1"/>
  <c r="C74" i="8" s="1"/>
  <c r="Z71" i="8"/>
  <c r="AA71" i="8"/>
  <c r="AA70" i="8"/>
  <c r="Z70" i="8"/>
  <c r="W73" i="8"/>
  <c r="X73" i="8"/>
  <c r="U70" i="8"/>
  <c r="O70" i="8"/>
  <c r="G72" i="8"/>
  <c r="S72" i="8" s="1"/>
  <c r="J73" i="8"/>
  <c r="E73" i="8"/>
  <c r="D73" i="8"/>
  <c r="F73" i="8"/>
  <c r="P73" i="8"/>
  <c r="H71" i="8"/>
  <c r="M71" i="8"/>
  <c r="I71" i="8"/>
  <c r="S71" i="8"/>
  <c r="R72" i="8"/>
  <c r="Q72" i="8"/>
  <c r="K72" i="8"/>
  <c r="L72" i="8"/>
  <c r="V74" i="8" l="1"/>
  <c r="E74" i="8"/>
  <c r="P74" i="8"/>
  <c r="R74" i="8" s="1"/>
  <c r="D74" i="8"/>
  <c r="J74" i="8"/>
  <c r="K74" i="8" s="1"/>
  <c r="F74" i="8"/>
  <c r="Y72" i="8"/>
  <c r="T71" i="8"/>
  <c r="U71" i="8"/>
  <c r="K73" i="8"/>
  <c r="L73" i="8"/>
  <c r="R73" i="8"/>
  <c r="Q73" i="8"/>
  <c r="U72" i="8"/>
  <c r="T72" i="8"/>
  <c r="M72" i="8"/>
  <c r="H72" i="8"/>
  <c r="I72" i="8"/>
  <c r="O71" i="8"/>
  <c r="N71" i="8"/>
  <c r="G73" i="8"/>
  <c r="S73" i="8" s="1"/>
  <c r="L74" i="8" l="1"/>
  <c r="G74" i="8"/>
  <c r="Y74" i="8" s="1"/>
  <c r="AA74" i="8" s="1"/>
  <c r="Q74" i="8"/>
  <c r="X74" i="8"/>
  <c r="W74" i="8"/>
  <c r="Y73" i="8"/>
  <c r="Z72" i="8"/>
  <c r="AA72" i="8"/>
  <c r="U73" i="8"/>
  <c r="T73" i="8"/>
  <c r="M73" i="8"/>
  <c r="I73" i="8"/>
  <c r="H73" i="8"/>
  <c r="O72" i="8"/>
  <c r="N72" i="8"/>
  <c r="M74" i="8" l="1"/>
  <c r="O74" i="8" s="1"/>
  <c r="S74" i="8"/>
  <c r="T74" i="8" s="1"/>
  <c r="H74" i="8"/>
  <c r="Z74" i="8"/>
  <c r="I74" i="8"/>
  <c r="AA73" i="8"/>
  <c r="Z73" i="8"/>
  <c r="N73" i="8"/>
  <c r="O73" i="8"/>
  <c r="U74" i="8" l="1"/>
  <c r="N74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Jaromir Uherek</author>
  </authors>
  <commentList>
    <comment ref="A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Switching frequency</t>
        </r>
      </text>
    </comment>
    <comment ref="A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Inductor value</t>
        </r>
      </text>
    </comment>
    <comment ref="A7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Inductor resistance</t>
        </r>
      </text>
    </comment>
    <comment ref="A8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DC input voltage</t>
        </r>
      </text>
    </comment>
    <comment ref="A9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Output voltage</t>
        </r>
      </text>
    </comment>
    <comment ref="A10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ESR of output capacitor</t>
        </r>
      </text>
    </comment>
    <comment ref="A11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Output capacitor value</t>
        </r>
      </text>
    </comment>
    <comment ref="A12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Ramp compensation (cell filled automatically based on selected device)</t>
        </r>
      </text>
    </comment>
    <comment ref="A13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FB divider, resistor from FB pin to GND</t>
        </r>
      </text>
    </comment>
    <comment ref="A14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FB divider, resistor from FB pin to output voltage</t>
        </r>
      </text>
    </comment>
    <comment ref="A15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Input voltage impedance
(ESR of C2)</t>
        </r>
      </text>
    </comment>
    <comment ref="A16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Voltage on Vcc pin</t>
        </r>
      </text>
    </comment>
    <comment ref="A17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IC current consumption</t>
        </r>
      </text>
    </comment>
    <comment ref="A18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Vcc pin to GND pin equivalent resisance while switching (consumption). Calculated from Vcc and Icc, or can be set directly.</t>
        </r>
      </text>
    </comment>
    <comment ref="A19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Dynamic resistance of diode from output to "mirror" capacitor</t>
        </r>
      </text>
    </comment>
    <comment ref="A20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38"/>
          </rPr>
          <t>Resistor in serial with HV diode</t>
        </r>
      </text>
    </comment>
    <comment ref="A21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238"/>
          </rPr>
          <t>Dynamic resistance of diode from "mirror" capacitor to Vcc pin</t>
        </r>
      </text>
    </comment>
    <comment ref="A22" authorId="0" shapeId="0" xr:uid="{00000000-0006-0000-0000-000014000000}">
      <text>
        <r>
          <rPr>
            <b/>
            <sz val="9"/>
            <color indexed="81"/>
            <rFont val="Tahoma"/>
            <family val="2"/>
            <charset val="238"/>
          </rPr>
          <t>Vcc to GND pin capactor on NCP</t>
        </r>
      </text>
    </comment>
    <comment ref="A23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238"/>
          </rPr>
          <t>ESR of Vcc capacitor</t>
        </r>
      </text>
    </comment>
    <comment ref="A25" authorId="0" shapeId="0" xr:uid="{00000000-0006-0000-0000-000016000000}">
      <text>
        <r>
          <rPr>
            <b/>
            <sz val="9"/>
            <color indexed="81"/>
            <rFont val="Tahoma"/>
            <family val="2"/>
            <charset val="238"/>
          </rPr>
          <t>Start frequency for analysis</t>
        </r>
      </text>
    </comment>
    <comment ref="A26" authorId="0" shapeId="0" xr:uid="{00000000-0006-0000-0000-000017000000}">
      <text>
        <r>
          <rPr>
            <b/>
            <sz val="9"/>
            <color indexed="81"/>
            <rFont val="Tahoma"/>
            <family val="2"/>
            <charset val="238"/>
          </rPr>
          <t>Stop frequency for analysis</t>
        </r>
      </text>
    </comment>
    <comment ref="A28" authorId="0" shapeId="0" xr:uid="{00000000-0006-0000-0000-000018000000}">
      <text>
        <r>
          <rPr>
            <b/>
            <sz val="9"/>
            <color indexed="81"/>
            <rFont val="Tahoma"/>
            <family val="2"/>
            <charset val="238"/>
          </rPr>
          <t>Crossover frequency</t>
        </r>
      </text>
    </comment>
    <comment ref="A29" authorId="0" shapeId="0" xr:uid="{00000000-0006-0000-0000-000019000000}">
      <text>
        <r>
          <rPr>
            <b/>
            <sz val="9"/>
            <color indexed="81"/>
            <rFont val="Tahoma"/>
            <family val="2"/>
            <charset val="238"/>
          </rPr>
          <t>Set phase margin</t>
        </r>
      </text>
    </comment>
    <comment ref="A30" authorId="0" shapeId="0" xr:uid="{00000000-0006-0000-0000-00001A000000}">
      <text>
        <r>
          <rPr>
            <b/>
            <sz val="9"/>
            <color indexed="81"/>
            <rFont val="Tahoma"/>
            <family val="2"/>
            <charset val="238"/>
          </rPr>
          <t>Extracted from plot arg Hfinal at fc</t>
        </r>
      </text>
    </comment>
    <comment ref="A31" authorId="0" shapeId="0" xr:uid="{00000000-0006-0000-0000-00001B000000}">
      <text>
        <r>
          <rPr>
            <b/>
            <sz val="9"/>
            <color indexed="81"/>
            <rFont val="Tahoma"/>
            <family val="2"/>
            <charset val="238"/>
          </rPr>
          <t>Extracted from plot Hfinal(s) at fc</t>
        </r>
      </text>
    </comment>
    <comment ref="A33" authorId="0" shapeId="0" xr:uid="{00000000-0006-0000-0000-00001C000000}">
      <text>
        <r>
          <rPr>
            <b/>
            <sz val="9"/>
            <color indexed="81"/>
            <rFont val="Tahoma"/>
            <family val="2"/>
            <charset val="238"/>
          </rPr>
          <t>Calculated resistor on COMP pin</t>
        </r>
      </text>
    </comment>
    <comment ref="A34" authorId="0" shapeId="0" xr:uid="{00000000-0006-0000-0000-00001D000000}">
      <text>
        <r>
          <rPr>
            <b/>
            <sz val="9"/>
            <color indexed="81"/>
            <rFont val="Tahoma"/>
            <family val="2"/>
            <charset val="238"/>
          </rPr>
          <t>Calculated capacitor in serial with R2</t>
        </r>
      </text>
    </comment>
    <comment ref="A35" authorId="0" shapeId="0" xr:uid="{00000000-0006-0000-0000-00001E000000}">
      <text>
        <r>
          <rPr>
            <b/>
            <sz val="9"/>
            <color indexed="81"/>
            <rFont val="Tahoma"/>
            <family val="2"/>
            <charset val="238"/>
          </rPr>
          <t>Calculated capacitor on COMP pin</t>
        </r>
      </text>
    </comment>
    <comment ref="A37" authorId="0" shapeId="0" xr:uid="{00000000-0006-0000-0000-00001F000000}">
      <text>
        <r>
          <rPr>
            <b/>
            <sz val="9"/>
            <color indexed="81"/>
            <rFont val="Tahoma"/>
            <family val="2"/>
            <charset val="238"/>
          </rPr>
          <t>Selected resistor on COMP pin</t>
        </r>
      </text>
    </comment>
    <comment ref="A38" authorId="0" shapeId="0" xr:uid="{00000000-0006-0000-0000-000020000000}">
      <text>
        <r>
          <rPr>
            <b/>
            <sz val="9"/>
            <color indexed="81"/>
            <rFont val="Tahoma"/>
            <family val="2"/>
            <charset val="238"/>
          </rPr>
          <t>Selected capacitor in serial with R2</t>
        </r>
      </text>
    </comment>
    <comment ref="A39" authorId="0" shapeId="0" xr:uid="{00000000-0006-0000-0000-000021000000}">
      <text>
        <r>
          <rPr>
            <b/>
            <sz val="9"/>
            <color indexed="81"/>
            <rFont val="Tahoma"/>
            <family val="2"/>
            <charset val="238"/>
          </rPr>
          <t>Selected capacitor on COMP pin</t>
        </r>
      </text>
    </comment>
  </commentList>
</comments>
</file>

<file path=xl/sharedStrings.xml><?xml version="1.0" encoding="utf-8"?>
<sst xmlns="http://schemas.openxmlformats.org/spreadsheetml/2006/main" count="120" uniqueCount="86">
  <si>
    <t>D</t>
  </si>
  <si>
    <t>f</t>
  </si>
  <si>
    <t>tsw</t>
  </si>
  <si>
    <t>mc</t>
  </si>
  <si>
    <t>H0</t>
  </si>
  <si>
    <t>omeg n</t>
  </si>
  <si>
    <t>Qp</t>
  </si>
  <si>
    <t>s (i omeg)</t>
  </si>
  <si>
    <t>1+s/omeg z1</t>
  </si>
  <si>
    <t>1+s/omeg p1</t>
  </si>
  <si>
    <t>s/(o n*Qp)</t>
  </si>
  <si>
    <t>H1(s)</t>
  </si>
  <si>
    <t>H1(s) dB</t>
  </si>
  <si>
    <t>arg angle</t>
  </si>
  <si>
    <t>se</t>
  </si>
  <si>
    <t>HO [dB]</t>
  </si>
  <si>
    <t>Omeg z1</t>
  </si>
  <si>
    <t>omeg p1</t>
  </si>
  <si>
    <t>C0</t>
  </si>
  <si>
    <t>omeg z1</t>
  </si>
  <si>
    <t>omeg p2</t>
  </si>
  <si>
    <t>C(s)</t>
  </si>
  <si>
    <t>C(s) dB</t>
  </si>
  <si>
    <t>Hfinal(s)</t>
  </si>
  <si>
    <t>Hfinal(s) dB</t>
  </si>
  <si>
    <t>Pro C0</t>
  </si>
  <si>
    <t>pro H1</t>
  </si>
  <si>
    <t>pro Gs</t>
  </si>
  <si>
    <t>G10</t>
  </si>
  <si>
    <t>pm [°]</t>
  </si>
  <si>
    <t>pfc [°]</t>
  </si>
  <si>
    <t>boost</t>
  </si>
  <si>
    <t>k</t>
  </si>
  <si>
    <t>fz</t>
  </si>
  <si>
    <t>fp</t>
  </si>
  <si>
    <t>omeg z</t>
  </si>
  <si>
    <t>omeg p</t>
  </si>
  <si>
    <t>G0</t>
  </si>
  <si>
    <t>G(s)</t>
  </si>
  <si>
    <t>G(s) dB</t>
  </si>
  <si>
    <t>T(s)</t>
  </si>
  <si>
    <t>T(s) dB</t>
  </si>
  <si>
    <t>T(s) angle</t>
  </si>
  <si>
    <t>Hfinal(s) angle</t>
  </si>
  <si>
    <t>f [kHz]</t>
  </si>
  <si>
    <t>Vin [V]</t>
  </si>
  <si>
    <t>Vout [V]</t>
  </si>
  <si>
    <r>
      <t>Ri [</t>
    </r>
    <r>
      <rPr>
        <sz val="11"/>
        <color theme="1"/>
        <rFont val="Calibri"/>
        <family val="2"/>
        <charset val="238"/>
      </rPr>
      <t>Ω]</t>
    </r>
  </si>
  <si>
    <t>fmin [Hz]</t>
  </si>
  <si>
    <t>fmax [kHz]</t>
  </si>
  <si>
    <t>fc [Hz]</t>
  </si>
  <si>
    <t>Vcc [V]</t>
  </si>
  <si>
    <t>Icc [mA]</t>
  </si>
  <si>
    <t>Gfc [dB]</t>
  </si>
  <si>
    <t>Green cells are calculated</t>
  </si>
  <si>
    <t>Yellow cells to fill</t>
  </si>
  <si>
    <t>vypocty ze zadanych hodnot</t>
  </si>
  <si>
    <t>vypocet z vypoctenych hodnot R R C na OTA</t>
  </si>
  <si>
    <t>vypocet ze zadanych hodnot R R C na OTA</t>
  </si>
  <si>
    <t>rev 3</t>
  </si>
  <si>
    <r>
      <t>Cout (C6) [</t>
    </r>
    <r>
      <rPr>
        <sz val="11"/>
        <color theme="1"/>
        <rFont val="Calibri"/>
        <family val="2"/>
        <charset val="238"/>
      </rPr>
      <t>µF]</t>
    </r>
  </si>
  <si>
    <r>
      <t>Rlower (R3) [k</t>
    </r>
    <r>
      <rPr>
        <sz val="11"/>
        <color theme="1"/>
        <rFont val="Calibri"/>
        <family val="2"/>
        <charset val="238"/>
      </rPr>
      <t>Ω</t>
    </r>
    <r>
      <rPr>
        <sz val="11"/>
        <color theme="1"/>
        <rFont val="Calibri"/>
        <family val="2"/>
        <charset val="238"/>
        <scheme val="minor"/>
      </rPr>
      <t>]</t>
    </r>
  </si>
  <si>
    <r>
      <t>Rupper (R4) [k</t>
    </r>
    <r>
      <rPr>
        <sz val="11"/>
        <color theme="1"/>
        <rFont val="Calibri"/>
        <family val="2"/>
        <charset val="238"/>
      </rPr>
      <t>Ω]</t>
    </r>
  </si>
  <si>
    <r>
      <t>Rvcc load [k</t>
    </r>
    <r>
      <rPr>
        <sz val="11"/>
        <color theme="1"/>
        <rFont val="Calibri"/>
        <family val="2"/>
        <charset val="238"/>
      </rPr>
      <t>Ω]</t>
    </r>
  </si>
  <si>
    <r>
      <t>Rlim (R5) [</t>
    </r>
    <r>
      <rPr>
        <sz val="11"/>
        <color theme="1"/>
        <rFont val="Calibri"/>
        <family val="2"/>
        <charset val="238"/>
      </rPr>
      <t>Ω]</t>
    </r>
  </si>
  <si>
    <r>
      <t>C3 [</t>
    </r>
    <r>
      <rPr>
        <sz val="11"/>
        <color theme="1"/>
        <rFont val="Calibri"/>
        <family val="2"/>
        <charset val="238"/>
      </rPr>
      <t>µF]</t>
    </r>
  </si>
  <si>
    <r>
      <t>Rc (C3) [</t>
    </r>
    <r>
      <rPr>
        <sz val="11"/>
        <color theme="1"/>
        <rFont val="Calibri"/>
        <family val="2"/>
        <charset val="238"/>
      </rPr>
      <t>Ω]</t>
    </r>
  </si>
  <si>
    <r>
      <t>R6 [k</t>
    </r>
    <r>
      <rPr>
        <sz val="11"/>
        <color theme="1"/>
        <rFont val="Calibri"/>
        <family val="2"/>
        <charset val="238"/>
      </rPr>
      <t>Ω]</t>
    </r>
  </si>
  <si>
    <r>
      <t>C7 [n</t>
    </r>
    <r>
      <rPr>
        <sz val="11"/>
        <color theme="1"/>
        <rFont val="Calibri"/>
        <family val="2"/>
        <charset val="238"/>
      </rPr>
      <t>F]</t>
    </r>
  </si>
  <si>
    <t>C4 [nF]</t>
  </si>
  <si>
    <t>L1 [mH]</t>
  </si>
  <si>
    <r>
      <t>Rcout (C6) [</t>
    </r>
    <r>
      <rPr>
        <sz val="11"/>
        <color theme="1"/>
        <rFont val="Calibri"/>
        <family val="2"/>
        <charset val="238"/>
      </rPr>
      <t>Ω]</t>
    </r>
  </si>
  <si>
    <r>
      <t>Sa (IC1) [mA/</t>
    </r>
    <r>
      <rPr>
        <sz val="11"/>
        <color theme="1"/>
        <rFont val="Calibri"/>
        <family val="2"/>
        <charset val="238"/>
      </rPr>
      <t>µ</t>
    </r>
    <r>
      <rPr>
        <sz val="11"/>
        <color theme="1"/>
        <rFont val="Calibri"/>
        <family val="2"/>
        <charset val="238"/>
        <scheme val="minor"/>
      </rPr>
      <t>s]</t>
    </r>
  </si>
  <si>
    <r>
      <t>rd (D2) [</t>
    </r>
    <r>
      <rPr>
        <sz val="11"/>
        <color theme="1"/>
        <rFont val="Calibri"/>
        <family val="2"/>
        <charset val="238"/>
      </rPr>
      <t>Ω]</t>
    </r>
  </si>
  <si>
    <r>
      <t>RL (L1) [</t>
    </r>
    <r>
      <rPr>
        <sz val="11"/>
        <color theme="1"/>
        <rFont val="Calibri"/>
        <family val="2"/>
        <charset val="238"/>
      </rPr>
      <t>Ω]</t>
    </r>
  </si>
  <si>
    <r>
      <t>Rd (D4) [</t>
    </r>
    <r>
      <rPr>
        <sz val="11"/>
        <color theme="1"/>
        <rFont val="Calibri"/>
        <family val="2"/>
        <charset val="238"/>
      </rPr>
      <t>Ω]</t>
    </r>
  </si>
  <si>
    <t>NCP(V)1060 and NCP(V)1063 worksheet</t>
  </si>
  <si>
    <t>Hdiv</t>
  </si>
  <si>
    <t>NCP(V)1060 60 kHz</t>
  </si>
  <si>
    <t>NCP(V)1060 100 kHz</t>
  </si>
  <si>
    <t>NCP(V)1063 60 kHz</t>
  </si>
  <si>
    <t>NCP(V)1063 100 kHz</t>
  </si>
  <si>
    <t>IC</t>
  </si>
  <si>
    <t>Sa</t>
  </si>
  <si>
    <t>Gm [mS]</t>
  </si>
  <si>
    <t>This excel tool is to help calculate equations from Loop stabilization with NCP1060 document available on onsemi 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</si>
</sst>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"/>
    <numFmt numFmtId="165" formatCode="0.000"/>
    <numFmt numFmtId="166" formatCode="0.00000000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9"/>
      <color indexed="81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u/>
      <sz val="16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1" fillId="0" borderId="0" xfId="0" applyFont="1"/>
    <xf numFmtId="11" fontId="0" fillId="0" borderId="0" xfId="0" applyNumberFormat="1"/>
    <xf numFmtId="1" fontId="0" fillId="0" borderId="0" xfId="0" applyNumberFormat="1"/>
    <xf numFmtId="165" fontId="0" fillId="0" borderId="0" xfId="0" applyNumberFormat="1"/>
    <xf numFmtId="0" fontId="0" fillId="0" borderId="0" xfId="0" applyFont="1"/>
    <xf numFmtId="0" fontId="0" fillId="0" borderId="0" xfId="0" applyAlignment="1">
      <alignment wrapText="1"/>
    </xf>
    <xf numFmtId="2" fontId="0" fillId="0" borderId="0" xfId="0" applyNumberFormat="1" applyAlignment="1">
      <alignment horizontal="center"/>
    </xf>
    <xf numFmtId="0" fontId="0" fillId="2" borderId="0" xfId="0" applyFont="1" applyFill="1"/>
    <xf numFmtId="164" fontId="0" fillId="3" borderId="0" xfId="0" applyNumberFormat="1" applyFill="1"/>
    <xf numFmtId="2" fontId="0" fillId="2" borderId="0" xfId="0" applyNumberFormat="1" applyFill="1"/>
    <xf numFmtId="164" fontId="0" fillId="2" borderId="0" xfId="0" applyNumberFormat="1" applyFill="1"/>
    <xf numFmtId="1" fontId="0" fillId="2" borderId="0" xfId="0" applyNumberFormat="1" applyFill="1"/>
    <xf numFmtId="2" fontId="0" fillId="3" borderId="0" xfId="0" applyNumberFormat="1" applyFill="1"/>
    <xf numFmtId="164" fontId="0" fillId="2" borderId="0" xfId="0" applyNumberFormat="1" applyFont="1" applyFill="1"/>
    <xf numFmtId="1" fontId="0" fillId="3" borderId="0" xfId="0" applyNumberFormat="1" applyFill="1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3" borderId="0" xfId="0" applyFill="1"/>
    <xf numFmtId="49" fontId="0" fillId="0" borderId="0" xfId="0" quotePrefix="1" applyNumberFormat="1"/>
    <xf numFmtId="49" fontId="0" fillId="0" borderId="0" xfId="0" applyNumberFormat="1"/>
    <xf numFmtId="0" fontId="9" fillId="4" borderId="0" xfId="0" applyFont="1" applyFill="1" applyAlignment="1">
      <alignment wrapText="1"/>
    </xf>
    <xf numFmtId="0" fontId="9" fillId="4" borderId="0" xfId="0" applyFont="1" applyFill="1"/>
    <xf numFmtId="0" fontId="9" fillId="4" borderId="0" xfId="0" quotePrefix="1" applyFont="1" applyFill="1" applyAlignment="1">
      <alignment horizontal="left"/>
    </xf>
    <xf numFmtId="0" fontId="9" fillId="4" borderId="0" xfId="0" applyFont="1" applyFill="1" applyAlignment="1">
      <alignment horizontal="left"/>
    </xf>
    <xf numFmtId="11" fontId="9" fillId="4" borderId="0" xfId="0" applyNumberFormat="1" applyFont="1" applyFill="1"/>
    <xf numFmtId="49" fontId="9" fillId="4" borderId="0" xfId="0" quotePrefix="1" applyNumberFormat="1" applyFont="1" applyFill="1" applyAlignment="1"/>
    <xf numFmtId="0" fontId="8" fillId="4" borderId="0" xfId="0" applyFont="1" applyFill="1"/>
    <xf numFmtId="166" fontId="9" fillId="4" borderId="0" xfId="0" applyNumberFormat="1" applyFont="1" applyFill="1"/>
    <xf numFmtId="2" fontId="9" fillId="4" borderId="0" xfId="0" applyNumberFormat="1" applyFont="1" applyFill="1"/>
    <xf numFmtId="165" fontId="9" fillId="4" borderId="0" xfId="0" applyNumberFormat="1" applyFont="1" applyFill="1"/>
    <xf numFmtId="11" fontId="8" fillId="4" borderId="0" xfId="0" applyNumberFormat="1" applyFont="1" applyFill="1"/>
    <xf numFmtId="0" fontId="9" fillId="4" borderId="0" xfId="0" applyFont="1" applyFill="1" applyBorder="1"/>
    <xf numFmtId="1" fontId="9" fillId="4" borderId="0" xfId="0" applyNumberFormat="1" applyFont="1" applyFill="1"/>
    <xf numFmtId="0" fontId="9" fillId="4" borderId="0" xfId="0" applyFont="1" applyFill="1" applyAlignment="1">
      <alignment horizontal="center"/>
    </xf>
    <xf numFmtId="165" fontId="9" fillId="4" borderId="0" xfId="0" applyNumberFormat="1" applyFont="1" applyFill="1" applyAlignment="1">
      <alignment horizontal="center"/>
    </xf>
    <xf numFmtId="49" fontId="10" fillId="0" borderId="0" xfId="1" applyNumberFormat="1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7" fillId="2" borderId="0" xfId="0" quotePrefix="1" applyNumberFormat="1" applyFont="1" applyFill="1" applyAlignment="1">
      <alignment horizontal="left" vertical="center"/>
    </xf>
    <xf numFmtId="0" fontId="0" fillId="0" borderId="0" xfId="0" applyAlignment="1">
      <alignment horizontal="center"/>
    </xf>
    <xf numFmtId="0" fontId="9" fillId="4" borderId="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cs-CZ" sz="1800" b="0">
                <a:sym typeface="Symbol" panose="05050102010706020507" pitchFamily="18" charset="2"/>
              </a:rPr>
              <a:t></a:t>
            </a:r>
            <a:r>
              <a:rPr lang="en-US" sz="1800"/>
              <a:t>H</a:t>
            </a:r>
            <a:r>
              <a:rPr lang="en-US" sz="1800" baseline="-25000"/>
              <a:t>final</a:t>
            </a:r>
            <a:r>
              <a:rPr lang="en-US" sz="1800"/>
              <a:t>(s)</a:t>
            </a:r>
            <a:r>
              <a:rPr lang="en-US" sz="1800" b="0">
                <a:sym typeface="Symbol" panose="05050102010706020507" pitchFamily="18" charset="2"/>
              </a:rPr>
              <a:t></a:t>
            </a:r>
            <a:endParaRPr lang="en-US" sz="1800" b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917066946026346E-2"/>
          <c:y val="0.14308444062645773"/>
          <c:w val="0.86764688673672952"/>
          <c:h val="0.7151953177319311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Sheet1!$N$23</c:f>
              <c:strCache>
                <c:ptCount val="1"/>
                <c:pt idx="0">
                  <c:v>Hfinal(s) dB</c:v>
                </c:pt>
              </c:strCache>
            </c:strRef>
          </c:tx>
          <c:marker>
            <c:symbol val="none"/>
          </c:marker>
          <c:xVal>
            <c:numRef>
              <c:f>Sheet1!$B$24:$B$74</c:f>
              <c:numCache>
                <c:formatCode>General</c:formatCode>
                <c:ptCount val="51"/>
                <c:pt idx="0">
                  <c:v>10.000000000000002</c:v>
                </c:pt>
                <c:pt idx="1">
                  <c:v>11.481536214968829</c:v>
                </c:pt>
                <c:pt idx="2">
                  <c:v>13.182567385564075</c:v>
                </c:pt>
                <c:pt idx="3">
                  <c:v>15.135612484362087</c:v>
                </c:pt>
                <c:pt idx="4">
                  <c:v>17.378008287493756</c:v>
                </c:pt>
                <c:pt idx="5">
                  <c:v>19.952623149688797</c:v>
                </c:pt>
                <c:pt idx="6">
                  <c:v>22.908676527677738</c:v>
                </c:pt>
                <c:pt idx="7">
                  <c:v>26.302679918953825</c:v>
                </c:pt>
                <c:pt idx="8">
                  <c:v>30.199517204020164</c:v>
                </c:pt>
                <c:pt idx="9">
                  <c:v>34.67368504525318</c:v>
                </c:pt>
                <c:pt idx="10">
                  <c:v>39.810717055349734</c:v>
                </c:pt>
                <c:pt idx="11">
                  <c:v>45.708818961487509</c:v>
                </c:pt>
                <c:pt idx="12">
                  <c:v>52.480746024977286</c:v>
                </c:pt>
                <c:pt idx="13">
                  <c:v>60.255958607435822</c:v>
                </c:pt>
                <c:pt idx="14">
                  <c:v>69.183097091893657</c:v>
                </c:pt>
                <c:pt idx="15">
                  <c:v>79.432823472428197</c:v>
                </c:pt>
                <c:pt idx="16">
                  <c:v>91.201083935591043</c:v>
                </c:pt>
                <c:pt idx="17">
                  <c:v>104.71285480508998</c:v>
                </c:pt>
                <c:pt idx="18">
                  <c:v>120.22644346174135</c:v>
                </c:pt>
                <c:pt idx="19">
                  <c:v>138.0384264602886</c:v>
                </c:pt>
                <c:pt idx="20">
                  <c:v>158.48931924611139</c:v>
                </c:pt>
                <c:pt idx="21">
                  <c:v>181.97008586099847</c:v>
                </c:pt>
                <c:pt idx="22">
                  <c:v>208.92961308540416</c:v>
                </c:pt>
                <c:pt idx="23">
                  <c:v>239.88329190194912</c:v>
                </c:pt>
                <c:pt idx="24">
                  <c:v>275.42287033381683</c:v>
                </c:pt>
                <c:pt idx="25">
                  <c:v>316.22776601683825</c:v>
                </c:pt>
                <c:pt idx="26">
                  <c:v>363.07805477010152</c:v>
                </c:pt>
                <c:pt idx="27">
                  <c:v>416.86938347033532</c:v>
                </c:pt>
                <c:pt idx="28">
                  <c:v>478.63009232263886</c:v>
                </c:pt>
                <c:pt idx="29">
                  <c:v>549.54087385762477</c:v>
                </c:pt>
                <c:pt idx="30">
                  <c:v>630.9573444801938</c:v>
                </c:pt>
                <c:pt idx="31">
                  <c:v>724.43596007499025</c:v>
                </c:pt>
                <c:pt idx="32">
                  <c:v>831.7637711026714</c:v>
                </c:pt>
                <c:pt idx="33">
                  <c:v>954.99258602143675</c:v>
                </c:pt>
                <c:pt idx="34">
                  <c:v>1096.4781961431854</c:v>
                </c:pt>
                <c:pt idx="35">
                  <c:v>1258.925411794168</c:v>
                </c:pt>
                <c:pt idx="36">
                  <c:v>1445.4397707459289</c:v>
                </c:pt>
                <c:pt idx="37">
                  <c:v>1659.5869074375612</c:v>
                </c:pt>
                <c:pt idx="38">
                  <c:v>1905.4607179632485</c:v>
                </c:pt>
                <c:pt idx="39">
                  <c:v>2187.7616239495546</c:v>
                </c:pt>
                <c:pt idx="40">
                  <c:v>2511.8864315095811</c:v>
                </c:pt>
                <c:pt idx="41">
                  <c:v>2884.0315031266077</c:v>
                </c:pt>
                <c:pt idx="42">
                  <c:v>3311.3112148259174</c:v>
                </c:pt>
                <c:pt idx="43">
                  <c:v>3801.8939632056172</c:v>
                </c:pt>
                <c:pt idx="44">
                  <c:v>4365.1583224016631</c:v>
                </c:pt>
                <c:pt idx="45">
                  <c:v>5011.8723362727242</c:v>
                </c:pt>
                <c:pt idx="46">
                  <c:v>5754.399373371567</c:v>
                </c:pt>
                <c:pt idx="47">
                  <c:v>6606.9344800759654</c:v>
                </c:pt>
                <c:pt idx="48">
                  <c:v>7585.775750291853</c:v>
                </c:pt>
                <c:pt idx="49">
                  <c:v>8709.6358995608189</c:v>
                </c:pt>
                <c:pt idx="50">
                  <c:v>10000.000000000009</c:v>
                </c:pt>
              </c:numCache>
            </c:numRef>
          </c:xVal>
          <c:yVal>
            <c:numRef>
              <c:f>Sheet1!$N$24:$N$74</c:f>
              <c:numCache>
                <c:formatCode>General</c:formatCode>
                <c:ptCount val="51"/>
                <c:pt idx="0">
                  <c:v>16.046595373053286</c:v>
                </c:pt>
                <c:pt idx="1">
                  <c:v>16.045126655183374</c:v>
                </c:pt>
                <c:pt idx="2">
                  <c:v>16.043191118592514</c:v>
                </c:pt>
                <c:pt idx="3">
                  <c:v>16.040640644763808</c:v>
                </c:pt>
                <c:pt idx="4">
                  <c:v>16.037280306158387</c:v>
                </c:pt>
                <c:pt idx="5">
                  <c:v>16.032853711520222</c:v>
                </c:pt>
                <c:pt idx="6">
                  <c:v>16.027023864419391</c:v>
                </c:pt>
                <c:pt idx="7">
                  <c:v>16.019348235538363</c:v>
                </c:pt>
                <c:pt idx="8">
                  <c:v>16.009246427489526</c:v>
                </c:pt>
                <c:pt idx="9">
                  <c:v>15.995958450956142</c:v>
                </c:pt>
                <c:pt idx="10">
                  <c:v>15.978491263223827</c:v>
                </c:pt>
                <c:pt idx="11">
                  <c:v>15.955550910984735</c:v>
                </c:pt>
                <c:pt idx="12">
                  <c:v>15.925457494659337</c:v>
                </c:pt>
                <c:pt idx="13">
                  <c:v>15.886040450997601</c:v>
                </c:pt>
                <c:pt idx="14">
                  <c:v>15.834512688913108</c:v>
                </c:pt>
                <c:pt idx="15">
                  <c:v>15.76732443605003</c:v>
                </c:pt>
                <c:pt idx="16">
                  <c:v>15.680001954201659</c:v>
                </c:pt>
                <c:pt idx="17">
                  <c:v>15.566983307574585</c:v>
                </c:pt>
                <c:pt idx="18">
                  <c:v>15.421473573651314</c:v>
                </c:pt>
                <c:pt idx="19">
                  <c:v>15.235354717030976</c:v>
                </c:pt>
                <c:pt idx="20">
                  <c:v>14.999198124253423</c:v>
                </c:pt>
                <c:pt idx="21">
                  <c:v>14.70243461080354</c:v>
                </c:pt>
                <c:pt idx="22">
                  <c:v>14.333728529919776</c:v>
                </c:pt>
                <c:pt idx="23">
                  <c:v>13.881570620987036</c:v>
                </c:pt>
                <c:pt idx="24">
                  <c:v>13.335047567981107</c:v>
                </c:pt>
                <c:pt idx="25">
                  <c:v>12.684681021876854</c:v>
                </c:pt>
                <c:pt idx="26">
                  <c:v>11.923189019137435</c:v>
                </c:pt>
                <c:pt idx="27">
                  <c:v>11.046042796400391</c:v>
                </c:pt>
                <c:pt idx="28">
                  <c:v>10.051776438213578</c:v>
                </c:pt>
                <c:pt idx="29">
                  <c:v>8.9421123393482294</c:v>
                </c:pt>
                <c:pt idx="30">
                  <c:v>7.7220220012352305</c:v>
                </c:pt>
                <c:pt idx="31">
                  <c:v>6.3998034567665387</c:v>
                </c:pt>
                <c:pt idx="32">
                  <c:v>4.9871416708826448</c:v>
                </c:pt>
                <c:pt idx="33">
                  <c:v>3.4990009726349114</c:v>
                </c:pt>
                <c:pt idx="34">
                  <c:v>1.9531600696256104</c:v>
                </c:pt>
                <c:pt idx="35">
                  <c:v>0.36927450862347311</c:v>
                </c:pt>
                <c:pt idx="36">
                  <c:v>-1.2324933975243435</c:v>
                </c:pt>
                <c:pt idx="37">
                  <c:v>-2.8330735096542536</c:v>
                </c:pt>
                <c:pt idx="38">
                  <c:v>-4.416009317800289</c:v>
                </c:pt>
                <c:pt idx="39">
                  <c:v>-5.968592575789776</c:v>
                </c:pt>
                <c:pt idx="40">
                  <c:v>-7.4823996443106155</c:v>
                </c:pt>
                <c:pt idx="41">
                  <c:v>-8.9531815068221636</c:v>
                </c:pt>
                <c:pt idx="42">
                  <c:v>-10.380225943250769</c:v>
                </c:pt>
                <c:pt idx="43">
                  <c:v>-11.765417126100219</c:v>
                </c:pt>
                <c:pt idx="44">
                  <c:v>-13.112235604195359</c:v>
                </c:pt>
                <c:pt idx="45">
                  <c:v>-14.424887115813439</c:v>
                </c:pt>
                <c:pt idx="46">
                  <c:v>-15.707666391871811</c:v>
                </c:pt>
                <c:pt idx="47">
                  <c:v>-16.964594151460282</c:v>
                </c:pt>
                <c:pt idx="48">
                  <c:v>-18.199334374837804</c:v>
                </c:pt>
                <c:pt idx="49">
                  <c:v>-19.415408732734907</c:v>
                </c:pt>
                <c:pt idx="50">
                  <c:v>-20.616770550749468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DB1-4FDC-AC68-5649289E6B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8930224"/>
        <c:axId val="348931008"/>
      </c:scatterChart>
      <c:valAx>
        <c:axId val="348930224"/>
        <c:scaling>
          <c:logBase val="10"/>
          <c:orientation val="minMax"/>
          <c:max val="10000"/>
          <c:min val="1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Frequency</a:t>
                </a:r>
                <a:r>
                  <a:rPr lang="cs-CZ" baseline="0"/>
                  <a:t> [Hz]</a:t>
                </a:r>
                <a:endParaRPr lang="en-US"/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348931008"/>
        <c:crossesAt val="-150"/>
        <c:crossBetween val="midCat"/>
      </c:valAx>
      <c:valAx>
        <c:axId val="3489310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Gain</a:t>
                </a:r>
                <a:r>
                  <a:rPr lang="cs-CZ" baseline="0"/>
                  <a:t> [dB]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489302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400" b="0" i="0" u="none" strike="noStrike" baseline="0">
                <a:effectLst/>
                <a:sym typeface="Symbol" panose="05050102010706020507" pitchFamily="18" charset="2"/>
              </a:rPr>
              <a:t></a:t>
            </a:r>
            <a:r>
              <a:rPr lang="en-US" sz="1800" b="1" i="0" u="none" strike="noStrike" baseline="0">
                <a:effectLst/>
              </a:rPr>
              <a:t>H</a:t>
            </a:r>
            <a:r>
              <a:rPr lang="en-US" sz="1800" b="1" i="0" u="none" strike="noStrike" baseline="-25000">
                <a:effectLst/>
              </a:rPr>
              <a:t>final</a:t>
            </a:r>
            <a:r>
              <a:rPr lang="en-US" sz="1800" b="1" i="0" u="none" strike="noStrike" baseline="0">
                <a:effectLst/>
              </a:rPr>
              <a:t>(s)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890433628633157E-2"/>
          <c:y val="0.15877515438406056"/>
          <c:w val="0.85831256492185681"/>
          <c:h val="0.6714962560846548"/>
        </c:manualLayout>
      </c:layout>
      <c:scatterChart>
        <c:scatterStyle val="smoothMarker"/>
        <c:varyColors val="0"/>
        <c:ser>
          <c:idx val="3"/>
          <c:order val="0"/>
          <c:tx>
            <c:strRef>
              <c:f>Sheet1!$O$23</c:f>
              <c:strCache>
                <c:ptCount val="1"/>
                <c:pt idx="0">
                  <c:v>Hfinal(s) angle</c:v>
                </c:pt>
              </c:strCache>
            </c:strRef>
          </c:tx>
          <c:marker>
            <c:symbol val="none"/>
          </c:marker>
          <c:xVal>
            <c:numRef>
              <c:f>Sheet1!$B$24:$B$74</c:f>
              <c:numCache>
                <c:formatCode>General</c:formatCode>
                <c:ptCount val="51"/>
                <c:pt idx="0">
                  <c:v>10.000000000000002</c:v>
                </c:pt>
                <c:pt idx="1">
                  <c:v>11.481536214968829</c:v>
                </c:pt>
                <c:pt idx="2">
                  <c:v>13.182567385564075</c:v>
                </c:pt>
                <c:pt idx="3">
                  <c:v>15.135612484362087</c:v>
                </c:pt>
                <c:pt idx="4">
                  <c:v>17.378008287493756</c:v>
                </c:pt>
                <c:pt idx="5">
                  <c:v>19.952623149688797</c:v>
                </c:pt>
                <c:pt idx="6">
                  <c:v>22.908676527677738</c:v>
                </c:pt>
                <c:pt idx="7">
                  <c:v>26.302679918953825</c:v>
                </c:pt>
                <c:pt idx="8">
                  <c:v>30.199517204020164</c:v>
                </c:pt>
                <c:pt idx="9">
                  <c:v>34.67368504525318</c:v>
                </c:pt>
                <c:pt idx="10">
                  <c:v>39.810717055349734</c:v>
                </c:pt>
                <c:pt idx="11">
                  <c:v>45.708818961487509</c:v>
                </c:pt>
                <c:pt idx="12">
                  <c:v>52.480746024977286</c:v>
                </c:pt>
                <c:pt idx="13">
                  <c:v>60.255958607435822</c:v>
                </c:pt>
                <c:pt idx="14">
                  <c:v>69.183097091893657</c:v>
                </c:pt>
                <c:pt idx="15">
                  <c:v>79.432823472428197</c:v>
                </c:pt>
                <c:pt idx="16">
                  <c:v>91.201083935591043</c:v>
                </c:pt>
                <c:pt idx="17">
                  <c:v>104.71285480508998</c:v>
                </c:pt>
                <c:pt idx="18">
                  <c:v>120.22644346174135</c:v>
                </c:pt>
                <c:pt idx="19">
                  <c:v>138.0384264602886</c:v>
                </c:pt>
                <c:pt idx="20">
                  <c:v>158.48931924611139</c:v>
                </c:pt>
                <c:pt idx="21">
                  <c:v>181.97008586099847</c:v>
                </c:pt>
                <c:pt idx="22">
                  <c:v>208.92961308540416</c:v>
                </c:pt>
                <c:pt idx="23">
                  <c:v>239.88329190194912</c:v>
                </c:pt>
                <c:pt idx="24">
                  <c:v>275.42287033381683</c:v>
                </c:pt>
                <c:pt idx="25">
                  <c:v>316.22776601683825</c:v>
                </c:pt>
                <c:pt idx="26">
                  <c:v>363.07805477010152</c:v>
                </c:pt>
                <c:pt idx="27">
                  <c:v>416.86938347033532</c:v>
                </c:pt>
                <c:pt idx="28">
                  <c:v>478.63009232263886</c:v>
                </c:pt>
                <c:pt idx="29">
                  <c:v>549.54087385762477</c:v>
                </c:pt>
                <c:pt idx="30">
                  <c:v>630.9573444801938</c:v>
                </c:pt>
                <c:pt idx="31">
                  <c:v>724.43596007499025</c:v>
                </c:pt>
                <c:pt idx="32">
                  <c:v>831.7637711026714</c:v>
                </c:pt>
                <c:pt idx="33">
                  <c:v>954.99258602143675</c:v>
                </c:pt>
                <c:pt idx="34">
                  <c:v>1096.4781961431854</c:v>
                </c:pt>
                <c:pt idx="35">
                  <c:v>1258.925411794168</c:v>
                </c:pt>
                <c:pt idx="36">
                  <c:v>1445.4397707459289</c:v>
                </c:pt>
                <c:pt idx="37">
                  <c:v>1659.5869074375612</c:v>
                </c:pt>
                <c:pt idx="38">
                  <c:v>1905.4607179632485</c:v>
                </c:pt>
                <c:pt idx="39">
                  <c:v>2187.7616239495546</c:v>
                </c:pt>
                <c:pt idx="40">
                  <c:v>2511.8864315095811</c:v>
                </c:pt>
                <c:pt idx="41">
                  <c:v>2884.0315031266077</c:v>
                </c:pt>
                <c:pt idx="42">
                  <c:v>3311.3112148259174</c:v>
                </c:pt>
                <c:pt idx="43">
                  <c:v>3801.8939632056172</c:v>
                </c:pt>
                <c:pt idx="44">
                  <c:v>4365.1583224016631</c:v>
                </c:pt>
                <c:pt idx="45">
                  <c:v>5011.8723362727242</c:v>
                </c:pt>
                <c:pt idx="46">
                  <c:v>5754.399373371567</c:v>
                </c:pt>
                <c:pt idx="47">
                  <c:v>6606.9344800759654</c:v>
                </c:pt>
                <c:pt idx="48">
                  <c:v>7585.775750291853</c:v>
                </c:pt>
                <c:pt idx="49">
                  <c:v>8709.6358995608189</c:v>
                </c:pt>
                <c:pt idx="50">
                  <c:v>10000.000000000009</c:v>
                </c:pt>
              </c:numCache>
            </c:numRef>
          </c:xVal>
          <c:yVal>
            <c:numRef>
              <c:f>Sheet1!$O$24:$O$74</c:f>
              <c:numCache>
                <c:formatCode>General</c:formatCode>
                <c:ptCount val="51"/>
                <c:pt idx="0">
                  <c:v>-2.1667912506530644</c:v>
                </c:pt>
                <c:pt idx="1">
                  <c:v>-2.4875957482999604</c:v>
                </c:pt>
                <c:pt idx="2">
                  <c:v>-2.8558190911295473</c:v>
                </c:pt>
                <c:pt idx="3">
                  <c:v>-3.2784304440969403</c:v>
                </c:pt>
                <c:pt idx="4">
                  <c:v>-3.7634027907516128</c:v>
                </c:pt>
                <c:pt idx="5">
                  <c:v>-4.3198470449597064</c:v>
                </c:pt>
                <c:pt idx="6">
                  <c:v>-4.958158653935798</c:v>
                </c:pt>
                <c:pt idx="7">
                  <c:v>-5.6901748762197091</c:v>
                </c:pt>
                <c:pt idx="8">
                  <c:v>-6.5293388848368075</c:v>
                </c:pt>
                <c:pt idx="9">
                  <c:v>-7.4908637195757146</c:v>
                </c:pt>
                <c:pt idx="10">
                  <c:v>-8.5918844322746413</c:v>
                </c:pt>
                <c:pt idx="11">
                  <c:v>-9.8515799499939742</c:v>
                </c:pt>
                <c:pt idx="12">
                  <c:v>-11.291236548191595</c:v>
                </c:pt>
                <c:pt idx="13">
                  <c:v>-12.934211742431962</c:v>
                </c:pt>
                <c:pt idx="14">
                  <c:v>-14.805740581003521</c:v>
                </c:pt>
                <c:pt idx="15">
                  <c:v>-16.9325064245783</c:v>
                </c:pt>
                <c:pt idx="16">
                  <c:v>-19.341878049056668</c:v>
                </c:pt>
                <c:pt idx="17">
                  <c:v>-22.0607006639822</c:v>
                </c:pt>
                <c:pt idx="18">
                  <c:v>-25.113532012432326</c:v>
                </c:pt>
                <c:pt idx="19">
                  <c:v>-28.52025417924008</c:v>
                </c:pt>
                <c:pt idx="20">
                  <c:v>-32.293088518419871</c:v>
                </c:pt>
                <c:pt idx="21">
                  <c:v>-36.433209402533066</c:v>
                </c:pt>
                <c:pt idx="22">
                  <c:v>-40.927378404003584</c:v>
                </c:pt>
                <c:pt idx="23">
                  <c:v>-45.745237347433736</c:v>
                </c:pt>
                <c:pt idx="24">
                  <c:v>-50.837981658153296</c:v>
                </c:pt>
                <c:pt idx="25">
                  <c:v>-56.138950641813508</c:v>
                </c:pt>
                <c:pt idx="26">
                  <c:v>-61.566187218612022</c:v>
                </c:pt>
                <c:pt idx="27">
                  <c:v>-67.026411931350111</c:v>
                </c:pt>
                <c:pt idx="28">
                  <c:v>-72.419474340842243</c:v>
                </c:pt>
                <c:pt idx="29">
                  <c:v>-77.642484976919135</c:v>
                </c:pt>
                <c:pt idx="30">
                  <c:v>-82.593464147685452</c:v>
                </c:pt>
                <c:pt idx="31">
                  <c:v>-87.175064779666315</c:v>
                </c:pt>
                <c:pt idx="32">
                  <c:v>-91.299211980808948</c:v>
                </c:pt>
                <c:pt idx="33">
                  <c:v>-94.893087652402983</c:v>
                </c:pt>
                <c:pt idx="34">
                  <c:v>-97.90596563719788</c:v>
                </c:pt>
                <c:pt idx="35">
                  <c:v>-100.3154930035906</c:v>
                </c:pt>
                <c:pt idx="36">
                  <c:v>-102.13162664351759</c:v>
                </c:pt>
                <c:pt idx="37">
                  <c:v>-103.39678120281988</c:v>
                </c:pt>
                <c:pt idx="38">
                  <c:v>-104.18168244714127</c:v>
                </c:pt>
                <c:pt idx="39">
                  <c:v>-104.5775907776266</c:v>
                </c:pt>
                <c:pt idx="40">
                  <c:v>-104.68654310199287</c:v>
                </c:pt>
                <c:pt idx="41">
                  <c:v>-104.611704580143</c:v>
                </c:pt>
                <c:pt idx="42">
                  <c:v>-104.44967916011754</c:v>
                </c:pt>
                <c:pt idx="43">
                  <c:v>-104.28585659051923</c:v>
                </c:pt>
                <c:pt idx="44">
                  <c:v>-104.19295640104139</c:v>
                </c:pt>
                <c:pt idx="45">
                  <c:v>-104.23224240217102</c:v>
                </c:pt>
                <c:pt idx="46">
                  <c:v>-104.45659722496575</c:v>
                </c:pt>
                <c:pt idx="47">
                  <c:v>-104.91471072795743</c:v>
                </c:pt>
                <c:pt idx="48">
                  <c:v>-105.65587457821117</c:v>
                </c:pt>
                <c:pt idx="49">
                  <c:v>-106.73510479302571</c:v>
                </c:pt>
                <c:pt idx="50">
                  <c:v>-108.21837731094635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DB1-4C08-B2E3-B2EE673940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1438992"/>
        <c:axId val="351438600"/>
      </c:scatterChart>
      <c:valAx>
        <c:axId val="351438992"/>
        <c:scaling>
          <c:logBase val="10"/>
          <c:orientation val="minMax"/>
          <c:max val="10000"/>
          <c:min val="1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 sz="1000" b="1" i="0" baseline="0">
                    <a:effectLst/>
                  </a:rPr>
                  <a:t>Frequency [Hz]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351438600"/>
        <c:crossesAt val="-180"/>
        <c:crossBetween val="midCat"/>
      </c:valAx>
      <c:valAx>
        <c:axId val="351438600"/>
        <c:scaling>
          <c:orientation val="minMax"/>
          <c:min val="-18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cs-CZ" sz="1000" b="1" i="0" baseline="0">
                    <a:effectLst/>
                  </a:rPr>
                  <a:t>Angle [°]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1438992"/>
        <c:crosses val="autoZero"/>
        <c:crossBetween val="midCat"/>
        <c:majorUnit val="10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0" i="0" baseline="0">
                <a:effectLst/>
                <a:sym typeface="Symbol" panose="05050102010706020507" pitchFamily="18" charset="2"/>
              </a:rPr>
              <a:t></a:t>
            </a:r>
            <a:r>
              <a:rPr lang="cs-CZ" sz="1800" b="1" i="0" baseline="0">
                <a:effectLst/>
              </a:rPr>
              <a:t>T</a:t>
            </a:r>
            <a:r>
              <a:rPr lang="en-US" sz="1800" b="1" i="0" baseline="-25000">
                <a:effectLst/>
              </a:rPr>
              <a:t>final</a:t>
            </a:r>
            <a:r>
              <a:rPr lang="en-US" sz="1800" b="1" i="0" baseline="0">
                <a:effectLst/>
              </a:rPr>
              <a:t>(</a:t>
            </a:r>
            <a:r>
              <a:rPr lang="cs-CZ" sz="1800" b="1" i="0" baseline="0">
                <a:effectLst/>
              </a:rPr>
              <a:t>f</a:t>
            </a:r>
            <a:r>
              <a:rPr lang="en-US" sz="1800" b="1" i="0" baseline="0">
                <a:effectLst/>
              </a:rPr>
              <a:t>)</a:t>
            </a:r>
            <a:r>
              <a:rPr lang="en-US" sz="1800" b="0" i="0" baseline="0">
                <a:effectLst/>
                <a:sym typeface="Symbol" panose="05050102010706020507" pitchFamily="18" charset="2"/>
              </a:rPr>
              <a:t></a:t>
            </a:r>
            <a:r>
              <a:rPr lang="cs-CZ" sz="1800" b="0" i="0" baseline="0">
                <a:effectLst/>
                <a:sym typeface="Symbol" panose="05050102010706020507" pitchFamily="18" charset="2"/>
              </a:rPr>
              <a:t> from calculated values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7372874022371446E-2"/>
          <c:y val="0.15451067623910694"/>
          <c:w val="0.85568708253762304"/>
          <c:h val="0.707343160853171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Sheet1!$T$23</c:f>
              <c:strCache>
                <c:ptCount val="1"/>
                <c:pt idx="0">
                  <c:v>T(s) dB</c:v>
                </c:pt>
              </c:strCache>
            </c:strRef>
          </c:tx>
          <c:marker>
            <c:symbol val="none"/>
          </c:marker>
          <c:xVal>
            <c:numRef>
              <c:f>Sheet1!$B$24:$B$75</c:f>
              <c:numCache>
                <c:formatCode>General</c:formatCode>
                <c:ptCount val="52"/>
                <c:pt idx="0">
                  <c:v>10.000000000000002</c:v>
                </c:pt>
                <c:pt idx="1">
                  <c:v>11.481536214968829</c:v>
                </c:pt>
                <c:pt idx="2">
                  <c:v>13.182567385564075</c:v>
                </c:pt>
                <c:pt idx="3">
                  <c:v>15.135612484362087</c:v>
                </c:pt>
                <c:pt idx="4">
                  <c:v>17.378008287493756</c:v>
                </c:pt>
                <c:pt idx="5">
                  <c:v>19.952623149688797</c:v>
                </c:pt>
                <c:pt idx="6">
                  <c:v>22.908676527677738</c:v>
                </c:pt>
                <c:pt idx="7">
                  <c:v>26.302679918953825</c:v>
                </c:pt>
                <c:pt idx="8">
                  <c:v>30.199517204020164</c:v>
                </c:pt>
                <c:pt idx="9">
                  <c:v>34.67368504525318</c:v>
                </c:pt>
                <c:pt idx="10">
                  <c:v>39.810717055349734</c:v>
                </c:pt>
                <c:pt idx="11">
                  <c:v>45.708818961487509</c:v>
                </c:pt>
                <c:pt idx="12">
                  <c:v>52.480746024977286</c:v>
                </c:pt>
                <c:pt idx="13">
                  <c:v>60.255958607435822</c:v>
                </c:pt>
                <c:pt idx="14">
                  <c:v>69.183097091893657</c:v>
                </c:pt>
                <c:pt idx="15">
                  <c:v>79.432823472428197</c:v>
                </c:pt>
                <c:pt idx="16">
                  <c:v>91.201083935591043</c:v>
                </c:pt>
                <c:pt idx="17">
                  <c:v>104.71285480508998</c:v>
                </c:pt>
                <c:pt idx="18">
                  <c:v>120.22644346174135</c:v>
                </c:pt>
                <c:pt idx="19">
                  <c:v>138.0384264602886</c:v>
                </c:pt>
                <c:pt idx="20">
                  <c:v>158.48931924611139</c:v>
                </c:pt>
                <c:pt idx="21">
                  <c:v>181.97008586099847</c:v>
                </c:pt>
                <c:pt idx="22">
                  <c:v>208.92961308540416</c:v>
                </c:pt>
                <c:pt idx="23">
                  <c:v>239.88329190194912</c:v>
                </c:pt>
                <c:pt idx="24">
                  <c:v>275.42287033381683</c:v>
                </c:pt>
                <c:pt idx="25">
                  <c:v>316.22776601683825</c:v>
                </c:pt>
                <c:pt idx="26">
                  <c:v>363.07805477010152</c:v>
                </c:pt>
                <c:pt idx="27">
                  <c:v>416.86938347033532</c:v>
                </c:pt>
                <c:pt idx="28">
                  <c:v>478.63009232263886</c:v>
                </c:pt>
                <c:pt idx="29">
                  <c:v>549.54087385762477</c:v>
                </c:pt>
                <c:pt idx="30">
                  <c:v>630.9573444801938</c:v>
                </c:pt>
                <c:pt idx="31">
                  <c:v>724.43596007499025</c:v>
                </c:pt>
                <c:pt idx="32">
                  <c:v>831.7637711026714</c:v>
                </c:pt>
                <c:pt idx="33">
                  <c:v>954.99258602143675</c:v>
                </c:pt>
                <c:pt idx="34">
                  <c:v>1096.4781961431854</c:v>
                </c:pt>
                <c:pt idx="35">
                  <c:v>1258.925411794168</c:v>
                </c:pt>
                <c:pt idx="36">
                  <c:v>1445.4397707459289</c:v>
                </c:pt>
                <c:pt idx="37">
                  <c:v>1659.5869074375612</c:v>
                </c:pt>
                <c:pt idx="38">
                  <c:v>1905.4607179632485</c:v>
                </c:pt>
                <c:pt idx="39">
                  <c:v>2187.7616239495546</c:v>
                </c:pt>
                <c:pt idx="40">
                  <c:v>2511.8864315095811</c:v>
                </c:pt>
                <c:pt idx="41">
                  <c:v>2884.0315031266077</c:v>
                </c:pt>
                <c:pt idx="42">
                  <c:v>3311.3112148259174</c:v>
                </c:pt>
                <c:pt idx="43">
                  <c:v>3801.8939632056172</c:v>
                </c:pt>
                <c:pt idx="44">
                  <c:v>4365.1583224016631</c:v>
                </c:pt>
                <c:pt idx="45">
                  <c:v>5011.8723362727242</c:v>
                </c:pt>
                <c:pt idx="46">
                  <c:v>5754.399373371567</c:v>
                </c:pt>
                <c:pt idx="47">
                  <c:v>6606.9344800759654</c:v>
                </c:pt>
                <c:pt idx="48">
                  <c:v>7585.775750291853</c:v>
                </c:pt>
                <c:pt idx="49">
                  <c:v>8709.6358995608189</c:v>
                </c:pt>
                <c:pt idx="50">
                  <c:v>10000.000000000009</c:v>
                </c:pt>
                <c:pt idx="51">
                  <c:v>1000</c:v>
                </c:pt>
              </c:numCache>
            </c:numRef>
          </c:xVal>
          <c:yVal>
            <c:numRef>
              <c:f>Sheet1!$T$24:$T$74</c:f>
              <c:numCache>
                <c:formatCode>General</c:formatCode>
                <c:ptCount val="51"/>
                <c:pt idx="0">
                  <c:v>34.891572149268136</c:v>
                </c:pt>
                <c:pt idx="1">
                  <c:v>33.699152244482065</c:v>
                </c:pt>
                <c:pt idx="2">
                  <c:v>32.509116616837105</c:v>
                </c:pt>
                <c:pt idx="3">
                  <c:v>31.322203596509695</c:v>
                </c:pt>
                <c:pt idx="4">
                  <c:v>30.139371734468966</c:v>
                </c:pt>
                <c:pt idx="5">
                  <c:v>28.961859445410006</c:v>
                </c:pt>
                <c:pt idx="6">
                  <c:v>27.79125647650347</c:v>
                </c:pt>
                <c:pt idx="7">
                  <c:v>26.629586348724796</c:v>
                </c:pt>
                <c:pt idx="8">
                  <c:v>25.479396007897815</c:v>
                </c:pt>
                <c:pt idx="9">
                  <c:v>24.343843974419499</c:v>
                </c:pt>
                <c:pt idx="10">
                  <c:v>23.226770630228696</c:v>
                </c:pt>
                <c:pt idx="11">
                  <c:v>22.132723658089375</c:v>
                </c:pt>
                <c:pt idx="12">
                  <c:v>21.066898957689819</c:v>
                </c:pt>
                <c:pt idx="13">
                  <c:v>20.034945881045282</c:v>
                </c:pt>
                <c:pt idx="14">
                  <c:v>19.04258216936941</c:v>
                </c:pt>
                <c:pt idx="15">
                  <c:v>18.094978733808599</c:v>
                </c:pt>
                <c:pt idx="16">
                  <c:v>17.195917427409128</c:v>
                </c:pt>
                <c:pt idx="17">
                  <c:v>16.34679783640895</c:v>
                </c:pt>
                <c:pt idx="18">
                  <c:v>15.545655325433739</c:v>
                </c:pt>
                <c:pt idx="19">
                  <c:v>14.786415483466568</c:v>
                </c:pt>
                <c:pt idx="20">
                  <c:v>14.058608719894675</c:v>
                </c:pt>
                <c:pt idx="21">
                  <c:v>13.347686276924726</c:v>
                </c:pt>
                <c:pt idx="22">
                  <c:v>12.635940514327029</c:v>
                </c:pt>
                <c:pt idx="23">
                  <c:v>11.903891011859788</c:v>
                </c:pt>
                <c:pt idx="24">
                  <c:v>11.131900444269816</c:v>
                </c:pt>
                <c:pt idx="25">
                  <c:v>10.301750548141317</c:v>
                </c:pt>
                <c:pt idx="26">
                  <c:v>9.3979404406456268</c:v>
                </c:pt>
                <c:pt idx="27">
                  <c:v>8.4085618427450921</c:v>
                </c:pt>
                <c:pt idx="28">
                  <c:v>7.3257386970641623</c:v>
                </c:pt>
                <c:pt idx="29">
                  <c:v>6.1457446416701771</c:v>
                </c:pt>
                <c:pt idx="30">
                  <c:v>4.8689682350638028</c:v>
                </c:pt>
                <c:pt idx="31">
                  <c:v>3.4998471552407602</c:v>
                </c:pt>
                <c:pt idx="32">
                  <c:v>2.0467645735914699</c:v>
                </c:pt>
                <c:pt idx="33">
                  <c:v>0.52177206098039619</c:v>
                </c:pt>
                <c:pt idx="34">
                  <c:v>-1.0600436763476924</c:v>
                </c:pt>
                <c:pt idx="35">
                  <c:v>-2.681664131203461</c:v>
                </c:pt>
                <c:pt idx="36">
                  <c:v>-4.3256740498812762</c:v>
                </c:pt>
                <c:pt idx="37">
                  <c:v>-5.9760269044238221</c:v>
                </c:pt>
                <c:pt idx="38">
                  <c:v>-7.6197353935896235</c:v>
                </c:pt>
                <c:pt idx="39">
                  <c:v>-9.2481748766792631</c:v>
                </c:pt>
                <c:pt idx="40">
                  <c:v>-10.857779024288551</c:v>
                </c:pt>
                <c:pt idx="41">
                  <c:v>-12.450060799026035</c:v>
                </c:pt>
                <c:pt idx="42">
                  <c:v>-14.03104607114364</c:v>
                </c:pt>
                <c:pt idx="43">
                  <c:v>-15.610301125313686</c:v>
                </c:pt>
                <c:pt idx="44">
                  <c:v>-17.199744983626449</c:v>
                </c:pt>
                <c:pt idx="45">
                  <c:v>-18.812388531988439</c:v>
                </c:pt>
                <c:pt idx="46">
                  <c:v>-20.461089473949055</c:v>
                </c:pt>
                <c:pt idx="47">
                  <c:v>-22.157401951541598</c:v>
                </c:pt>
                <c:pt idx="48">
                  <c:v>-23.91064434793612</c:v>
                </c:pt>
                <c:pt idx="49">
                  <c:v>-25.727381629944883</c:v>
                </c:pt>
                <c:pt idx="50">
                  <c:v>-27.611573806252885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8D7-4E29-BBCE-49533BFB7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1437032"/>
        <c:axId val="351442520"/>
      </c:scatterChart>
      <c:valAx>
        <c:axId val="351437032"/>
        <c:scaling>
          <c:logBase val="10"/>
          <c:orientation val="minMax"/>
          <c:max val="10000"/>
          <c:min val="1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 sz="1000" b="1" i="0" baseline="0">
                    <a:effectLst/>
                  </a:rPr>
                  <a:t>Frequency [Hz]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351442520"/>
        <c:crossesAt val="-120"/>
        <c:crossBetween val="midCat"/>
      </c:valAx>
      <c:valAx>
        <c:axId val="351442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 sz="1000" b="1" i="0" baseline="0">
                    <a:effectLst/>
                  </a:rPr>
                  <a:t>Gain [dB]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14370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800" b="0" i="0" baseline="0">
                <a:effectLst/>
                <a:sym typeface="Symbol" panose="05050102010706020507" pitchFamily="18" charset="2"/>
              </a:rPr>
              <a:t></a:t>
            </a:r>
            <a:r>
              <a:rPr lang="cs-CZ" sz="1800" b="1" i="0" baseline="0">
                <a:effectLst/>
              </a:rPr>
              <a:t>T</a:t>
            </a:r>
            <a:r>
              <a:rPr lang="en-US" sz="1800" b="1" i="0" baseline="-25000">
                <a:effectLst/>
              </a:rPr>
              <a:t>final</a:t>
            </a:r>
            <a:r>
              <a:rPr lang="en-US" sz="1800" b="1" i="0" baseline="0">
                <a:effectLst/>
              </a:rPr>
              <a:t>(</a:t>
            </a:r>
            <a:r>
              <a:rPr lang="cs-CZ" sz="1800" b="1" i="0" baseline="0">
                <a:effectLst/>
              </a:rPr>
              <a:t>f</a:t>
            </a:r>
            <a:r>
              <a:rPr lang="en-US" sz="1800" b="1" i="0" baseline="0">
                <a:effectLst/>
              </a:rPr>
              <a:t>)</a:t>
            </a:r>
            <a:r>
              <a:rPr lang="cs-CZ" sz="1800" b="1" i="0" baseline="0">
                <a:effectLst/>
              </a:rPr>
              <a:t> </a:t>
            </a:r>
            <a:r>
              <a:rPr lang="cs-CZ" sz="1800" b="0" i="0" baseline="0">
                <a:effectLst/>
              </a:rPr>
              <a:t>from calculated values</a:t>
            </a:r>
            <a:endParaRPr lang="en-US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389926417553562E-2"/>
          <c:y val="0.1511080214510683"/>
          <c:w val="0.86578878321806085"/>
          <c:h val="0.69449765488363169"/>
        </c:manualLayout>
      </c:layout>
      <c:scatterChart>
        <c:scatterStyle val="smoothMarker"/>
        <c:varyColors val="0"/>
        <c:ser>
          <c:idx val="3"/>
          <c:order val="0"/>
          <c:tx>
            <c:strRef>
              <c:f>Sheet1!$U$23</c:f>
              <c:strCache>
                <c:ptCount val="1"/>
                <c:pt idx="0">
                  <c:v>T(s) angle</c:v>
                </c:pt>
              </c:strCache>
            </c:strRef>
          </c:tx>
          <c:marker>
            <c:symbol val="none"/>
          </c:marker>
          <c:xVal>
            <c:numRef>
              <c:f>Sheet1!$B$24:$B$74</c:f>
              <c:numCache>
                <c:formatCode>General</c:formatCode>
                <c:ptCount val="51"/>
                <c:pt idx="0">
                  <c:v>10.000000000000002</c:v>
                </c:pt>
                <c:pt idx="1">
                  <c:v>11.481536214968829</c:v>
                </c:pt>
                <c:pt idx="2">
                  <c:v>13.182567385564075</c:v>
                </c:pt>
                <c:pt idx="3">
                  <c:v>15.135612484362087</c:v>
                </c:pt>
                <c:pt idx="4">
                  <c:v>17.378008287493756</c:v>
                </c:pt>
                <c:pt idx="5">
                  <c:v>19.952623149688797</c:v>
                </c:pt>
                <c:pt idx="6">
                  <c:v>22.908676527677738</c:v>
                </c:pt>
                <c:pt idx="7">
                  <c:v>26.302679918953825</c:v>
                </c:pt>
                <c:pt idx="8">
                  <c:v>30.199517204020164</c:v>
                </c:pt>
                <c:pt idx="9">
                  <c:v>34.67368504525318</c:v>
                </c:pt>
                <c:pt idx="10">
                  <c:v>39.810717055349734</c:v>
                </c:pt>
                <c:pt idx="11">
                  <c:v>45.708818961487509</c:v>
                </c:pt>
                <c:pt idx="12">
                  <c:v>52.480746024977286</c:v>
                </c:pt>
                <c:pt idx="13">
                  <c:v>60.255958607435822</c:v>
                </c:pt>
                <c:pt idx="14">
                  <c:v>69.183097091893657</c:v>
                </c:pt>
                <c:pt idx="15">
                  <c:v>79.432823472428197</c:v>
                </c:pt>
                <c:pt idx="16">
                  <c:v>91.201083935591043</c:v>
                </c:pt>
                <c:pt idx="17">
                  <c:v>104.71285480508998</c:v>
                </c:pt>
                <c:pt idx="18">
                  <c:v>120.22644346174135</c:v>
                </c:pt>
                <c:pt idx="19">
                  <c:v>138.0384264602886</c:v>
                </c:pt>
                <c:pt idx="20">
                  <c:v>158.48931924611139</c:v>
                </c:pt>
                <c:pt idx="21">
                  <c:v>181.97008586099847</c:v>
                </c:pt>
                <c:pt idx="22">
                  <c:v>208.92961308540416</c:v>
                </c:pt>
                <c:pt idx="23">
                  <c:v>239.88329190194912</c:v>
                </c:pt>
                <c:pt idx="24">
                  <c:v>275.42287033381683</c:v>
                </c:pt>
                <c:pt idx="25">
                  <c:v>316.22776601683825</c:v>
                </c:pt>
                <c:pt idx="26">
                  <c:v>363.07805477010152</c:v>
                </c:pt>
                <c:pt idx="27">
                  <c:v>416.86938347033532</c:v>
                </c:pt>
                <c:pt idx="28">
                  <c:v>478.63009232263886</c:v>
                </c:pt>
                <c:pt idx="29">
                  <c:v>549.54087385762477</c:v>
                </c:pt>
                <c:pt idx="30">
                  <c:v>630.9573444801938</c:v>
                </c:pt>
                <c:pt idx="31">
                  <c:v>724.43596007499025</c:v>
                </c:pt>
                <c:pt idx="32">
                  <c:v>831.7637711026714</c:v>
                </c:pt>
                <c:pt idx="33">
                  <c:v>954.99258602143675</c:v>
                </c:pt>
                <c:pt idx="34">
                  <c:v>1096.4781961431854</c:v>
                </c:pt>
                <c:pt idx="35">
                  <c:v>1258.925411794168</c:v>
                </c:pt>
                <c:pt idx="36">
                  <c:v>1445.4397707459289</c:v>
                </c:pt>
                <c:pt idx="37">
                  <c:v>1659.5869074375612</c:v>
                </c:pt>
                <c:pt idx="38">
                  <c:v>1905.4607179632485</c:v>
                </c:pt>
                <c:pt idx="39">
                  <c:v>2187.7616239495546</c:v>
                </c:pt>
                <c:pt idx="40">
                  <c:v>2511.8864315095811</c:v>
                </c:pt>
                <c:pt idx="41">
                  <c:v>2884.0315031266077</c:v>
                </c:pt>
                <c:pt idx="42">
                  <c:v>3311.3112148259174</c:v>
                </c:pt>
                <c:pt idx="43">
                  <c:v>3801.8939632056172</c:v>
                </c:pt>
                <c:pt idx="44">
                  <c:v>4365.1583224016631</c:v>
                </c:pt>
                <c:pt idx="45">
                  <c:v>5011.8723362727242</c:v>
                </c:pt>
                <c:pt idx="46">
                  <c:v>5754.399373371567</c:v>
                </c:pt>
                <c:pt idx="47">
                  <c:v>6606.9344800759654</c:v>
                </c:pt>
                <c:pt idx="48">
                  <c:v>7585.775750291853</c:v>
                </c:pt>
                <c:pt idx="49">
                  <c:v>8709.6358995608189</c:v>
                </c:pt>
                <c:pt idx="50">
                  <c:v>10000.000000000009</c:v>
                </c:pt>
              </c:numCache>
            </c:numRef>
          </c:xVal>
          <c:yVal>
            <c:numRef>
              <c:f>Sheet1!$U$24:$U$74</c:f>
              <c:numCache>
                <c:formatCode>General</c:formatCode>
                <c:ptCount val="51"/>
                <c:pt idx="0">
                  <c:v>92.406646947054981</c:v>
                </c:pt>
                <c:pt idx="1">
                  <c:v>92.759707376014774</c:v>
                </c:pt>
                <c:pt idx="2">
                  <c:v>93.163297197333776</c:v>
                </c:pt>
                <c:pt idx="3">
                  <c:v>93.624005346683333</c:v>
                </c:pt>
                <c:pt idx="4">
                  <c:v>94.148951619551241</c:v>
                </c:pt>
                <c:pt idx="5">
                  <c:v>94.745651495893483</c:v>
                </c:pt>
                <c:pt idx="6">
                  <c:v>95.421765151274244</c:v>
                </c:pt>
                <c:pt idx="7">
                  <c:v>96.184677066680464</c:v>
                </c:pt>
                <c:pt idx="8">
                  <c:v>97.040836916971202</c:v>
                </c:pt>
                <c:pt idx="9">
                  <c:v>97.994778669377141</c:v>
                </c:pt>
                <c:pt idx="10">
                  <c:v>99.047730474137538</c:v>
                </c:pt>
                <c:pt idx="11">
                  <c:v>100.19574610550336</c:v>
                </c:pt>
                <c:pt idx="12">
                  <c:v>101.42734885531829</c:v>
                </c:pt>
                <c:pt idx="13">
                  <c:v>102.72080319205992</c:v>
                </c:pt>
                <c:pt idx="14">
                  <c:v>104.04133157408738</c:v>
                </c:pt>
                <c:pt idx="15">
                  <c:v>105.33885542027163</c:v>
                </c:pt>
                <c:pt idx="16">
                  <c:v>106.54708384754466</c:v>
                </c:pt>
                <c:pt idx="17">
                  <c:v>107.5848593454909</c:v>
                </c:pt>
                <c:pt idx="18">
                  <c:v>108.3604368492351</c:v>
                </c:pt>
                <c:pt idx="19">
                  <c:v>108.77875817109364</c:v>
                </c:pt>
                <c:pt idx="20">
                  <c:v>108.75093028959785</c:v>
                </c:pt>
                <c:pt idx="21">
                  <c:v>108.20435753842854</c:v>
                </c:pt>
                <c:pt idx="22">
                  <c:v>107.09165226162764</c:v>
                </c:pt>
                <c:pt idx="23">
                  <c:v>105.39668069143181</c:v>
                </c:pt>
                <c:pt idx="24">
                  <c:v>103.13676108112625</c:v>
                </c:pt>
                <c:pt idx="25">
                  <c:v>100.36088341268446</c:v>
                </c:pt>
                <c:pt idx="26">
                  <c:v>97.144655765331322</c:v>
                </c:pt>
                <c:pt idx="27">
                  <c:v>93.583307662490569</c:v>
                </c:pt>
                <c:pt idx="28">
                  <c:v>89.784273228999638</c:v>
                </c:pt>
                <c:pt idx="29">
                  <c:v>85.860490092346367</c:v>
                </c:pt>
                <c:pt idx="30">
                  <c:v>81.924708977398538</c:v>
                </c:pt>
                <c:pt idx="31">
                  <c:v>78.084253621842919</c:v>
                </c:pt>
                <c:pt idx="32">
                  <c:v>74.435318767353337</c:v>
                </c:pt>
                <c:pt idx="33">
                  <c:v>71.056289938815553</c:v>
                </c:pt>
                <c:pt idx="34">
                  <c:v>68.000501149042421</c:v>
                </c:pt>
                <c:pt idx="35">
                  <c:v>65.289779994533603</c:v>
                </c:pt>
                <c:pt idx="36">
                  <c:v>62.910545203960233</c:v>
                </c:pt>
                <c:pt idx="37">
                  <c:v>60.813905805399422</c:v>
                </c:pt>
                <c:pt idx="38">
                  <c:v>58.920303626484113</c:v>
                </c:pt>
                <c:pt idx="39">
                  <c:v>57.12809809224995</c:v>
                </c:pt>
                <c:pt idx="40">
                  <c:v>55.324528787713952</c:v>
                </c:pt>
                <c:pt idx="41">
                  <c:v>53.39705008979756</c:v>
                </c:pt>
                <c:pt idx="42">
                  <c:v>51.243242803347485</c:v>
                </c:pt>
                <c:pt idx="43">
                  <c:v>48.778191837058998</c:v>
                </c:pt>
                <c:pt idx="44">
                  <c:v>45.938976436451661</c:v>
                </c:pt>
                <c:pt idx="45">
                  <c:v>42.686379002816771</c:v>
                </c:pt>
                <c:pt idx="46">
                  <c:v>39.003960883968226</c:v>
                </c:pt>
                <c:pt idx="47">
                  <c:v>34.894451212245997</c:v>
                </c:pt>
                <c:pt idx="48">
                  <c:v>30.373275650829811</c:v>
                </c:pt>
                <c:pt idx="49">
                  <c:v>25.459292000160417</c:v>
                </c:pt>
                <c:pt idx="50">
                  <c:v>20.163466048218023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D50-4069-A0E0-63F753C33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1442912"/>
        <c:axId val="351436640"/>
      </c:scatterChart>
      <c:valAx>
        <c:axId val="351442912"/>
        <c:scaling>
          <c:logBase val="10"/>
          <c:orientation val="minMax"/>
          <c:max val="10000"/>
          <c:min val="1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 sz="1000" b="1" i="0" baseline="0">
                    <a:effectLst/>
                  </a:rPr>
                  <a:t>Frequency [Hz]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351436640"/>
        <c:crossesAt val="-180"/>
        <c:crossBetween val="midCat"/>
      </c:valAx>
      <c:valAx>
        <c:axId val="351436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 sz="1000" b="1" i="0" baseline="0">
                    <a:effectLst/>
                  </a:rPr>
                  <a:t>Angle [°]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1442912"/>
        <c:crosses val="autoZero"/>
        <c:crossBetween val="midCat"/>
        <c:majorUnit val="10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800" b="0" i="0" baseline="0">
                <a:effectLst/>
                <a:sym typeface="Symbol" panose="05050102010706020507" pitchFamily="18" charset="2"/>
              </a:rPr>
              <a:t></a:t>
            </a:r>
            <a:r>
              <a:rPr lang="cs-CZ" sz="1800" b="1" i="0" baseline="0">
                <a:effectLst/>
              </a:rPr>
              <a:t>T</a:t>
            </a:r>
            <a:r>
              <a:rPr lang="en-US" sz="1800" b="1" i="0" baseline="-25000">
                <a:effectLst/>
              </a:rPr>
              <a:t>final</a:t>
            </a:r>
            <a:r>
              <a:rPr lang="en-US" sz="1800" b="1" i="0" baseline="0">
                <a:effectLst/>
              </a:rPr>
              <a:t>(</a:t>
            </a:r>
            <a:r>
              <a:rPr lang="cs-CZ" sz="1800" b="1" i="0" baseline="0">
                <a:effectLst/>
              </a:rPr>
              <a:t>f</a:t>
            </a:r>
            <a:r>
              <a:rPr lang="en-US" sz="1800" b="1" i="0" baseline="0">
                <a:effectLst/>
              </a:rPr>
              <a:t>)</a:t>
            </a:r>
            <a:r>
              <a:rPr lang="en-US" sz="1800" b="0" i="0" baseline="0">
                <a:effectLst/>
                <a:sym typeface="Symbol" panose="05050102010706020507" pitchFamily="18" charset="2"/>
              </a:rPr>
              <a:t></a:t>
            </a:r>
            <a:r>
              <a:rPr lang="cs-CZ" sz="1800" b="0" i="0" baseline="0">
                <a:effectLst/>
                <a:sym typeface="Symbol" panose="05050102010706020507" pitchFamily="18" charset="2"/>
              </a:rPr>
              <a:t> </a:t>
            </a:r>
            <a:r>
              <a:rPr lang="cs-CZ" sz="1800" b="0" i="0" baseline="0">
                <a:effectLst/>
              </a:rPr>
              <a:t>from selected values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7372874022371446E-2"/>
          <c:y val="0.15451067623910694"/>
          <c:w val="0.85568708253762304"/>
          <c:h val="0.707343160853171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Sheet1!$T$23</c:f>
              <c:strCache>
                <c:ptCount val="1"/>
                <c:pt idx="0">
                  <c:v>T(s) dB</c:v>
                </c:pt>
              </c:strCache>
            </c:strRef>
          </c:tx>
          <c:marker>
            <c:symbol val="none"/>
          </c:marker>
          <c:xVal>
            <c:numRef>
              <c:f>Sheet1!$B$24:$B$75</c:f>
              <c:numCache>
                <c:formatCode>General</c:formatCode>
                <c:ptCount val="52"/>
                <c:pt idx="0">
                  <c:v>10.000000000000002</c:v>
                </c:pt>
                <c:pt idx="1">
                  <c:v>11.481536214968829</c:v>
                </c:pt>
                <c:pt idx="2">
                  <c:v>13.182567385564075</c:v>
                </c:pt>
                <c:pt idx="3">
                  <c:v>15.135612484362087</c:v>
                </c:pt>
                <c:pt idx="4">
                  <c:v>17.378008287493756</c:v>
                </c:pt>
                <c:pt idx="5">
                  <c:v>19.952623149688797</c:v>
                </c:pt>
                <c:pt idx="6">
                  <c:v>22.908676527677738</c:v>
                </c:pt>
                <c:pt idx="7">
                  <c:v>26.302679918953825</c:v>
                </c:pt>
                <c:pt idx="8">
                  <c:v>30.199517204020164</c:v>
                </c:pt>
                <c:pt idx="9">
                  <c:v>34.67368504525318</c:v>
                </c:pt>
                <c:pt idx="10">
                  <c:v>39.810717055349734</c:v>
                </c:pt>
                <c:pt idx="11">
                  <c:v>45.708818961487509</c:v>
                </c:pt>
                <c:pt idx="12">
                  <c:v>52.480746024977286</c:v>
                </c:pt>
                <c:pt idx="13">
                  <c:v>60.255958607435822</c:v>
                </c:pt>
                <c:pt idx="14">
                  <c:v>69.183097091893657</c:v>
                </c:pt>
                <c:pt idx="15">
                  <c:v>79.432823472428197</c:v>
                </c:pt>
                <c:pt idx="16">
                  <c:v>91.201083935591043</c:v>
                </c:pt>
                <c:pt idx="17">
                  <c:v>104.71285480508998</c:v>
                </c:pt>
                <c:pt idx="18">
                  <c:v>120.22644346174135</c:v>
                </c:pt>
                <c:pt idx="19">
                  <c:v>138.0384264602886</c:v>
                </c:pt>
                <c:pt idx="20">
                  <c:v>158.48931924611139</c:v>
                </c:pt>
                <c:pt idx="21">
                  <c:v>181.97008586099847</c:v>
                </c:pt>
                <c:pt idx="22">
                  <c:v>208.92961308540416</c:v>
                </c:pt>
                <c:pt idx="23">
                  <c:v>239.88329190194912</c:v>
                </c:pt>
                <c:pt idx="24">
                  <c:v>275.42287033381683</c:v>
                </c:pt>
                <c:pt idx="25">
                  <c:v>316.22776601683825</c:v>
                </c:pt>
                <c:pt idx="26">
                  <c:v>363.07805477010152</c:v>
                </c:pt>
                <c:pt idx="27">
                  <c:v>416.86938347033532</c:v>
                </c:pt>
                <c:pt idx="28">
                  <c:v>478.63009232263886</c:v>
                </c:pt>
                <c:pt idx="29">
                  <c:v>549.54087385762477</c:v>
                </c:pt>
                <c:pt idx="30">
                  <c:v>630.9573444801938</c:v>
                </c:pt>
                <c:pt idx="31">
                  <c:v>724.43596007499025</c:v>
                </c:pt>
                <c:pt idx="32">
                  <c:v>831.7637711026714</c:v>
                </c:pt>
                <c:pt idx="33">
                  <c:v>954.99258602143675</c:v>
                </c:pt>
                <c:pt idx="34">
                  <c:v>1096.4781961431854</c:v>
                </c:pt>
                <c:pt idx="35">
                  <c:v>1258.925411794168</c:v>
                </c:pt>
                <c:pt idx="36">
                  <c:v>1445.4397707459289</c:v>
                </c:pt>
                <c:pt idx="37">
                  <c:v>1659.5869074375612</c:v>
                </c:pt>
                <c:pt idx="38">
                  <c:v>1905.4607179632485</c:v>
                </c:pt>
                <c:pt idx="39">
                  <c:v>2187.7616239495546</c:v>
                </c:pt>
                <c:pt idx="40">
                  <c:v>2511.8864315095811</c:v>
                </c:pt>
                <c:pt idx="41">
                  <c:v>2884.0315031266077</c:v>
                </c:pt>
                <c:pt idx="42">
                  <c:v>3311.3112148259174</c:v>
                </c:pt>
                <c:pt idx="43">
                  <c:v>3801.8939632056172</c:v>
                </c:pt>
                <c:pt idx="44">
                  <c:v>4365.1583224016631</c:v>
                </c:pt>
                <c:pt idx="45">
                  <c:v>5011.8723362727242</c:v>
                </c:pt>
                <c:pt idx="46">
                  <c:v>5754.399373371567</c:v>
                </c:pt>
                <c:pt idx="47">
                  <c:v>6606.9344800759654</c:v>
                </c:pt>
                <c:pt idx="48">
                  <c:v>7585.775750291853</c:v>
                </c:pt>
                <c:pt idx="49">
                  <c:v>8709.6358995608189</c:v>
                </c:pt>
                <c:pt idx="50">
                  <c:v>10000.000000000009</c:v>
                </c:pt>
                <c:pt idx="51">
                  <c:v>1000</c:v>
                </c:pt>
              </c:numCache>
            </c:numRef>
          </c:xVal>
          <c:yVal>
            <c:numRef>
              <c:f>Sheet1!$Z$24:$Z$74</c:f>
              <c:numCache>
                <c:formatCode>General</c:formatCode>
                <c:ptCount val="51"/>
                <c:pt idx="0">
                  <c:v>34.891551584784906</c:v>
                </c:pt>
                <c:pt idx="1">
                  <c:v>33.699137435054325</c:v>
                </c:pt>
                <c:pt idx="2">
                  <c:v>32.509109357425906</c:v>
                </c:pt>
                <c:pt idx="3">
                  <c:v>31.322206226847634</c:v>
                </c:pt>
                <c:pt idx="4">
                  <c:v>30.139387293568664</c:v>
                </c:pt>
                <c:pt idx="5">
                  <c:v>28.961891862163007</c:v>
                </c:pt>
                <c:pt idx="6">
                  <c:v>27.791310799223851</c:v>
                </c:pt>
                <c:pt idx="7">
                  <c:v>26.629669012235038</c:v>
                </c:pt>
                <c:pt idx="8">
                  <c:v>25.479515128672755</c:v>
                </c:pt>
                <c:pt idx="9">
                  <c:v>24.344009650718398</c:v>
                </c:pt>
                <c:pt idx="10">
                  <c:v>23.226995203643696</c:v>
                </c:pt>
                <c:pt idx="11">
                  <c:v>22.13302186565738</c:v>
                </c:pt>
                <c:pt idx="12">
                  <c:v>21.067287873610411</c:v>
                </c:pt>
                <c:pt idx="13">
                  <c:v>20.035444524861077</c:v>
                </c:pt>
                <c:pt idx="14">
                  <c:v>19.043210662503355</c:v>
                </c:pt>
                <c:pt idx="15">
                  <c:v>18.095756942961309</c:v>
                </c:pt>
                <c:pt idx="16">
                  <c:v>17.196863157240667</c:v>
                </c:pt>
                <c:pt idx="17">
                  <c:v>16.347924809373975</c:v>
                </c:pt>
                <c:pt idx="18">
                  <c:v>15.546971349281876</c:v>
                </c:pt>
                <c:pt idx="19">
                  <c:v>14.787921259974034</c:v>
                </c:pt>
                <c:pt idx="20">
                  <c:v>14.060297623087239</c:v>
                </c:pt>
                <c:pt idx="21">
                  <c:v>13.349545151719486</c:v>
                </c:pt>
                <c:pt idx="22">
                  <c:v>12.637951242711198</c:v>
                </c:pt>
                <c:pt idx="23">
                  <c:v>11.906032407258454</c:v>
                </c:pt>
                <c:pt idx="24">
                  <c:v>11.134150029959374</c:v>
                </c:pt>
                <c:pt idx="25">
                  <c:v>10.304085910217442</c:v>
                </c:pt>
                <c:pt idx="26">
                  <c:v>9.4003400243464892</c:v>
                </c:pt>
                <c:pt idx="27">
                  <c:v>8.4110052031945806</c:v>
                </c:pt>
                <c:pt idx="28">
                  <c:v>7.3282062901377074</c:v>
                </c:pt>
                <c:pt idx="29">
                  <c:v>6.1482172553611916</c:v>
                </c:pt>
                <c:pt idx="30">
                  <c:v>4.8714261399365313</c:v>
                </c:pt>
                <c:pt idx="31">
                  <c:v>3.5022690162578298</c:v>
                </c:pt>
                <c:pt idx="32">
                  <c:v>2.0491261288563747</c:v>
                </c:pt>
                <c:pt idx="33">
                  <c:v>0.52404454273230927</c:v>
                </c:pt>
                <c:pt idx="34">
                  <c:v>-1.0578954235718179</c:v>
                </c:pt>
                <c:pt idx="35">
                  <c:v>-2.6796838881975313</c:v>
                </c:pt>
                <c:pt idx="36">
                  <c:v>-4.3239168596589703</c:v>
                </c:pt>
                <c:pt idx="37">
                  <c:v>-5.9745621163331109</c:v>
                </c:pt>
                <c:pt idx="38">
                  <c:v>-7.6186500476075043</c:v>
                </c:pt>
                <c:pt idx="39">
                  <c:v>-9.2475772286550377</c:v>
                </c:pt>
                <c:pt idx="40">
                  <c:v>-10.857801806044623</c:v>
                </c:pt>
                <c:pt idx="41">
                  <c:v>-12.450863519851108</c:v>
                </c:pt>
                <c:pt idx="42">
                  <c:v>-14.03281532738635</c:v>
                </c:pt>
                <c:pt idx="43">
                  <c:v>-15.613247586844563</c:v>
                </c:pt>
                <c:pt idx="44">
                  <c:v>-17.204095658663604</c:v>
                </c:pt>
                <c:pt idx="45">
                  <c:v>-18.818373343595059</c:v>
                </c:pt>
                <c:pt idx="46">
                  <c:v>-20.468922345757949</c:v>
                </c:pt>
                <c:pt idx="47">
                  <c:v>-22.167258458982694</c:v>
                </c:pt>
                <c:pt idx="48">
                  <c:v>-23.922639991712195</c:v>
                </c:pt>
                <c:pt idx="49">
                  <c:v>-25.741555896988416</c:v>
                </c:pt>
                <c:pt idx="50">
                  <c:v>-27.627884429123846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1D8-40C9-A8B3-C54D55976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1441736"/>
        <c:axId val="351437424"/>
      </c:scatterChart>
      <c:valAx>
        <c:axId val="351441736"/>
        <c:scaling>
          <c:logBase val="10"/>
          <c:orientation val="minMax"/>
          <c:max val="10000"/>
          <c:min val="1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 sz="1000" b="1" i="0" baseline="0">
                    <a:effectLst/>
                  </a:rPr>
                  <a:t>Frequency [Hz]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351437424"/>
        <c:crossesAt val="-120"/>
        <c:crossBetween val="midCat"/>
      </c:valAx>
      <c:valAx>
        <c:axId val="3514374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 sz="1000" b="1" i="0" baseline="0">
                    <a:effectLst/>
                  </a:rPr>
                  <a:t>Gain [dB]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14417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800" b="0" i="0" baseline="0">
                <a:effectLst/>
                <a:sym typeface="Symbol" panose="05050102010706020507" pitchFamily="18" charset="2"/>
              </a:rPr>
              <a:t></a:t>
            </a:r>
            <a:r>
              <a:rPr lang="cs-CZ" sz="1800" b="1" i="0" baseline="0">
                <a:effectLst/>
              </a:rPr>
              <a:t>T</a:t>
            </a:r>
            <a:r>
              <a:rPr lang="en-US" sz="1800" b="1" i="0" baseline="-25000">
                <a:effectLst/>
              </a:rPr>
              <a:t>final</a:t>
            </a:r>
            <a:r>
              <a:rPr lang="en-US" sz="1800" b="1" i="0" baseline="0">
                <a:effectLst/>
              </a:rPr>
              <a:t>(</a:t>
            </a:r>
            <a:r>
              <a:rPr lang="cs-CZ" sz="1800" b="1" i="0" baseline="0">
                <a:effectLst/>
              </a:rPr>
              <a:t>f</a:t>
            </a:r>
            <a:r>
              <a:rPr lang="en-US" sz="1800" b="1" i="0" baseline="0">
                <a:effectLst/>
              </a:rPr>
              <a:t>)</a:t>
            </a:r>
            <a:r>
              <a:rPr lang="cs-CZ" sz="1800" b="1" i="0" baseline="0">
                <a:effectLst/>
              </a:rPr>
              <a:t> </a:t>
            </a:r>
            <a:r>
              <a:rPr lang="cs-CZ" sz="1800" b="0" i="0" baseline="0">
                <a:effectLst/>
              </a:rPr>
              <a:t>from selected values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389926417553562E-2"/>
          <c:y val="0.1511080214510683"/>
          <c:w val="0.86578878321806085"/>
          <c:h val="0.69449765488363169"/>
        </c:manualLayout>
      </c:layout>
      <c:scatterChart>
        <c:scatterStyle val="smoothMarker"/>
        <c:varyColors val="0"/>
        <c:ser>
          <c:idx val="3"/>
          <c:order val="0"/>
          <c:tx>
            <c:strRef>
              <c:f>Sheet1!$U$23</c:f>
              <c:strCache>
                <c:ptCount val="1"/>
                <c:pt idx="0">
                  <c:v>T(s) angle</c:v>
                </c:pt>
              </c:strCache>
            </c:strRef>
          </c:tx>
          <c:marker>
            <c:symbol val="none"/>
          </c:marker>
          <c:xVal>
            <c:numRef>
              <c:f>Sheet1!$B$24:$B$74</c:f>
              <c:numCache>
                <c:formatCode>General</c:formatCode>
                <c:ptCount val="51"/>
                <c:pt idx="0">
                  <c:v>10.000000000000002</c:v>
                </c:pt>
                <c:pt idx="1">
                  <c:v>11.481536214968829</c:v>
                </c:pt>
                <c:pt idx="2">
                  <c:v>13.182567385564075</c:v>
                </c:pt>
                <c:pt idx="3">
                  <c:v>15.135612484362087</c:v>
                </c:pt>
                <c:pt idx="4">
                  <c:v>17.378008287493756</c:v>
                </c:pt>
                <c:pt idx="5">
                  <c:v>19.952623149688797</c:v>
                </c:pt>
                <c:pt idx="6">
                  <c:v>22.908676527677738</c:v>
                </c:pt>
                <c:pt idx="7">
                  <c:v>26.302679918953825</c:v>
                </c:pt>
                <c:pt idx="8">
                  <c:v>30.199517204020164</c:v>
                </c:pt>
                <c:pt idx="9">
                  <c:v>34.67368504525318</c:v>
                </c:pt>
                <c:pt idx="10">
                  <c:v>39.810717055349734</c:v>
                </c:pt>
                <c:pt idx="11">
                  <c:v>45.708818961487509</c:v>
                </c:pt>
                <c:pt idx="12">
                  <c:v>52.480746024977286</c:v>
                </c:pt>
                <c:pt idx="13">
                  <c:v>60.255958607435822</c:v>
                </c:pt>
                <c:pt idx="14">
                  <c:v>69.183097091893657</c:v>
                </c:pt>
                <c:pt idx="15">
                  <c:v>79.432823472428197</c:v>
                </c:pt>
                <c:pt idx="16">
                  <c:v>91.201083935591043</c:v>
                </c:pt>
                <c:pt idx="17">
                  <c:v>104.71285480508998</c:v>
                </c:pt>
                <c:pt idx="18">
                  <c:v>120.22644346174135</c:v>
                </c:pt>
                <c:pt idx="19">
                  <c:v>138.0384264602886</c:v>
                </c:pt>
                <c:pt idx="20">
                  <c:v>158.48931924611139</c:v>
                </c:pt>
                <c:pt idx="21">
                  <c:v>181.97008586099847</c:v>
                </c:pt>
                <c:pt idx="22">
                  <c:v>208.92961308540416</c:v>
                </c:pt>
                <c:pt idx="23">
                  <c:v>239.88329190194912</c:v>
                </c:pt>
                <c:pt idx="24">
                  <c:v>275.42287033381683</c:v>
                </c:pt>
                <c:pt idx="25">
                  <c:v>316.22776601683825</c:v>
                </c:pt>
                <c:pt idx="26">
                  <c:v>363.07805477010152</c:v>
                </c:pt>
                <c:pt idx="27">
                  <c:v>416.86938347033532</c:v>
                </c:pt>
                <c:pt idx="28">
                  <c:v>478.63009232263886</c:v>
                </c:pt>
                <c:pt idx="29">
                  <c:v>549.54087385762477</c:v>
                </c:pt>
                <c:pt idx="30">
                  <c:v>630.9573444801938</c:v>
                </c:pt>
                <c:pt idx="31">
                  <c:v>724.43596007499025</c:v>
                </c:pt>
                <c:pt idx="32">
                  <c:v>831.7637711026714</c:v>
                </c:pt>
                <c:pt idx="33">
                  <c:v>954.99258602143675</c:v>
                </c:pt>
                <c:pt idx="34">
                  <c:v>1096.4781961431854</c:v>
                </c:pt>
                <c:pt idx="35">
                  <c:v>1258.925411794168</c:v>
                </c:pt>
                <c:pt idx="36">
                  <c:v>1445.4397707459289</c:v>
                </c:pt>
                <c:pt idx="37">
                  <c:v>1659.5869074375612</c:v>
                </c:pt>
                <c:pt idx="38">
                  <c:v>1905.4607179632485</c:v>
                </c:pt>
                <c:pt idx="39">
                  <c:v>2187.7616239495546</c:v>
                </c:pt>
                <c:pt idx="40">
                  <c:v>2511.8864315095811</c:v>
                </c:pt>
                <c:pt idx="41">
                  <c:v>2884.0315031266077</c:v>
                </c:pt>
                <c:pt idx="42">
                  <c:v>3311.3112148259174</c:v>
                </c:pt>
                <c:pt idx="43">
                  <c:v>3801.8939632056172</c:v>
                </c:pt>
                <c:pt idx="44">
                  <c:v>4365.1583224016631</c:v>
                </c:pt>
                <c:pt idx="45">
                  <c:v>5011.8723362727242</c:v>
                </c:pt>
                <c:pt idx="46">
                  <c:v>5754.399373371567</c:v>
                </c:pt>
                <c:pt idx="47">
                  <c:v>6606.9344800759654</c:v>
                </c:pt>
                <c:pt idx="48">
                  <c:v>7585.775750291853</c:v>
                </c:pt>
                <c:pt idx="49">
                  <c:v>8709.6358995608189</c:v>
                </c:pt>
                <c:pt idx="50">
                  <c:v>10000.000000000009</c:v>
                </c:pt>
              </c:numCache>
            </c:numRef>
          </c:xVal>
          <c:yVal>
            <c:numRef>
              <c:f>Sheet1!$AA$24:$AA$74</c:f>
              <c:numCache>
                <c:formatCode>General</c:formatCode>
                <c:ptCount val="51"/>
                <c:pt idx="0">
                  <c:v>92.407874866110504</c:v>
                </c:pt>
                <c:pt idx="1">
                  <c:v>92.761113665285379</c:v>
                </c:pt>
                <c:pt idx="2">
                  <c:v>93.164906485518458</c:v>
                </c:pt>
                <c:pt idx="3">
                  <c:v>93.625845013506776</c:v>
                </c:pt>
                <c:pt idx="4">
                  <c:v>94.151051766766841</c:v>
                </c:pt>
                <c:pt idx="5">
                  <c:v>94.748044713083303</c:v>
                </c:pt>
                <c:pt idx="6">
                  <c:v>95.424485964359732</c:v>
                </c:pt>
                <c:pt idx="7">
                  <c:v>96.187760917329285</c:v>
                </c:pt>
                <c:pt idx="8">
                  <c:v>97.044318478599834</c:v>
                </c:pt>
                <c:pt idx="9">
                  <c:v>97.998689271238689</c:v>
                </c:pt>
                <c:pt idx="10">
                  <c:v>99.052094401092589</c:v>
                </c:pt>
                <c:pt idx="11">
                  <c:v>100.20057560412452</c:v>
                </c:pt>
                <c:pt idx="12">
                  <c:v>101.43263785648728</c:v>
                </c:pt>
                <c:pt idx="13">
                  <c:v>102.72652010303523</c:v>
                </c:pt>
                <c:pt idx="14">
                  <c:v>104.04741200437911</c:v>
                </c:pt>
                <c:pt idx="15">
                  <c:v>105.34519628798817</c:v>
                </c:pt>
                <c:pt idx="16">
                  <c:v>106.55354071649062</c:v>
                </c:pt>
                <c:pt idx="17">
                  <c:v>107.59124870567523</c:v>
                </c:pt>
                <c:pt idx="18">
                  <c:v>108.36654409886148</c:v>
                </c:pt>
                <c:pt idx="19">
                  <c:v>108.78435039948792</c:v>
                </c:pt>
                <c:pt idx="20">
                  <c:v>108.75577124256401</c:v>
                </c:pt>
                <c:pt idx="21">
                  <c:v>108.2082212575508</c:v>
                </c:pt>
                <c:pt idx="22">
                  <c:v>107.09433234102161</c:v>
                </c:pt>
                <c:pt idx="23">
                  <c:v>105.3979936235217</c:v>
                </c:pt>
                <c:pt idx="24">
                  <c:v>103.13654393551386</c:v>
                </c:pt>
                <c:pt idx="25">
                  <c:v>100.35898732610382</c:v>
                </c:pt>
                <c:pt idx="26">
                  <c:v>97.140937121100436</c:v>
                </c:pt>
                <c:pt idx="27">
                  <c:v>93.577618582729215</c:v>
                </c:pt>
                <c:pt idx="28">
                  <c:v>89.776452458073734</c:v>
                </c:pt>
                <c:pt idx="29">
                  <c:v>85.850354818378023</c:v>
                </c:pt>
                <c:pt idx="30">
                  <c:v>81.912047771153468</c:v>
                </c:pt>
                <c:pt idx="31">
                  <c:v>78.068820497727486</c:v>
                </c:pt>
                <c:pt idx="32">
                  <c:v>74.416828360204306</c:v>
                </c:pt>
                <c:pt idx="33">
                  <c:v>71.034413903132418</c:v>
                </c:pt>
                <c:pt idx="34">
                  <c:v>67.974866097226652</c:v>
                </c:pt>
                <c:pt idx="35">
                  <c:v>65.259967586668949</c:v>
                </c:pt>
                <c:pt idx="36">
                  <c:v>62.87609538213853</c:v>
                </c:pt>
                <c:pt idx="37">
                  <c:v>60.774324624152086</c:v>
                </c:pt>
                <c:pt idx="38">
                  <c:v>58.875077633626219</c:v>
                </c:pt>
                <c:pt idx="39">
                  <c:v>57.076717665606573</c:v>
                </c:pt>
                <c:pt idx="40">
                  <c:v>55.266523028544746</c:v>
                </c:pt>
                <c:pt idx="41">
                  <c:v>53.33203545345701</c:v>
                </c:pt>
                <c:pt idx="42">
                  <c:v>51.170986088498168</c:v>
                </c:pt>
                <c:pt idx="43">
                  <c:v>48.698684884078574</c:v>
                </c:pt>
                <c:pt idx="44">
                  <c:v>45.852514632201434</c:v>
                </c:pt>
                <c:pt idx="45">
                  <c:v>42.593629115504825</c:v>
                </c:pt>
                <c:pt idx="46">
                  <c:v>38.905998128940944</c:v>
                </c:pt>
                <c:pt idx="47">
                  <c:v>34.79274463493639</c:v>
                </c:pt>
                <c:pt idx="48">
                  <c:v>30.269608688215627</c:v>
                </c:pt>
                <c:pt idx="49">
                  <c:v>25.355621877184941</c:v>
                </c:pt>
                <c:pt idx="50">
                  <c:v>20.061745968881436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EDC-4F11-810C-D7321AEA6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1437816"/>
        <c:axId val="351438208"/>
      </c:scatterChart>
      <c:valAx>
        <c:axId val="351437816"/>
        <c:scaling>
          <c:logBase val="10"/>
          <c:orientation val="minMax"/>
          <c:max val="10000"/>
          <c:min val="1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 sz="1000" b="1" i="0" baseline="0">
                    <a:effectLst/>
                  </a:rPr>
                  <a:t>Frequency [Hz]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351438208"/>
        <c:crossesAt val="-180"/>
        <c:crossBetween val="midCat"/>
      </c:valAx>
      <c:valAx>
        <c:axId val="351438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 sz="1000" b="1" i="0" baseline="0">
                    <a:effectLst/>
                  </a:rPr>
                  <a:t>Angle [°]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51437816"/>
        <c:crosses val="autoZero"/>
        <c:crossBetween val="midCat"/>
        <c:majorUnit val="10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717268</xdr:colOff>
      <xdr:row>22</xdr:row>
      <xdr:rowOff>140805</xdr:rowOff>
    </xdr:from>
    <xdr:to>
      <xdr:col>9</xdr:col>
      <xdr:colOff>753717</xdr:colOff>
      <xdr:row>40</xdr:row>
      <xdr:rowOff>133235</xdr:rowOff>
    </xdr:to>
    <xdr:graphicFrame macro="">
      <xdr:nvGraphicFramePr>
        <xdr:cNvPr id="8" name="Chart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89365</xdr:colOff>
      <xdr:row>22</xdr:row>
      <xdr:rowOff>112898</xdr:rowOff>
    </xdr:from>
    <xdr:to>
      <xdr:col>19</xdr:col>
      <xdr:colOff>99391</xdr:colOff>
      <xdr:row>40</xdr:row>
      <xdr:rowOff>124239</xdr:rowOff>
    </xdr:to>
    <xdr:graphicFrame macro="">
      <xdr:nvGraphicFramePr>
        <xdr:cNvPr id="9" name="Chart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545568</xdr:colOff>
      <xdr:row>41</xdr:row>
      <xdr:rowOff>168880</xdr:rowOff>
    </xdr:from>
    <xdr:to>
      <xdr:col>8</xdr:col>
      <xdr:colOff>799644</xdr:colOff>
      <xdr:row>59</xdr:row>
      <xdr:rowOff>159880</xdr:rowOff>
    </xdr:to>
    <xdr:graphicFrame macro="">
      <xdr:nvGraphicFramePr>
        <xdr:cNvPr id="12" name="Chart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555584</xdr:colOff>
      <xdr:row>60</xdr:row>
      <xdr:rowOff>49347</xdr:rowOff>
    </xdr:from>
    <xdr:to>
      <xdr:col>8</xdr:col>
      <xdr:colOff>809660</xdr:colOff>
      <xdr:row>78</xdr:row>
      <xdr:rowOff>40347</xdr:rowOff>
    </xdr:to>
    <xdr:graphicFrame macro="">
      <xdr:nvGraphicFramePr>
        <xdr:cNvPr id="13" name="Chart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42</xdr:row>
      <xdr:rowOff>0</xdr:rowOff>
    </xdr:from>
    <xdr:to>
      <xdr:col>19</xdr:col>
      <xdr:colOff>136845</xdr:colOff>
      <xdr:row>59</xdr:row>
      <xdr:rowOff>181500</xdr:rowOff>
    </xdr:to>
    <xdr:graphicFrame macro="">
      <xdr:nvGraphicFramePr>
        <xdr:cNvPr id="7" name="Chart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21981</xdr:colOff>
      <xdr:row>60</xdr:row>
      <xdr:rowOff>14653</xdr:rowOff>
    </xdr:from>
    <xdr:to>
      <xdr:col>19</xdr:col>
      <xdr:colOff>158826</xdr:colOff>
      <xdr:row>78</xdr:row>
      <xdr:rowOff>5653</xdr:rowOff>
    </xdr:to>
    <xdr:graphicFrame macro="">
      <xdr:nvGraphicFramePr>
        <xdr:cNvPr id="10" name="Chart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0</xdr:colOff>
      <xdr:row>0</xdr:row>
      <xdr:rowOff>157370</xdr:rowOff>
    </xdr:from>
    <xdr:to>
      <xdr:col>3</xdr:col>
      <xdr:colOff>190899</xdr:colOff>
      <xdr:row>0</xdr:row>
      <xdr:rowOff>786108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820B0F6-0913-4F8B-91DA-6196EAA4FE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57370"/>
          <a:ext cx="2857899" cy="628738"/>
        </a:xfrm>
        <a:prstGeom prst="rect">
          <a:avLst/>
        </a:prstGeom>
      </xdr:spPr>
    </xdr:pic>
    <xdr:clientData/>
  </xdr:twoCellAnchor>
  <xdr:twoCellAnchor editAs="oneCell">
    <xdr:from>
      <xdr:col>3</xdr:col>
      <xdr:colOff>49440</xdr:colOff>
      <xdr:row>3</xdr:row>
      <xdr:rowOff>190501</xdr:rowOff>
    </xdr:from>
    <xdr:to>
      <xdr:col>12</xdr:col>
      <xdr:colOff>73903</xdr:colOff>
      <xdr:row>21</xdr:row>
      <xdr:rowOff>132522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4864FFD-021A-4FD7-881A-2E57E6ED88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716440" y="2054088"/>
          <a:ext cx="7594767" cy="34786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nsemi.com/pub/collateral/loop%20stabilization%20for%20106x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113"/>
  <sheetViews>
    <sheetView tabSelected="1" zoomScale="115" zoomScaleNormal="115" workbookViewId="0">
      <selection activeCell="A2" sqref="A2"/>
    </sheetView>
  </sheetViews>
  <sheetFormatPr defaultRowHeight="15" x14ac:dyDescent="0.25"/>
  <cols>
    <col min="1" max="1" width="18.28515625" customWidth="1"/>
    <col min="2" max="2" width="9.140625" customWidth="1"/>
    <col min="3" max="3" width="12.5703125" customWidth="1"/>
    <col min="4" max="4" width="11.28515625" customWidth="1"/>
    <col min="5" max="5" width="13.7109375" customWidth="1"/>
    <col min="6" max="6" width="13.28515625" customWidth="1"/>
    <col min="7" max="7" width="12" customWidth="1"/>
    <col min="8" max="8" width="14" customWidth="1"/>
    <col min="9" max="9" width="14.5703125" customWidth="1"/>
    <col min="10" max="10" width="14.140625" customWidth="1"/>
    <col min="12" max="12" width="11.28515625" customWidth="1"/>
    <col min="13" max="13" width="11" customWidth="1"/>
    <col min="14" max="14" width="12.28515625" bestFit="1" customWidth="1"/>
    <col min="16" max="16" width="9.28515625" customWidth="1"/>
    <col min="17" max="17" width="11.28515625" bestFit="1" customWidth="1"/>
  </cols>
  <sheetData>
    <row r="1" spans="1:16" ht="75.75" customHeight="1" x14ac:dyDescent="0.25">
      <c r="F1" s="40" t="s">
        <v>76</v>
      </c>
      <c r="G1" s="40"/>
      <c r="H1" s="40"/>
      <c r="I1" s="40"/>
      <c r="J1" s="40"/>
      <c r="K1" s="40"/>
      <c r="L1" s="40"/>
      <c r="M1" s="18" t="s">
        <v>59</v>
      </c>
    </row>
    <row r="2" spans="1:16" ht="29.25" customHeight="1" x14ac:dyDescent="0.25">
      <c r="A2" s="37" t="s">
        <v>85</v>
      </c>
      <c r="F2" s="17"/>
    </row>
    <row r="3" spans="1:16" ht="42" customHeight="1" x14ac:dyDescent="0.25">
      <c r="A3" s="42"/>
      <c r="B3" s="42"/>
      <c r="C3" s="38" t="s">
        <v>55</v>
      </c>
      <c r="D3" s="38"/>
      <c r="E3" s="38"/>
      <c r="F3" s="39" t="s">
        <v>54</v>
      </c>
      <c r="G3" s="39"/>
      <c r="H3" s="39"/>
    </row>
    <row r="4" spans="1:16" ht="23.25" customHeight="1" x14ac:dyDescent="0.25">
      <c r="A4" s="41" t="s">
        <v>78</v>
      </c>
      <c r="B4" s="41"/>
    </row>
    <row r="5" spans="1:16" x14ac:dyDescent="0.25">
      <c r="A5" t="s">
        <v>44</v>
      </c>
      <c r="B5" s="13">
        <v>60</v>
      </c>
    </row>
    <row r="6" spans="1:16" x14ac:dyDescent="0.25">
      <c r="A6" t="s">
        <v>70</v>
      </c>
      <c r="B6" s="11">
        <v>1</v>
      </c>
      <c r="P6" s="21"/>
    </row>
    <row r="7" spans="1:16" x14ac:dyDescent="0.25">
      <c r="A7" t="s">
        <v>74</v>
      </c>
      <c r="B7" s="1">
        <v>30</v>
      </c>
      <c r="P7" s="21"/>
    </row>
    <row r="8" spans="1:16" ht="15" customHeight="1" x14ac:dyDescent="0.25">
      <c r="A8" t="s">
        <v>45</v>
      </c>
      <c r="B8" s="1">
        <v>125</v>
      </c>
      <c r="P8" s="21"/>
    </row>
    <row r="9" spans="1:16" x14ac:dyDescent="0.25">
      <c r="A9" t="s">
        <v>46</v>
      </c>
      <c r="B9" s="1">
        <v>14</v>
      </c>
    </row>
    <row r="10" spans="1:16" x14ac:dyDescent="0.25">
      <c r="A10" t="s">
        <v>71</v>
      </c>
      <c r="B10" s="1">
        <v>0.2</v>
      </c>
      <c r="O10" s="20"/>
    </row>
    <row r="11" spans="1:16" x14ac:dyDescent="0.25">
      <c r="A11" t="s">
        <v>60</v>
      </c>
      <c r="B11" s="12">
        <v>20</v>
      </c>
      <c r="O11" s="20"/>
    </row>
    <row r="12" spans="1:16" x14ac:dyDescent="0.25">
      <c r="A12" t="s">
        <v>72</v>
      </c>
      <c r="B12" s="10">
        <f>VLOOKUP(A4,Sheet1!N4:O7,2,FALSE)</f>
        <v>8.4</v>
      </c>
      <c r="O12" s="20"/>
    </row>
    <row r="13" spans="1:16" x14ac:dyDescent="0.25">
      <c r="A13" t="s">
        <v>61</v>
      </c>
      <c r="B13" s="11">
        <v>3</v>
      </c>
      <c r="O13" s="20"/>
    </row>
    <row r="14" spans="1:16" x14ac:dyDescent="0.25">
      <c r="A14" t="s">
        <v>62</v>
      </c>
      <c r="B14" s="11">
        <v>10</v>
      </c>
    </row>
    <row r="15" spans="1:16" x14ac:dyDescent="0.25">
      <c r="A15" t="s">
        <v>47</v>
      </c>
      <c r="B15" s="1">
        <v>0.3</v>
      </c>
    </row>
    <row r="16" spans="1:16" x14ac:dyDescent="0.25">
      <c r="A16" t="s">
        <v>51</v>
      </c>
      <c r="B16" s="1">
        <v>10</v>
      </c>
    </row>
    <row r="17" spans="1:3" x14ac:dyDescent="0.25">
      <c r="A17" t="s">
        <v>52</v>
      </c>
      <c r="B17" s="1">
        <v>1</v>
      </c>
    </row>
    <row r="18" spans="1:3" x14ac:dyDescent="0.25">
      <c r="A18" s="6" t="s">
        <v>63</v>
      </c>
      <c r="B18" s="19">
        <f>B16/(B17)</f>
        <v>10</v>
      </c>
    </row>
    <row r="19" spans="1:3" x14ac:dyDescent="0.25">
      <c r="A19" s="6" t="s">
        <v>75</v>
      </c>
      <c r="B19" s="1">
        <v>8</v>
      </c>
    </row>
    <row r="20" spans="1:3" x14ac:dyDescent="0.25">
      <c r="A20" s="6" t="s">
        <v>64</v>
      </c>
      <c r="B20" s="1">
        <v>10</v>
      </c>
    </row>
    <row r="21" spans="1:3" x14ac:dyDescent="0.25">
      <c r="A21" s="6" t="s">
        <v>73</v>
      </c>
      <c r="B21" s="1">
        <v>1</v>
      </c>
    </row>
    <row r="22" spans="1:3" x14ac:dyDescent="0.25">
      <c r="A22" s="6" t="s">
        <v>65</v>
      </c>
      <c r="B22" s="15">
        <v>10</v>
      </c>
    </row>
    <row r="23" spans="1:3" x14ac:dyDescent="0.25">
      <c r="A23" s="6" t="s">
        <v>66</v>
      </c>
      <c r="B23" s="9">
        <v>0.45</v>
      </c>
    </row>
    <row r="25" spans="1:3" x14ac:dyDescent="0.25">
      <c r="A25" s="7" t="s">
        <v>48</v>
      </c>
      <c r="B25" s="13">
        <v>10</v>
      </c>
    </row>
    <row r="26" spans="1:3" x14ac:dyDescent="0.25">
      <c r="A26" t="s">
        <v>49</v>
      </c>
      <c r="B26" s="13">
        <v>10</v>
      </c>
      <c r="C26" s="2"/>
    </row>
    <row r="28" spans="1:3" x14ac:dyDescent="0.25">
      <c r="A28" t="s">
        <v>50</v>
      </c>
      <c r="B28" s="1">
        <v>1000</v>
      </c>
    </row>
    <row r="29" spans="1:3" x14ac:dyDescent="0.25">
      <c r="A29" t="s">
        <v>29</v>
      </c>
      <c r="B29" s="1">
        <v>70</v>
      </c>
    </row>
    <row r="30" spans="1:3" x14ac:dyDescent="0.25">
      <c r="A30" t="s">
        <v>30</v>
      </c>
      <c r="B30" s="16">
        <f>Sheet1!O75</f>
        <v>-95.963674661481548</v>
      </c>
    </row>
    <row r="31" spans="1:3" x14ac:dyDescent="0.25">
      <c r="A31" t="s">
        <v>53</v>
      </c>
      <c r="B31" s="10">
        <f>Sheet1!N75</f>
        <v>2.9891881928110706</v>
      </c>
    </row>
    <row r="33" spans="1:10" x14ac:dyDescent="0.25">
      <c r="A33" t="s">
        <v>67</v>
      </c>
      <c r="B33" s="14">
        <f>(Sheet1!B2*Sheet1!F2/(Sheet1!F2-Sheet1!E2)*(B13*1000+B14*1000)/(B13*Sheet1!L4)*(SQRT(1+(B28/Sheet1!F2)^2))/(SQRT(1+(Sheet1!E2/B28)^2)))/1000</f>
        <v>1.5594264080337588</v>
      </c>
      <c r="G33" s="2"/>
      <c r="J33" s="2"/>
    </row>
    <row r="34" spans="1:10" x14ac:dyDescent="0.25">
      <c r="A34" t="s">
        <v>68</v>
      </c>
      <c r="B34" s="10">
        <f>(1/(2*PI()*Sheet1!E2*B33*1000))*1000000000</f>
        <v>829.03867099363072</v>
      </c>
      <c r="G34" s="2"/>
      <c r="J34" s="2"/>
    </row>
    <row r="35" spans="1:10" x14ac:dyDescent="0.25">
      <c r="A35" t="s">
        <v>69</v>
      </c>
      <c r="B35" s="10">
        <f>((B13*Sheet1!L4)/(2*PI()*Sheet1!F2*Sheet1!B2*(B13*1000+B14*1000))*(SQRT(1+(Sheet1!E2/B28)^2))/(SQRT(1+(B28/Sheet1!F2)^2)))*1000000000</f>
        <v>12.757568167382962</v>
      </c>
      <c r="E35" s="2"/>
      <c r="F35" s="2"/>
      <c r="G35" s="2"/>
      <c r="H35" s="2"/>
      <c r="J35" s="2"/>
    </row>
    <row r="37" spans="1:10" x14ac:dyDescent="0.25">
      <c r="A37" t="s">
        <v>67</v>
      </c>
      <c r="B37" s="11">
        <v>1.56</v>
      </c>
    </row>
    <row r="38" spans="1:10" x14ac:dyDescent="0.25">
      <c r="A38" t="s">
        <v>68</v>
      </c>
      <c r="B38" s="11">
        <v>829</v>
      </c>
    </row>
    <row r="39" spans="1:10" x14ac:dyDescent="0.25">
      <c r="A39" t="s">
        <v>69</v>
      </c>
      <c r="B39" s="11">
        <v>12.8</v>
      </c>
    </row>
    <row r="101" spans="1:12" x14ac:dyDescent="0.25">
      <c r="B101" s="8"/>
      <c r="K101" s="5"/>
    </row>
    <row r="103" spans="1:12" x14ac:dyDescent="0.25">
      <c r="B103" s="4"/>
      <c r="D103" s="2"/>
    </row>
    <row r="104" spans="1:12" x14ac:dyDescent="0.25">
      <c r="B104" s="4"/>
    </row>
    <row r="105" spans="1:12" x14ac:dyDescent="0.25">
      <c r="B105" s="4"/>
    </row>
    <row r="106" spans="1:12" x14ac:dyDescent="0.25">
      <c r="B106" s="4"/>
      <c r="C106" s="2"/>
      <c r="F106" s="2"/>
      <c r="I106" s="2"/>
      <c r="L106" s="2"/>
    </row>
    <row r="107" spans="1:12" x14ac:dyDescent="0.25">
      <c r="B107" s="4"/>
      <c r="H107" s="3"/>
    </row>
    <row r="109" spans="1:12" x14ac:dyDescent="0.25">
      <c r="A109" s="2"/>
    </row>
    <row r="111" spans="1:12" x14ac:dyDescent="0.25">
      <c r="A111" s="2"/>
    </row>
    <row r="113" spans="1:1" x14ac:dyDescent="0.25">
      <c r="A113" s="2"/>
    </row>
  </sheetData>
  <mergeCells count="5">
    <mergeCell ref="C3:E3"/>
    <mergeCell ref="F3:H3"/>
    <mergeCell ref="F1:L1"/>
    <mergeCell ref="A4:B4"/>
    <mergeCell ref="A3:B3"/>
  </mergeCells>
  <dataValidations count="1">
    <dataValidation type="list" allowBlank="1" showInputMessage="1" showErrorMessage="1" sqref="N5" xr:uid="{3C582F0A-3003-4C92-B4D9-526F4E69A145}">
      <formula1>$P$6:$P$8</formula1>
    </dataValidation>
  </dataValidations>
  <hyperlinks>
    <hyperlink ref="A2" r:id="rId1" display="This excel tool is to help calculate equations fromhttps://www.onsemi.com/pub/collateral/loop%20stabilization%20for%20106x.pdf" xr:uid="{00000000-0004-0000-0000-000000000000}"/>
  </hyperlinks>
  <pageMargins left="0.7" right="0.7" top="0.75" bottom="0.75" header="0.3" footer="0.3"/>
  <pageSetup paperSize="9" orientation="portrait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567B2FF-8315-4650-9D94-C9B2E144C066}">
          <x14:formula1>
            <xm:f>Sheet1!$N$4:$N$7</xm:f>
          </x14:formula1>
          <xm:sqref>A4:B4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B79"/>
  <sheetViews>
    <sheetView zoomScale="115" zoomScaleNormal="115" workbookViewId="0">
      <selection activeCell="A2" sqref="A2"/>
    </sheetView>
  </sheetViews>
  <sheetFormatPr defaultRowHeight="15" x14ac:dyDescent="0.25"/>
  <cols>
    <col min="1" max="1" width="9.140625" style="6"/>
    <col min="2" max="2" width="13.140625" style="6" customWidth="1"/>
    <col min="3" max="3" width="18.5703125" style="6" bestFit="1" customWidth="1"/>
    <col min="4" max="4" width="12" style="6" bestFit="1" customWidth="1"/>
    <col min="5" max="9" width="9.140625" style="6"/>
    <col min="10" max="10" width="16.7109375" style="6" customWidth="1"/>
    <col min="11" max="13" width="9.140625" style="6"/>
    <col min="14" max="14" width="20" style="6" customWidth="1"/>
    <col min="15" max="15" width="15.7109375" style="6" customWidth="1"/>
    <col min="16" max="16384" width="9.140625" style="6"/>
  </cols>
  <sheetData>
    <row r="1" spans="1:28" x14ac:dyDescent="0.25">
      <c r="A1" s="22" t="s">
        <v>27</v>
      </c>
      <c r="B1" s="23" t="s">
        <v>28</v>
      </c>
      <c r="C1" s="23" t="s">
        <v>31</v>
      </c>
      <c r="D1" s="23" t="s">
        <v>32</v>
      </c>
      <c r="E1" s="23" t="s">
        <v>33</v>
      </c>
      <c r="F1" s="23" t="s">
        <v>34</v>
      </c>
      <c r="G1" s="23"/>
      <c r="H1" s="23"/>
      <c r="I1" s="23"/>
      <c r="J1" s="23"/>
      <c r="K1" s="23"/>
      <c r="L1" s="23" t="s">
        <v>77</v>
      </c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8" x14ac:dyDescent="0.25">
      <c r="A2" s="22"/>
      <c r="B2" s="23">
        <f>POWER(10,-'FB analysis'!B31/20)</f>
        <v>0.70882755233235428</v>
      </c>
      <c r="C2" s="23">
        <f>'FB analysis'!B29-('FB analysis'!B30)-90</f>
        <v>75.963674661481548</v>
      </c>
      <c r="D2" s="23">
        <f>TAN((C2/2+45)/(180/PI()))</f>
        <v>8.1230577681913889</v>
      </c>
      <c r="E2" s="23">
        <f>'FB analysis'!B28/D2</f>
        <v>123.10635090099224</v>
      </c>
      <c r="F2" s="23">
        <f>D2*'FB analysis'!B28</f>
        <v>8123.0577681913892</v>
      </c>
      <c r="G2" s="23"/>
      <c r="H2" s="23" t="s">
        <v>56</v>
      </c>
      <c r="I2" s="23"/>
      <c r="J2" s="23"/>
      <c r="K2" s="23"/>
      <c r="L2" s="23">
        <v>7.8E-2</v>
      </c>
      <c r="M2" s="24"/>
      <c r="N2" s="24"/>
      <c r="O2" s="25"/>
      <c r="P2" s="25"/>
      <c r="Q2" s="25"/>
      <c r="R2" s="25"/>
      <c r="S2" s="25"/>
      <c r="T2" s="25"/>
      <c r="U2" s="23"/>
      <c r="V2" s="23"/>
      <c r="W2" s="23"/>
      <c r="X2" s="23"/>
      <c r="Y2" s="23"/>
      <c r="Z2" s="23"/>
      <c r="AA2" s="23"/>
      <c r="AB2" s="23"/>
    </row>
    <row r="3" spans="1:28" x14ac:dyDescent="0.25">
      <c r="A3" s="22"/>
      <c r="B3" s="23" t="s">
        <v>35</v>
      </c>
      <c r="C3" s="23" t="s">
        <v>36</v>
      </c>
      <c r="D3" s="23" t="s">
        <v>37</v>
      </c>
      <c r="E3" s="23"/>
      <c r="F3" s="23"/>
      <c r="G3" s="23"/>
      <c r="H3" s="23" t="s">
        <v>35</v>
      </c>
      <c r="I3" s="23" t="s">
        <v>36</v>
      </c>
      <c r="J3" s="23" t="s">
        <v>37</v>
      </c>
      <c r="K3" s="23"/>
      <c r="L3" s="23" t="s">
        <v>84</v>
      </c>
      <c r="M3" s="23"/>
      <c r="N3" s="23" t="s">
        <v>82</v>
      </c>
      <c r="O3" s="23" t="s">
        <v>83</v>
      </c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 x14ac:dyDescent="0.25">
      <c r="A4" s="22"/>
      <c r="B4" s="26">
        <f>1/('FB analysis'!B33*1000*'FB analysis'!B34*0.000000001)</f>
        <v>773.50001520160902</v>
      </c>
      <c r="C4" s="26">
        <f>1/('FB analysis'!B33*1000*('FB analysis'!B34*0.000000001*'FB analysis'!B35*0.000000001/('FB analysis'!B34*0.000000001+'FB analysis'!B35*0.000000001)))</f>
        <v>51038.677218471137</v>
      </c>
      <c r="D4" s="26">
        <f>('FB analysis'!B33*1000*'FB analysis'!B34*0.000000001)/('FB analysis'!B34*0.000000001+'FB analysis'!B35*0.000000001)*(L4*'FB analysis'!B13)/('FB analysis'!B13*1000+'FB analysis'!B14*1000)</f>
        <v>0.70882755233235417</v>
      </c>
      <c r="E4" s="23"/>
      <c r="F4" s="23"/>
      <c r="G4" s="23"/>
      <c r="H4" s="26">
        <f>1/('FB analysis'!B37*1000*'FB analysis'!B38*0.000000001)</f>
        <v>773.25167795614107</v>
      </c>
      <c r="I4" s="26">
        <f>1/('FB analysis'!B37*1000*('FB analysis'!B38*0.000000001*'FB analysis'!B39*0.000000001/('FB analysis'!B38*0.000000001+'FB analysis'!B39*0.000000001)))</f>
        <v>50853.379883084337</v>
      </c>
      <c r="J4" s="26">
        <f>('FB analysis'!B37*1000*'FB analysis'!B38*0.000000001)/('FB analysis'!B38*0.000000001+'FB analysis'!B39*0.000000001)*(L4*'FB analysis'!B13)/('FB analysis'!B13*1000+'FB analysis'!B14*1000)</f>
        <v>0.70905203136136852</v>
      </c>
      <c r="K4" s="23"/>
      <c r="L4" s="23">
        <v>2</v>
      </c>
      <c r="M4" s="23"/>
      <c r="N4" s="27" t="s">
        <v>78</v>
      </c>
      <c r="O4" s="23">
        <v>8.4</v>
      </c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</row>
    <row r="5" spans="1:28" x14ac:dyDescent="0.25">
      <c r="A5" s="22"/>
      <c r="B5" s="28" t="s">
        <v>35</v>
      </c>
      <c r="C5" s="28" t="s">
        <v>36</v>
      </c>
      <c r="D5" s="28" t="s">
        <v>37</v>
      </c>
      <c r="E5" s="23"/>
      <c r="F5" s="23"/>
      <c r="G5" s="23"/>
      <c r="H5" s="28" t="s">
        <v>35</v>
      </c>
      <c r="I5" s="28" t="s">
        <v>36</v>
      </c>
      <c r="J5" s="28" t="s">
        <v>37</v>
      </c>
      <c r="K5" s="23"/>
      <c r="L5" s="23"/>
      <c r="M5" s="23"/>
      <c r="N5" s="27" t="s">
        <v>79</v>
      </c>
      <c r="O5" s="23">
        <v>14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8" x14ac:dyDescent="0.25">
      <c r="A6" s="22"/>
      <c r="B6" s="23" t="str">
        <f>COMPLEX(B4,0)</f>
        <v>773,500015201609</v>
      </c>
      <c r="C6" s="23" t="str">
        <f>COMPLEX(C4,0)</f>
        <v>51038,6772184711</v>
      </c>
      <c r="D6" s="23" t="str">
        <f>COMPLEX(D4,0)</f>
        <v>0,708827552332354</v>
      </c>
      <c r="E6" s="23"/>
      <c r="F6" s="23"/>
      <c r="G6" s="23"/>
      <c r="H6" s="23" t="str">
        <f>COMPLEX(H4,0)</f>
        <v>773,251677956141</v>
      </c>
      <c r="I6" s="23" t="str">
        <f>COMPLEX(I4,0)</f>
        <v>50853,3798830843</v>
      </c>
      <c r="J6" s="23" t="str">
        <f>COMPLEX(J4,0)</f>
        <v>0,709052031361369</v>
      </c>
      <c r="K6" s="23"/>
      <c r="L6" s="23"/>
      <c r="M6" s="23"/>
      <c r="N6" s="27" t="s">
        <v>80</v>
      </c>
      <c r="O6" s="23">
        <v>15.6</v>
      </c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 x14ac:dyDescent="0.25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7" t="s">
        <v>81</v>
      </c>
      <c r="O7" s="23">
        <v>26</v>
      </c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</row>
    <row r="8" spans="1:28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</row>
    <row r="9" spans="1:28" x14ac:dyDescent="0.25">
      <c r="A9" s="22" t="s">
        <v>25</v>
      </c>
      <c r="B9" s="23" t="s">
        <v>18</v>
      </c>
      <c r="C9" s="23" t="s">
        <v>19</v>
      </c>
      <c r="D9" s="23" t="s">
        <v>20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</row>
    <row r="10" spans="1:28" x14ac:dyDescent="0.25">
      <c r="A10" s="22"/>
      <c r="B10" s="23">
        <f>('FB analysis'!B18*1000+'FB analysis'!B19)/(('FB analysis'!B20+'FB analysis'!B21)+'FB analysis'!B19+'FB analysis'!B18*1000)</f>
        <v>0.99890208603653063</v>
      </c>
      <c r="C10" s="23">
        <f>1/('FB analysis'!B22*0.000001*('FB analysis'!B23+('FB analysis'!B19*'FB analysis'!B18*1000/('FB analysis'!B19+'FB analysis'!B18*1000))))</f>
        <v>11843.282416370428</v>
      </c>
      <c r="D10" s="23">
        <f>1/('FB analysis'!B22*0.000001*('FB analysis'!B23+(('FB analysis'!B19+'FB analysis'!B20+'FB analysis'!B21)*'FB analysis'!B18*1000/(('FB analysis'!B19+'FB analysis'!B20+'FB analysis'!B21)+'FB analysis'!B18*1000))))</f>
        <v>5150.9303832659298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</row>
    <row r="11" spans="1:28" x14ac:dyDescent="0.25">
      <c r="A11" s="22"/>
      <c r="B11" s="28" t="s">
        <v>18</v>
      </c>
      <c r="C11" s="28" t="s">
        <v>19</v>
      </c>
      <c r="D11" s="28" t="s">
        <v>20</v>
      </c>
      <c r="E11" s="23"/>
      <c r="F11" s="23"/>
      <c r="G11" s="23"/>
      <c r="H11" s="28"/>
      <c r="I11" s="28"/>
      <c r="J11" s="28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</row>
    <row r="12" spans="1:28" x14ac:dyDescent="0.25">
      <c r="A12" s="23"/>
      <c r="B12" s="23" t="str">
        <f>COMPLEX(B10,0)</f>
        <v>0,998902086036531</v>
      </c>
      <c r="C12" s="23" t="str">
        <f>COMPLEX(C10,0)</f>
        <v>11843,2824163704</v>
      </c>
      <c r="D12" s="23" t="str">
        <f>COMPLEX(D10,0)</f>
        <v>5150,93038326593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</row>
    <row r="13" spans="1:28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</row>
    <row r="14" spans="1:28" x14ac:dyDescent="0.2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</row>
    <row r="15" spans="1:28" x14ac:dyDescent="0.2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</row>
    <row r="16" spans="1:28" x14ac:dyDescent="0.2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</row>
    <row r="17" spans="1:28" x14ac:dyDescent="0.25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</row>
    <row r="18" spans="1:28" x14ac:dyDescent="0.25">
      <c r="A18" s="23" t="s">
        <v>26</v>
      </c>
      <c r="B18" s="26" t="s">
        <v>2</v>
      </c>
      <c r="C18" s="23" t="s">
        <v>14</v>
      </c>
      <c r="D18" s="23" t="s">
        <v>3</v>
      </c>
      <c r="E18" s="23" t="s">
        <v>0</v>
      </c>
      <c r="F18" s="23" t="s">
        <v>4</v>
      </c>
      <c r="G18" s="23" t="s">
        <v>15</v>
      </c>
      <c r="H18" s="23" t="s">
        <v>16</v>
      </c>
      <c r="I18" s="23" t="s">
        <v>17</v>
      </c>
      <c r="J18" s="23" t="s">
        <v>5</v>
      </c>
      <c r="K18" s="23" t="s">
        <v>6</v>
      </c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</row>
    <row r="19" spans="1:28" x14ac:dyDescent="0.25">
      <c r="A19" s="23"/>
      <c r="B19" s="29">
        <f>1/('FB analysis'!B5*1000)</f>
        <v>1.6666666666666667E-5</v>
      </c>
      <c r="C19" s="30">
        <f>('FB analysis'!B8-'FB analysis'!B9)/('FB analysis'!B6*0.001)</f>
        <v>111000</v>
      </c>
      <c r="D19" s="30">
        <f>1+('FB analysis'!B12*1000/C19)</f>
        <v>1.0756756756756758</v>
      </c>
      <c r="E19" s="23">
        <f>'FB analysis'!B9/'FB analysis'!B8</f>
        <v>0.112</v>
      </c>
      <c r="F19" s="23">
        <f>(L2*'FB analysis'!B7/'FB analysis'!B15)*1/(1+('FB analysis'!B7*B19/('FB analysis'!B6*0.001))*(D19*(1-E19)-0.5))</f>
        <v>6.3538611925708697</v>
      </c>
      <c r="G19" s="31">
        <f>20*LOG(F19)</f>
        <v>16.060754458613907</v>
      </c>
      <c r="H19" s="26">
        <f>1/('FB analysis'!B10*'FB analysis'!B11*0.000001)</f>
        <v>250000</v>
      </c>
      <c r="I19" s="23">
        <f>(1/('FB analysis'!B7*'FB analysis'!B11*0.000001))+((B19/('FB analysis'!B6*0.001*'FB analysis'!B11*0.000001))*(D19*(1-E19)-0.5))</f>
        <v>2046.0000000000002</v>
      </c>
      <c r="J19" s="30">
        <f>PI()/B19</f>
        <v>188495.55921538759</v>
      </c>
      <c r="K19" s="31">
        <f>1/(PI()*(D19*(1-E19)-0.5))</f>
        <v>0.69927479390112168</v>
      </c>
      <c r="L19" s="23">
        <v>1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</row>
    <row r="20" spans="1:28" x14ac:dyDescent="0.25">
      <c r="A20" s="23"/>
      <c r="B20" s="32" t="s">
        <v>2</v>
      </c>
      <c r="C20" s="28" t="s">
        <v>14</v>
      </c>
      <c r="D20" s="28" t="s">
        <v>3</v>
      </c>
      <c r="E20" s="28" t="s">
        <v>0</v>
      </c>
      <c r="F20" s="28" t="s">
        <v>4</v>
      </c>
      <c r="G20" s="28" t="s">
        <v>15</v>
      </c>
      <c r="H20" s="28" t="s">
        <v>16</v>
      </c>
      <c r="I20" s="28" t="s">
        <v>17</v>
      </c>
      <c r="J20" s="28" t="s">
        <v>5</v>
      </c>
      <c r="K20" s="28" t="s">
        <v>6</v>
      </c>
      <c r="L20" s="28">
        <v>1</v>
      </c>
      <c r="M20" s="23"/>
      <c r="N20" s="2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</row>
    <row r="21" spans="1:28" x14ac:dyDescent="0.25">
      <c r="A21" s="23"/>
      <c r="B21" s="26" t="str">
        <f t="shared" ref="B21:L21" si="0">COMPLEX(B19,0)</f>
        <v>0,0000166666666666667</v>
      </c>
      <c r="C21" s="23" t="str">
        <f t="shared" si="0"/>
        <v>111000</v>
      </c>
      <c r="D21" s="23" t="str">
        <f t="shared" si="0"/>
        <v>1,07567567567568</v>
      </c>
      <c r="E21" s="23" t="str">
        <f t="shared" si="0"/>
        <v>0,112</v>
      </c>
      <c r="F21" s="23" t="str">
        <f t="shared" si="0"/>
        <v>6,35386119257087</v>
      </c>
      <c r="G21" s="23" t="str">
        <f t="shared" si="0"/>
        <v>16,0607544586139</v>
      </c>
      <c r="H21" s="23" t="str">
        <f t="shared" si="0"/>
        <v>250000</v>
      </c>
      <c r="I21" s="23" t="str">
        <f t="shared" si="0"/>
        <v>2046</v>
      </c>
      <c r="J21" s="34" t="str">
        <f t="shared" si="0"/>
        <v>188495,559215388</v>
      </c>
      <c r="K21" s="23" t="str">
        <f t="shared" si="0"/>
        <v>0,699274793901122</v>
      </c>
      <c r="L21" s="23" t="str">
        <f t="shared" si="0"/>
        <v>1</v>
      </c>
      <c r="M21" s="23"/>
      <c r="N21" s="2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</row>
    <row r="22" spans="1:28" x14ac:dyDescent="0.25">
      <c r="A22" s="23"/>
      <c r="B22" s="26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33"/>
      <c r="P22" s="43" t="s">
        <v>57</v>
      </c>
      <c r="Q22" s="43"/>
      <c r="R22" s="43"/>
      <c r="S22" s="43"/>
      <c r="T22" s="43"/>
      <c r="U22" s="43"/>
      <c r="V22" s="43" t="s">
        <v>58</v>
      </c>
      <c r="W22" s="43"/>
      <c r="X22" s="43"/>
      <c r="Y22" s="43"/>
      <c r="Z22" s="43"/>
      <c r="AA22" s="43"/>
      <c r="AB22" s="33"/>
    </row>
    <row r="23" spans="1:28" x14ac:dyDescent="0.25">
      <c r="A23" s="23"/>
      <c r="B23" s="23" t="s">
        <v>1</v>
      </c>
      <c r="C23" s="35" t="s">
        <v>7</v>
      </c>
      <c r="D23" s="23" t="s">
        <v>8</v>
      </c>
      <c r="E23" s="23" t="s">
        <v>9</v>
      </c>
      <c r="F23" s="23" t="s">
        <v>10</v>
      </c>
      <c r="G23" s="23" t="s">
        <v>11</v>
      </c>
      <c r="H23" s="23" t="s">
        <v>12</v>
      </c>
      <c r="I23" s="23" t="s">
        <v>13</v>
      </c>
      <c r="J23" s="23" t="s">
        <v>21</v>
      </c>
      <c r="K23" s="23" t="s">
        <v>22</v>
      </c>
      <c r="L23" s="23" t="s">
        <v>13</v>
      </c>
      <c r="M23" s="23" t="s">
        <v>23</v>
      </c>
      <c r="N23" s="23" t="s">
        <v>24</v>
      </c>
      <c r="O23" s="33" t="s">
        <v>43</v>
      </c>
      <c r="P23" s="33" t="s">
        <v>38</v>
      </c>
      <c r="Q23" s="33" t="s">
        <v>39</v>
      </c>
      <c r="R23" s="33" t="s">
        <v>13</v>
      </c>
      <c r="S23" s="33" t="s">
        <v>40</v>
      </c>
      <c r="T23" s="33" t="s">
        <v>41</v>
      </c>
      <c r="U23" s="33" t="s">
        <v>42</v>
      </c>
      <c r="V23" s="33" t="s">
        <v>38</v>
      </c>
      <c r="W23" s="33" t="s">
        <v>39</v>
      </c>
      <c r="X23" s="33" t="s">
        <v>13</v>
      </c>
      <c r="Y23" s="33" t="s">
        <v>40</v>
      </c>
      <c r="Z23" s="33" t="s">
        <v>41</v>
      </c>
      <c r="AA23" s="33" t="s">
        <v>42</v>
      </c>
      <c r="AB23" s="33"/>
    </row>
    <row r="24" spans="1:28" x14ac:dyDescent="0.25">
      <c r="A24" s="23">
        <v>0</v>
      </c>
      <c r="B24" s="23">
        <f>EXP(((A24)*((LN('FB analysis'!$B$26*1000)-LN('FB analysis'!$B$25))/50))+LN('FB analysis'!$B$25))</f>
        <v>10.000000000000002</v>
      </c>
      <c r="C24" s="36" t="str">
        <f t="shared" ref="C24:C55" si="1">COMPLEX(0,(2*PI()*B24))</f>
        <v>62,8318530717959i</v>
      </c>
      <c r="D24" s="23" t="str">
        <f t="shared" ref="D24:D55" si="2">IMSUM(L$21,IMDIV(C24,H$21))</f>
        <v>1+0,000251327412287184i</v>
      </c>
      <c r="E24" s="23" t="str">
        <f t="shared" ref="E24:E55" si="3">IMSUM(L$21,IMDIV(C24,I$21))</f>
        <v>1+0,0307096056069384i</v>
      </c>
      <c r="F24" s="23" t="str">
        <f>IMDIV(C24,IMPRODUCT(J$21,K$21))</f>
        <v>0,000476684325304691i</v>
      </c>
      <c r="G24" s="23" t="str">
        <f t="shared" ref="G24:G55" si="4">IMPRODUCT(IMPRODUCT(F$21,IMDIV(D24,E24)),IMDIV(L$21,IMSUM(L$21,F24,IMPOWER(IMDIV(C24,J$21),2))))</f>
        <v>6,34783073189833-0,196371264950566i</v>
      </c>
      <c r="H24" s="23">
        <f t="shared" ref="H24:H55" si="5">20*LOG((IMABS(G24)))</f>
        <v>16.056660897428095</v>
      </c>
      <c r="I24" s="23">
        <f t="shared" ref="I24:I55" si="6">IMARGUMENT(G24)*180/PI()</f>
        <v>-1.771889979805279</v>
      </c>
      <c r="J24" s="23" t="str">
        <f>IMPRODUCT(Sheet1!$B$12,IMDIV(IMSUM($L$21,IMDIV(C24,Sheet1!$C$12)),IMSUM($L$21,IMDIV(C24,Sheet1!$D$12))))</f>
        <v>0,998818110386872-0,00688429043763908i</v>
      </c>
      <c r="K24" s="23">
        <f t="shared" ref="K24:K55" si="7">20*LOG((IMABS(J24)))</f>
        <v>-1.0065524374811664E-2</v>
      </c>
      <c r="L24" s="23">
        <f t="shared" ref="L24:L55" si="8">IMARGUMENT(J24)*180/PI()</f>
        <v>-0.39490127084778887</v>
      </c>
      <c r="M24" s="23" t="str">
        <f t="shared" ref="M24:M55" si="9">IMPRODUCT(G24,J24)</f>
        <v>6,33897641986888-0,239839486199563i</v>
      </c>
      <c r="N24" s="23">
        <f t="shared" ref="N24:N55" si="10">20*LOG((IMABS(M24)))</f>
        <v>16.046595373053286</v>
      </c>
      <c r="O24" s="23">
        <f t="shared" ref="O24:O55" si="11">IMARGUMENT(M24)*180/PI()</f>
        <v>-2.1667912506530644</v>
      </c>
      <c r="P24" s="23" t="str">
        <f>IMPRODUCT(-Sheet1!$D$6,IMDIV(IMSUM(COMPLEX(1,0),IMDIV(Sheet1!$B$6,C24)),IMSUM(COMPLEX(1,0),IMDIV(C24,Sheet1!$C$6))))</f>
        <v>-0,69808408974294+8,72697672442094i</v>
      </c>
      <c r="Q24" s="23">
        <f t="shared" ref="Q24:Q55" si="12">20*LOG((IMABS(P24)))</f>
        <v>18.84497677621485</v>
      </c>
      <c r="R24" s="23">
        <f t="shared" ref="R24:R55" si="13">IMARGUMENT(P24)*180/PI()</f>
        <v>94.573438197708043</v>
      </c>
      <c r="S24" s="23" t="str">
        <f t="shared" ref="S24:S55" si="14">IMPRODUCT(J24,G24,P24)</f>
        <v>-2,33206497030546+55,4875278022569i</v>
      </c>
      <c r="T24" s="23">
        <f t="shared" ref="T24:T55" si="15">20*LOG((IMABS(S24)))</f>
        <v>34.891572149268136</v>
      </c>
      <c r="U24" s="23">
        <f t="shared" ref="U24:U55" si="16">IMARGUMENT(S24)*180/PI()</f>
        <v>92.406646947054981</v>
      </c>
      <c r="V24" s="23" t="str">
        <f>IMPRODUCT(-Sheet1!$J$6,IMDIV(IMSUM(COMPLEX(1,0),IMDIV(Sheet1!$H$6,C24)),IMSUM(COMPLEX(1,0),IMDIV(C24,Sheet1!$I$6))))</f>
        <v>-0,698269466225742+8,72694109991575i</v>
      </c>
      <c r="W24" s="23">
        <f>20*LOG((IMABS(V24)))</f>
        <v>18.844956211731628</v>
      </c>
      <c r="X24" s="23">
        <f>IMARGUMENT(V24)*180/PI()</f>
        <v>94.574666116763581</v>
      </c>
      <c r="Y24" s="23" t="str">
        <f>IMPRODUCT(J24,G24,V24)</f>
        <v>-2,33324861162176+55,4873464399589i</v>
      </c>
      <c r="Z24" s="23">
        <f>20*LOG((IMABS(Y24)))</f>
        <v>34.891551584784906</v>
      </c>
      <c r="AA24" s="23">
        <f>IMARGUMENT(Y24)*180/PI()</f>
        <v>92.407874866110504</v>
      </c>
      <c r="AB24" s="23"/>
    </row>
    <row r="25" spans="1:28" x14ac:dyDescent="0.25">
      <c r="A25" s="23">
        <f t="shared" ref="A25:A56" si="17">A24+1</f>
        <v>1</v>
      </c>
      <c r="B25" s="23">
        <f>EXP(((A25)*((LN('FB analysis'!$B$26*1000)-LN('FB analysis'!$B$25))/50))+LN('FB analysis'!$B$25))</f>
        <v>11.481536214968829</v>
      </c>
      <c r="C25" s="36" t="str">
        <f t="shared" si="1"/>
        <v>72,1406196497425i</v>
      </c>
      <c r="D25" s="23" t="str">
        <f t="shared" si="2"/>
        <v>1+0,00028856247859897i</v>
      </c>
      <c r="E25" s="23" t="str">
        <f t="shared" si="3"/>
        <v>1+0,0352593448923473i</v>
      </c>
      <c r="F25" s="23" t="str">
        <f t="shared" ref="F25:F55" si="18">IMDIV(C25,IMPRODUCT(J$21,K$21))</f>
        <v>0,000547306834409379i</v>
      </c>
      <c r="G25" s="23" t="str">
        <f t="shared" si="4"/>
        <v>6,3459138802215-0,225396792138751i</v>
      </c>
      <c r="H25" s="23">
        <f t="shared" si="5"/>
        <v>16.055358903084819</v>
      </c>
      <c r="I25" s="23">
        <f t="shared" si="6"/>
        <v>-2.03420004602257</v>
      </c>
      <c r="J25" s="23" t="str">
        <f>IMPRODUCT(Sheet1!$B$12,IMDIV(IMSUM($L$21,IMDIV(C25,Sheet1!$C$12)),IMSUM($L$21,IMDIV(C25,Sheet1!$D$12))))</f>
        <v>0,998791389811735-0,00790384876621374i</v>
      </c>
      <c r="K25" s="23">
        <f t="shared" si="7"/>
        <v>-1.0232247901447349E-2</v>
      </c>
      <c r="L25" s="23">
        <f t="shared" si="8"/>
        <v>-0.45339570227739312</v>
      </c>
      <c r="M25" s="23" t="str">
        <f t="shared" si="9"/>
        <v>6,33646264189456-0,275281518872057i</v>
      </c>
      <c r="N25" s="23">
        <f t="shared" si="10"/>
        <v>16.045126655183374</v>
      </c>
      <c r="O25" s="23">
        <f t="shared" si="11"/>
        <v>-2.4875957482999604</v>
      </c>
      <c r="P25" s="23" t="str">
        <f>IMPRODUCT(-Sheet1!$D$6,IMDIV(IMSUM(COMPLEX(1,0),IMDIV(Sheet1!$B$6,C25)),IMSUM(COMPLEX(1,0),IMDIV(C25,Sheet1!$C$6))))</f>
        <v>-0,698083753041173+7,60111719007946i</v>
      </c>
      <c r="Q25" s="23">
        <f t="shared" si="12"/>
        <v>17.654025589298691</v>
      </c>
      <c r="R25" s="23">
        <f t="shared" si="13"/>
        <v>95.247303124314755</v>
      </c>
      <c r="S25" s="23" t="str">
        <f t="shared" si="14"/>
        <v>-2,33093453684936+48,3563646674381i</v>
      </c>
      <c r="T25" s="23">
        <f t="shared" si="15"/>
        <v>33.699152244482065</v>
      </c>
      <c r="U25" s="23">
        <f t="shared" si="16"/>
        <v>92.759707376014774</v>
      </c>
      <c r="V25" s="23" t="str">
        <f>IMPRODUCT(-Sheet1!$J$6,IMDIV(IMSUM(COMPLEX(1,0),IMDIV(Sheet1!$H$6,C25)),IMSUM(COMPLEX(1,0),IMDIV(C25,Sheet1!$I$6))))</f>
        <v>-0,698269126975727+7,60108709390617i</v>
      </c>
      <c r="W25" s="23">
        <f t="shared" ref="W25:W74" si="19">20*LOG((IMABS(V25)))</f>
        <v>17.654010779870944</v>
      </c>
      <c r="X25" s="23">
        <f t="shared" ref="X25:X74" si="20">IMARGUMENT(V25)*180/PI()</f>
        <v>95.248709413585345</v>
      </c>
      <c r="Y25" s="23" t="str">
        <f t="shared" ref="Y25:Y74" si="21">IMPRODUCT(J25,G25,V25)</f>
        <v>-2,33211743678074+48,3562249941787i</v>
      </c>
      <c r="Z25" s="23">
        <f t="shared" ref="Z25:Z74" si="22">20*LOG((IMABS(Y25)))</f>
        <v>33.699137435054325</v>
      </c>
      <c r="AA25" s="23">
        <f t="shared" ref="AA25:AA74" si="23">IMARGUMENT(Y25)*180/PI()</f>
        <v>92.761113665285379</v>
      </c>
      <c r="AB25" s="23"/>
    </row>
    <row r="26" spans="1:28" x14ac:dyDescent="0.25">
      <c r="A26" s="23">
        <f t="shared" si="17"/>
        <v>2</v>
      </c>
      <c r="B26" s="23">
        <f>EXP(((A26)*((LN('FB analysis'!$B$26*1000)-LN('FB analysis'!$B$25))/50))+LN('FB analysis'!$B$25))</f>
        <v>13.182567385564075</v>
      </c>
      <c r="C26" s="36" t="str">
        <f t="shared" si="1"/>
        <v>82,828513707881i</v>
      </c>
      <c r="D26" s="23" t="str">
        <f t="shared" si="2"/>
        <v>1+0,000331314054831524i</v>
      </c>
      <c r="E26" s="23" t="str">
        <f t="shared" si="3"/>
        <v>1+0,0404831445297561i</v>
      </c>
      <c r="F26" s="23" t="str">
        <f t="shared" si="18"/>
        <v>0,000628392323997123i</v>
      </c>
      <c r="G26" s="23" t="str">
        <f t="shared" si="4"/>
        <v>6,34338873293502-0,258687917359499i</v>
      </c>
      <c r="H26" s="23">
        <f t="shared" si="5"/>
        <v>16.05364313656332</v>
      </c>
      <c r="I26" s="23">
        <f t="shared" si="6"/>
        <v>-2.3352687629249012</v>
      </c>
      <c r="J26" s="23" t="str">
        <f>IMPRODUCT(Sheet1!$B$12,IMDIV(IMSUM($L$21,IMDIV(C26,Sheet1!$C$12)),IMSUM($L$21,IMDIV(C26,Sheet1!$D$12))))</f>
        <v>0,998756169099495-0,00907426622501913i</v>
      </c>
      <c r="K26" s="23">
        <f t="shared" si="7"/>
        <v>-1.0452017970801003E-2</v>
      </c>
      <c r="L26" s="23">
        <f t="shared" si="8"/>
        <v>-0.52055032820464531</v>
      </c>
      <c r="M26" s="23" t="str">
        <f t="shared" si="9"/>
        <v>6,33315122698376-0,315927751465739i</v>
      </c>
      <c r="N26" s="23">
        <f t="shared" si="10"/>
        <v>16.043191118592514</v>
      </c>
      <c r="O26" s="23">
        <f t="shared" si="11"/>
        <v>-2.8558190911295473</v>
      </c>
      <c r="P26" s="23" t="str">
        <f>IMPRODUCT(-Sheet1!$D$6,IMDIV(IMSUM(COMPLEX(1,0),IMDIV(Sheet1!$B$6,C26)),IMSUM(COMPLEX(1,0),IMDIV(C26,Sheet1!$C$6))))</f>
        <v>-0,698083309182295+6,62056982003379i</v>
      </c>
      <c r="Q26" s="23">
        <f t="shared" si="12"/>
        <v>16.465925498244584</v>
      </c>
      <c r="R26" s="23">
        <f t="shared" si="13"/>
        <v>96.019116288463323</v>
      </c>
      <c r="S26" s="23" t="str">
        <f t="shared" si="14"/>
        <v>-2,32944542941953+42,1496137692844i</v>
      </c>
      <c r="T26" s="23">
        <f t="shared" si="15"/>
        <v>32.509116616837105</v>
      </c>
      <c r="U26" s="23">
        <f t="shared" si="16"/>
        <v>93.163297197333776</v>
      </c>
      <c r="V26" s="23" t="str">
        <f>IMPRODUCT(-Sheet1!$J$6,IMDIV(IMSUM(COMPLEX(1,0),IMDIV(Sheet1!$H$6,C26)),IMSUM(COMPLEX(1,0),IMDIV(C26,Sheet1!$I$6))))</f>
        <v>-0,698268679757611+6,62054467683401i</v>
      </c>
      <c r="W26" s="23">
        <f t="shared" si="19"/>
        <v>16.465918238833389</v>
      </c>
      <c r="X26" s="23">
        <f t="shared" si="20"/>
        <v>96.020725576648005</v>
      </c>
      <c r="Y26" s="23" t="str">
        <f t="shared" si="21"/>
        <v>-2,33062735274061+42,1495130973069i</v>
      </c>
      <c r="Z26" s="23">
        <f t="shared" si="22"/>
        <v>32.509109357425906</v>
      </c>
      <c r="AA26" s="23">
        <f t="shared" si="23"/>
        <v>93.164906485518458</v>
      </c>
      <c r="AB26" s="23"/>
    </row>
    <row r="27" spans="1:28" x14ac:dyDescent="0.25">
      <c r="A27" s="23">
        <f t="shared" si="17"/>
        <v>3</v>
      </c>
      <c r="B27" s="23">
        <f>EXP(((A27)*((LN('FB analysis'!$B$26*1000)-LN('FB analysis'!$B$25))/50))+LN('FB analysis'!$B$25))</f>
        <v>15.135612484362087</v>
      </c>
      <c r="C27" s="36" t="str">
        <f t="shared" si="1"/>
        <v>95,0998579769078i</v>
      </c>
      <c r="D27" s="23" t="str">
        <f t="shared" si="2"/>
        <v>1+0,000380399431907631i</v>
      </c>
      <c r="E27" s="23" t="str">
        <f t="shared" si="3"/>
        <v>1+0,0464808690014212i</v>
      </c>
      <c r="F27" s="23" t="str">
        <f t="shared" si="18"/>
        <v>0,00072149092251814i</v>
      </c>
      <c r="G27" s="23" t="str">
        <f t="shared" si="4"/>
        <v>6,34006298725762-0,296858885747161i</v>
      </c>
      <c r="H27" s="23">
        <f t="shared" si="5"/>
        <v>16.051382351187268</v>
      </c>
      <c r="I27" s="23">
        <f t="shared" si="6"/>
        <v>-2.6807853196561355</v>
      </c>
      <c r="J27" s="23" t="str">
        <f>IMPRODUCT(Sheet1!$B$12,IMDIV(IMSUM($L$21,IMDIV(C27,Sheet1!$C$12)),IMSUM($L$21,IMDIV(C27,Sheet1!$D$12))))</f>
        <v>0,998709745875284-0,0104177945326434i</v>
      </c>
      <c r="K27" s="23">
        <f t="shared" si="7"/>
        <v>-1.0741706423463625E-2</v>
      </c>
      <c r="L27" s="23">
        <f t="shared" si="8"/>
        <v>-0.59764512444080942</v>
      </c>
      <c r="M27" s="23" t="str">
        <f t="shared" si="9"/>
        <v>6,32879007996045-0,362525335870634i</v>
      </c>
      <c r="N27" s="23">
        <f t="shared" si="10"/>
        <v>16.040640644763808</v>
      </c>
      <c r="O27" s="23">
        <f t="shared" si="11"/>
        <v>-3.2784304440969403</v>
      </c>
      <c r="P27" s="23" t="str">
        <f>IMPRODUCT(-Sheet1!$D$6,IMDIV(IMSUM(COMPLEX(1,0),IMDIV(Sheet1!$B$6,C27)),IMSUM(COMPLEX(1,0),IMDIV(C27,Sheet1!$C$6))))</f>
        <v>-0,6980827240632+5,76658928271389i</v>
      </c>
      <c r="Q27" s="23">
        <f t="shared" si="12"/>
        <v>15.281562951745894</v>
      </c>
      <c r="R27" s="23">
        <f t="shared" si="13"/>
        <v>96.90243579078026</v>
      </c>
      <c r="S27" s="23" t="str">
        <f t="shared" si="14"/>
        <v>-2,32748430249909+36,7486057216524i</v>
      </c>
      <c r="T27" s="23">
        <f t="shared" si="15"/>
        <v>31.322203596509695</v>
      </c>
      <c r="U27" s="23">
        <f t="shared" si="16"/>
        <v>93.624005346683333</v>
      </c>
      <c r="V27" s="23" t="str">
        <f>IMPRODUCT(-Sheet1!$J$6,IMDIV(IMSUM(COMPLEX(1,0),IMDIV(Sheet1!$H$6,C27)),IMSUM(COMPLEX(1,0),IMDIV(C27,Sheet1!$I$6))))</f>
        <v>-0,698268090210191+5,76656861181456i</v>
      </c>
      <c r="W27" s="23">
        <f t="shared" si="19"/>
        <v>15.281565582083825</v>
      </c>
      <c r="X27" s="23">
        <f t="shared" si="20"/>
        <v>96.904275457603717</v>
      </c>
      <c r="Y27" s="23" t="str">
        <f t="shared" si="21"/>
        <v>-2,32866493965605+36,7485420997945i</v>
      </c>
      <c r="Z27" s="23">
        <f t="shared" si="22"/>
        <v>31.322206226847634</v>
      </c>
      <c r="AA27" s="23">
        <f t="shared" si="23"/>
        <v>93.625845013506776</v>
      </c>
      <c r="AB27" s="23"/>
    </row>
    <row r="28" spans="1:28" x14ac:dyDescent="0.25">
      <c r="A28" s="23">
        <f t="shared" si="17"/>
        <v>4</v>
      </c>
      <c r="B28" s="23">
        <f>EXP(((A28)*((LN('FB analysis'!$B$26*1000)-LN('FB analysis'!$B$25))/50))+LN('FB analysis'!$B$25))</f>
        <v>17.378008287493756</v>
      </c>
      <c r="C28" s="36" t="str">
        <f t="shared" si="1"/>
        <v>109,189246340026i</v>
      </c>
      <c r="D28" s="23" t="str">
        <f t="shared" si="2"/>
        <v>1+0,000436756985360104i</v>
      </c>
      <c r="E28" s="23" t="str">
        <f t="shared" si="3"/>
        <v>1+0,053367178074304i</v>
      </c>
      <c r="F28" s="23" t="str">
        <f t="shared" si="18"/>
        <v>0,00082838241556633i</v>
      </c>
      <c r="G28" s="23" t="str">
        <f t="shared" si="4"/>
        <v>6,33568408677745-0,340605915398165i</v>
      </c>
      <c r="H28" s="23">
        <f t="shared" si="5"/>
        <v>16.04840385303438</v>
      </c>
      <c r="I28" s="23">
        <f t="shared" si="6"/>
        <v>-3.0772546628989068</v>
      </c>
      <c r="J28" s="23" t="str">
        <f>IMPRODUCT(Sheet1!$B$12,IMDIV(IMSUM($L$21,IMDIV(C28,Sheet1!$C$12)),IMSUM($L$21,IMDIV(C28,Sheet1!$D$12))))</f>
        <v>0,998648559817058-0,0119599315006925i</v>
      </c>
      <c r="K28" s="23">
        <f t="shared" si="7"/>
        <v>-1.1123546875993939E-2</v>
      </c>
      <c r="L28" s="23">
        <f t="shared" si="8"/>
        <v>-0.68614812785270562</v>
      </c>
      <c r="M28" s="23" t="str">
        <f t="shared" si="9"/>
        <v>6,32304816529926-0,415919954565434i</v>
      </c>
      <c r="N28" s="23">
        <f t="shared" si="10"/>
        <v>16.037280306158387</v>
      </c>
      <c r="O28" s="23">
        <f t="shared" si="11"/>
        <v>-3.7634027907516128</v>
      </c>
      <c r="P28" s="23" t="str">
        <f>IMPRODUCT(-Sheet1!$D$6,IMDIV(IMSUM(COMPLEX(1,0),IMDIV(Sheet1!$B$6,C28)),IMSUM(COMPLEX(1,0),IMDIV(C28,Sheet1!$C$6))))</f>
        <v>-0,69808195272751+5,02284985137342i</v>
      </c>
      <c r="Q28" s="23">
        <f t="shared" si="12"/>
        <v>14.10209142831059</v>
      </c>
      <c r="R28" s="23">
        <f t="shared" si="13"/>
        <v>97.912354410302839</v>
      </c>
      <c r="S28" s="23" t="str">
        <f t="shared" si="14"/>
        <v>-2,32490232844998+32,0500677513617i</v>
      </c>
      <c r="T28" s="23">
        <f t="shared" si="15"/>
        <v>30.139371734468966</v>
      </c>
      <c r="U28" s="23">
        <f t="shared" si="16"/>
        <v>94.148951619551241</v>
      </c>
      <c r="V28" s="23" t="str">
        <f>IMPRODUCT(-Sheet1!$J$6,IMDIV(IMSUM(COMPLEX(1,0),IMDIV(Sheet1!$H$6,C28)),IMSUM(COMPLEX(1,0),IMDIV(C28,Sheet1!$I$6))))</f>
        <v>-0,698267313036854+5,02283325759673i</v>
      </c>
      <c r="W28" s="23">
        <f t="shared" si="19"/>
        <v>14.102106987410284</v>
      </c>
      <c r="X28" s="23">
        <f t="shared" si="20"/>
        <v>97.914454557518468</v>
      </c>
      <c r="Y28" s="23" t="str">
        <f t="shared" si="21"/>
        <v>-2,32608127229674+32,0500399231639i</v>
      </c>
      <c r="Z28" s="23">
        <f t="shared" si="22"/>
        <v>30.139387293568664</v>
      </c>
      <c r="AA28" s="23">
        <f t="shared" si="23"/>
        <v>94.151051766766841</v>
      </c>
      <c r="AB28" s="23"/>
    </row>
    <row r="29" spans="1:28" x14ac:dyDescent="0.25">
      <c r="A29" s="23">
        <f t="shared" si="17"/>
        <v>5</v>
      </c>
      <c r="B29" s="23">
        <f>EXP(((A29)*((LN('FB analysis'!$B$26*1000)-LN('FB analysis'!$B$25))/50))+LN('FB analysis'!$B$25))</f>
        <v>19.952623149688797</v>
      </c>
      <c r="C29" s="36" t="str">
        <f t="shared" si="1"/>
        <v>125,366028613816i</v>
      </c>
      <c r="D29" s="23" t="str">
        <f t="shared" si="2"/>
        <v>1+0,000501464114455264i</v>
      </c>
      <c r="E29" s="23" t="str">
        <f t="shared" si="3"/>
        <v>1+0,0612737187750811i</v>
      </c>
      <c r="F29" s="23" t="str">
        <f t="shared" si="18"/>
        <v>0,000951110270416816i</v>
      </c>
      <c r="G29" s="23" t="str">
        <f t="shared" si="4"/>
        <v>6,32992073866056-0,390714773822461i</v>
      </c>
      <c r="H29" s="23">
        <f t="shared" si="5"/>
        <v>16.044480546912343</v>
      </c>
      <c r="I29" s="23">
        <f t="shared" si="6"/>
        <v>-3.5321045527637436</v>
      </c>
      <c r="J29" s="23" t="str">
        <f>IMPRODUCT(Sheet1!$B$12,IMDIV(IMSUM($L$21,IMDIV(C29,Sheet1!$C$12)),IMSUM($L$21,IMDIV(C29,Sheet1!$D$12))))</f>
        <v>0,998567921156719-0,013729876039626i</v>
      </c>
      <c r="K29" s="23">
        <f t="shared" si="7"/>
        <v>-1.1626835392112256E-2</v>
      </c>
      <c r="L29" s="23">
        <f t="shared" si="8"/>
        <v>-0.78774249219595815</v>
      </c>
      <c r="M29" s="23" t="str">
        <f t="shared" si="9"/>
        <v>6,31549132767964-0,47706426654358i</v>
      </c>
      <c r="N29" s="23">
        <f t="shared" si="10"/>
        <v>16.032853711520222</v>
      </c>
      <c r="O29" s="23">
        <f t="shared" si="11"/>
        <v>-4.3198470449597064</v>
      </c>
      <c r="P29" s="23" t="str">
        <f>IMPRODUCT(-Sheet1!$D$6,IMDIV(IMSUM(COMPLEX(1,0),IMDIV(Sheet1!$B$6,C29)),IMSUM(COMPLEX(1,0),IMDIV(C29,Sheet1!$C$6))))</f>
        <v>-0,698080935911643+4,37513330167778i</v>
      </c>
      <c r="Q29" s="23">
        <f t="shared" si="12"/>
        <v>12.929005733889767</v>
      </c>
      <c r="R29" s="23">
        <f t="shared" si="13"/>
        <v>99.065498540853199</v>
      </c>
      <c r="S29" s="23" t="str">
        <f t="shared" si="14"/>
        <v>-2,32150433717317+27,9641458938672i</v>
      </c>
      <c r="T29" s="23">
        <f t="shared" si="15"/>
        <v>28.961859445410006</v>
      </c>
      <c r="U29" s="23">
        <f t="shared" si="16"/>
        <v>94.745651495893483</v>
      </c>
      <c r="V29" s="23" t="str">
        <f>IMPRODUCT(-Sheet1!$J$6,IMDIV(IMSUM(COMPLEX(1,0),IMDIV(Sheet1!$H$6,C29)),IMSUM(COMPLEX(1,0),IMDIV(C29,Sheet1!$I$6))))</f>
        <v>-0,698266288525509+4,37512046778507i</v>
      </c>
      <c r="W29" s="23">
        <f t="shared" si="19"/>
        <v>12.929038150642764</v>
      </c>
      <c r="X29" s="23">
        <f t="shared" si="20"/>
        <v>99.067891758043004</v>
      </c>
      <c r="Y29" s="23" t="str">
        <f t="shared" si="21"/>
        <v>-2,32268105259022+27,9641532666379i</v>
      </c>
      <c r="Z29" s="23">
        <f t="shared" si="22"/>
        <v>28.961891862163007</v>
      </c>
      <c r="AA29" s="23">
        <f t="shared" si="23"/>
        <v>94.748044713083303</v>
      </c>
      <c r="AB29" s="23"/>
    </row>
    <row r="30" spans="1:28" x14ac:dyDescent="0.25">
      <c r="A30" s="23">
        <f t="shared" si="17"/>
        <v>6</v>
      </c>
      <c r="B30" s="23">
        <f>EXP(((A30)*((LN('FB analysis'!$B$26*1000)-LN('FB analysis'!$B$25))/50))+LN('FB analysis'!$B$25))</f>
        <v>22.908676527677738</v>
      </c>
      <c r="C30" s="36" t="str">
        <f t="shared" si="1"/>
        <v>143,939459765635i</v>
      </c>
      <c r="D30" s="23" t="str">
        <f t="shared" si="2"/>
        <v>1+0,00057575783906254i</v>
      </c>
      <c r="E30" s="23" t="str">
        <f t="shared" si="3"/>
        <v>1+0,0703516421141911i</v>
      </c>
      <c r="F30" s="23" t="str">
        <f t="shared" si="18"/>
        <v>0,00109202070142195i</v>
      </c>
      <c r="G30" s="23" t="str">
        <f t="shared" si="4"/>
        <v>6,32233905229054-0,448067198944672i</v>
      </c>
      <c r="H30" s="23">
        <f t="shared" si="5"/>
        <v>16.039314032587988</v>
      </c>
      <c r="I30" s="23">
        <f t="shared" si="6"/>
        <v>-4.053801514330047</v>
      </c>
      <c r="J30" s="23" t="str">
        <f>IMPRODUCT(Sheet1!$B$12,IMDIV(IMSUM($L$21,IMDIV(C30,Sheet1!$C$12)),IMSUM($L$21,IMDIV(C30,Sheet1!$D$12))))</f>
        <v>0,998461653914672-0,0157610373273916i</v>
      </c>
      <c r="K30" s="23">
        <f t="shared" si="7"/>
        <v>-1.2290168168600717E-2</v>
      </c>
      <c r="L30" s="23">
        <f t="shared" si="8"/>
        <v>-0.90435713960575781</v>
      </c>
      <c r="M30" s="23" t="str">
        <f t="shared" si="9"/>
        <v>6,30555110291159-0,547024538322788i</v>
      </c>
      <c r="N30" s="23">
        <f t="shared" si="10"/>
        <v>16.027023864419391</v>
      </c>
      <c r="O30" s="23">
        <f t="shared" si="11"/>
        <v>-4.958158653935798</v>
      </c>
      <c r="P30" s="23" t="str">
        <f>IMPRODUCT(-Sheet1!$D$6,IMDIV(IMSUM(COMPLEX(1,0),IMDIV(Sheet1!$B$6,C30)),IMSUM(COMPLEX(1,0),IMDIV(C30,Sheet1!$C$6))))</f>
        <v>-0,698079595491801+3,81105709884026i</v>
      </c>
      <c r="Q30" s="23">
        <f t="shared" si="12"/>
        <v>11.764232612084079</v>
      </c>
      <c r="R30" s="23">
        <f t="shared" si="13"/>
        <v>100.37992380521005</v>
      </c>
      <c r="S30" s="23" t="str">
        <f t="shared" si="14"/>
        <v>-2,31703481325852+24,4126819612877i</v>
      </c>
      <c r="T30" s="23">
        <f t="shared" si="15"/>
        <v>27.79125647650347</v>
      </c>
      <c r="U30" s="23">
        <f t="shared" si="16"/>
        <v>95.421765151274244</v>
      </c>
      <c r="V30" s="23" t="str">
        <f>IMPRODUCT(-Sheet1!$J$6,IMDIV(IMSUM(COMPLEX(1,0),IMDIV(Sheet1!$H$6,C30)),IMSUM(COMPLEX(1,0),IMDIV(C30,Sheet1!$I$6))))</f>
        <v>-0,698264937961119+3,81104777946524i</v>
      </c>
      <c r="W30" s="23">
        <f t="shared" si="19"/>
        <v>11.764286934804456</v>
      </c>
      <c r="X30" s="23">
        <f t="shared" si="20"/>
        <v>100.38264461829554</v>
      </c>
      <c r="Y30" s="23" t="str">
        <f t="shared" si="21"/>
        <v>-2,31820859759716+24,412724584371i</v>
      </c>
      <c r="Z30" s="23">
        <f t="shared" si="22"/>
        <v>27.791310799223851</v>
      </c>
      <c r="AA30" s="23">
        <f t="shared" si="23"/>
        <v>95.424485964359732</v>
      </c>
      <c r="AB30" s="23"/>
    </row>
    <row r="31" spans="1:28" x14ac:dyDescent="0.25">
      <c r="A31" s="23">
        <f t="shared" si="17"/>
        <v>7</v>
      </c>
      <c r="B31" s="23">
        <f>EXP(((A31)*((LN('FB analysis'!$B$26*1000)-LN('FB analysis'!$B$25))/50))+LN('FB analysis'!$B$25))</f>
        <v>26.302679918953825</v>
      </c>
      <c r="C31" s="36" t="str">
        <f t="shared" si="1"/>
        <v>165,264612006218i</v>
      </c>
      <c r="D31" s="23" t="str">
        <f t="shared" si="2"/>
        <v>1+0,000661058448024872i</v>
      </c>
      <c r="E31" s="23" t="str">
        <f t="shared" si="3"/>
        <v>1+0,0807744926716608i</v>
      </c>
      <c r="F31" s="23" t="str">
        <f t="shared" si="18"/>
        <v>0,00125380752308717i</v>
      </c>
      <c r="G31" s="23" t="str">
        <f t="shared" si="4"/>
        <v>6,3123719492213-0,513644890196468i</v>
      </c>
      <c r="H31" s="23">
        <f t="shared" si="5"/>
        <v>16.032512619566972</v>
      </c>
      <c r="I31" s="23">
        <f t="shared" si="6"/>
        <v>-4.6519735465360634</v>
      </c>
      <c r="J31" s="23" t="str">
        <f>IMPRODUCT(Sheet1!$B$12,IMDIV(IMSUM($L$21,IMDIV(C31,Sheet1!$C$12)),IMSUM($L$21,IMDIV(C31,Sheet1!$D$12))))</f>
        <v>0,998321627568533-0,0180915994219407i</v>
      </c>
      <c r="K31" s="23">
        <f t="shared" si="7"/>
        <v>-1.3164384028611906E-2</v>
      </c>
      <c r="L31" s="23">
        <f t="shared" si="8"/>
        <v>-1.0382013296836468</v>
      </c>
      <c r="M31" s="23" t="str">
        <f t="shared" si="9"/>
        <v>6,292484780566-0,626983707480805i</v>
      </c>
      <c r="N31" s="23">
        <f t="shared" si="10"/>
        <v>16.019348235538363</v>
      </c>
      <c r="O31" s="23">
        <f t="shared" si="11"/>
        <v>-5.6901748762197091</v>
      </c>
      <c r="P31" s="23" t="str">
        <f>IMPRODUCT(-Sheet1!$D$6,IMDIV(IMSUM(COMPLEX(1,0),IMDIV(Sheet1!$B$6,C31)),IMSUM(COMPLEX(1,0),IMDIV(C31,Sheet1!$C$6))))</f>
        <v>-0,698077828482177+3,31983767799146i</v>
      </c>
      <c r="Q31" s="23">
        <f t="shared" si="12"/>
        <v>10.610238113186449</v>
      </c>
      <c r="R31" s="23">
        <f t="shared" si="13"/>
        <v>101.87485194290016</v>
      </c>
      <c r="S31" s="23" t="str">
        <f t="shared" si="14"/>
        <v>-2,31115997579311+21,3277114877227i</v>
      </c>
      <c r="T31" s="23">
        <f t="shared" si="15"/>
        <v>26.629586348724796</v>
      </c>
      <c r="U31" s="23">
        <f t="shared" si="16"/>
        <v>96.184677066680464</v>
      </c>
      <c r="V31" s="23" t="str">
        <f>IMPRODUCT(-Sheet1!$J$6,IMDIV(IMSUM(COMPLEX(1,0),IMDIV(Sheet1!$H$6,C31)),IMSUM(COMPLEX(1,0),IMDIV(C31,Sheet1!$I$6))))</f>
        <v>-0,698263157578493+3,31983169494637i</v>
      </c>
      <c r="W31" s="23">
        <f t="shared" si="19"/>
        <v>10.610320776696668</v>
      </c>
      <c r="X31" s="23">
        <f t="shared" si="20"/>
        <v>101.877935793549</v>
      </c>
      <c r="Y31" s="23" t="str">
        <f t="shared" si="21"/>
        <v>-2,31232990758287+21,3277900378265i</v>
      </c>
      <c r="Z31" s="23">
        <f t="shared" si="22"/>
        <v>26.629669012235038</v>
      </c>
      <c r="AA31" s="23">
        <f t="shared" si="23"/>
        <v>96.187760917329285</v>
      </c>
      <c r="AB31" s="23"/>
    </row>
    <row r="32" spans="1:28" x14ac:dyDescent="0.25">
      <c r="A32" s="23">
        <f t="shared" si="17"/>
        <v>8</v>
      </c>
      <c r="B32" s="23">
        <f>EXP(((A32)*((LN('FB analysis'!$B$26*1000)-LN('FB analysis'!$B$25))/50))+LN('FB analysis'!$B$25))</f>
        <v>30.199517204020164</v>
      </c>
      <c r="C32" s="36" t="str">
        <f t="shared" si="1"/>
        <v>189,749162780217i</v>
      </c>
      <c r="D32" s="23" t="str">
        <f t="shared" si="2"/>
        <v>1+0,000758996651120868i</v>
      </c>
      <c r="E32" s="23" t="str">
        <f t="shared" si="3"/>
        <v>1+0,0927415262855411i</v>
      </c>
      <c r="F32" s="23" t="str">
        <f t="shared" si="18"/>
        <v>0,00143956364829258i</v>
      </c>
      <c r="G32" s="23" t="str">
        <f t="shared" si="4"/>
        <v>6,29928031883231-0,588529104190754i</v>
      </c>
      <c r="H32" s="23">
        <f t="shared" si="5"/>
        <v>16.023562858118876</v>
      </c>
      <c r="I32" s="23">
        <f t="shared" si="6"/>
        <v>-5.3375354760669032</v>
      </c>
      <c r="J32" s="23" t="str">
        <f>IMPRODUCT(Sheet1!$B$12,IMDIV(IMSUM($L$21,IMDIV(C32,Sheet1!$C$12)),IMSUM($L$21,IMDIV(C32,Sheet1!$D$12))))</f>
        <v>0,998137143099979-0,0207651393851546i</v>
      </c>
      <c r="K32" s="23">
        <f t="shared" si="7"/>
        <v>-1.4316430629355878E-2</v>
      </c>
      <c r="L32" s="23">
        <f t="shared" si="8"/>
        <v>-1.1918034087699101</v>
      </c>
      <c r="M32" s="23" t="str">
        <f t="shared" si="9"/>
        <v>6,27532477214447-0,718238192534863i</v>
      </c>
      <c r="N32" s="23">
        <f t="shared" si="10"/>
        <v>16.009246427489526</v>
      </c>
      <c r="O32" s="23">
        <f t="shared" si="11"/>
        <v>-6.5293388848368075</v>
      </c>
      <c r="P32" s="23" t="str">
        <f>IMPRODUCT(-Sheet1!$D$6,IMDIV(IMSUM(COMPLEX(1,0),IMDIV(Sheet1!$B$6,C32)),IMSUM(COMPLEX(1,0),IMDIV(C32,Sheet1!$C$6))))</f>
        <v>-0,698075499123502+2,89208429234566i</v>
      </c>
      <c r="Q32" s="23">
        <f t="shared" si="12"/>
        <v>9.47014958040827</v>
      </c>
      <c r="R32" s="23">
        <f t="shared" si="13"/>
        <v>103.57017580180803</v>
      </c>
      <c r="S32" s="23" t="str">
        <f t="shared" si="14"/>
        <v>-2,30344507768401+18,65015268763i</v>
      </c>
      <c r="T32" s="23">
        <f t="shared" si="15"/>
        <v>25.479396007897815</v>
      </c>
      <c r="U32" s="23">
        <f t="shared" si="16"/>
        <v>97.040836916971202</v>
      </c>
      <c r="V32" s="23" t="str">
        <f>IMPRODUCT(-Sheet1!$J$6,IMDIV(IMSUM(COMPLEX(1,0),IMDIV(Sheet1!$H$6,C32)),IMSUM(COMPLEX(1,0),IMDIV(C32,Sheet1!$I$6))))</f>
        <v>-0,698260810590972+2,89208153121004i</v>
      </c>
      <c r="W32" s="23">
        <f t="shared" si="19"/>
        <v>9.4702687011832136</v>
      </c>
      <c r="X32" s="23">
        <f t="shared" si="20"/>
        <v>103.57365736343667</v>
      </c>
      <c r="Y32" s="23" t="str">
        <f t="shared" si="21"/>
        <v>-2,30460995047944+18,6502684583807i</v>
      </c>
      <c r="Z32" s="23">
        <f t="shared" si="22"/>
        <v>25.479515128672755</v>
      </c>
      <c r="AA32" s="23">
        <f t="shared" si="23"/>
        <v>97.044318478599834</v>
      </c>
      <c r="AB32" s="23"/>
    </row>
    <row r="33" spans="1:28" x14ac:dyDescent="0.25">
      <c r="A33" s="23">
        <f t="shared" si="17"/>
        <v>9</v>
      </c>
      <c r="B33" s="23">
        <f>EXP(((A33)*((LN('FB analysis'!$B$26*1000)-LN('FB analysis'!$B$25))/50))+LN('FB analysis'!$B$25))</f>
        <v>34.67368504525318</v>
      </c>
      <c r="C33" s="36" t="str">
        <f t="shared" si="1"/>
        <v>217,861188422107i</v>
      </c>
      <c r="D33" s="23" t="str">
        <f t="shared" si="2"/>
        <v>1+0,000871444753688428i</v>
      </c>
      <c r="E33" s="23" t="str">
        <f t="shared" si="3"/>
        <v>1+0,106481519267892i</v>
      </c>
      <c r="F33" s="23" t="str">
        <f t="shared" si="18"/>
        <v>0,00165284021616238i</v>
      </c>
      <c r="G33" s="23" t="str">
        <f t="shared" si="4"/>
        <v>6,28210433448637-0,673892899138427i</v>
      </c>
      <c r="H33" s="23">
        <f t="shared" si="5"/>
        <v>16.011792889955959</v>
      </c>
      <c r="I33" s="23">
        <f t="shared" si="6"/>
        <v>-6.1228098395153978</v>
      </c>
      <c r="J33" s="23" t="str">
        <f>IMPRODUCT(Sheet1!$B$12,IMDIV(IMSUM($L$21,IMDIV(C33,Sheet1!$C$12)),IMSUM($L$21,IMDIV(C33,Sheet1!$D$12))))</f>
        <v>0,997894129585002-0,0238312916072451i</v>
      </c>
      <c r="K33" s="23">
        <f t="shared" si="7"/>
        <v>-1.5834438999811531E-2</v>
      </c>
      <c r="L33" s="23">
        <f t="shared" si="8"/>
        <v>-1.3680538800603128</v>
      </c>
      <c r="M33" s="23" t="str">
        <f t="shared" si="9"/>
        <v>6,25281529863302-0,822184428321537i</v>
      </c>
      <c r="N33" s="23">
        <f t="shared" si="10"/>
        <v>15.995958450956142</v>
      </c>
      <c r="O33" s="23">
        <f t="shared" si="11"/>
        <v>-7.4908637195757146</v>
      </c>
      <c r="P33" s="23" t="str">
        <f>IMPRODUCT(-Sheet1!$D$6,IMDIV(IMSUM(COMPLEX(1,0),IMDIV(Sheet1!$B$6,C33)),IMSUM(COMPLEX(1,0),IMDIV(C33,Sheet1!$C$6))))</f>
        <v>-0,698072428454487+2,51961948809165i</v>
      </c>
      <c r="Q33" s="23">
        <f t="shared" si="12"/>
        <v>8.3478855234633293</v>
      </c>
      <c r="R33" s="23">
        <f t="shared" si="13"/>
        <v>105.48564238895285</v>
      </c>
      <c r="S33" s="23" t="str">
        <f t="shared" si="14"/>
        <v>-2,29332605178969+16,3286595623893i</v>
      </c>
      <c r="T33" s="23">
        <f t="shared" si="15"/>
        <v>24.343843974419499</v>
      </c>
      <c r="U33" s="23">
        <f t="shared" si="16"/>
        <v>97.994778669377141</v>
      </c>
      <c r="V33" s="23" t="str">
        <f>IMPRODUCT(-Sheet1!$J$6,IMDIV(IMSUM(COMPLEX(1,0),IMDIV(Sheet1!$H$6,C33)),IMSUM(COMPLEX(1,0),IMDIV(C33,Sheet1!$I$6))))</f>
        <v>-0,698257716682966+2,51961989601775i</v>
      </c>
      <c r="W33" s="23">
        <f t="shared" si="19"/>
        <v>8.3480511997622617</v>
      </c>
      <c r="X33" s="23">
        <f t="shared" si="20"/>
        <v>105.48955299081439</v>
      </c>
      <c r="Y33" s="23" t="str">
        <f t="shared" si="21"/>
        <v>-2,29448428946889+16,328814454172i</v>
      </c>
      <c r="Z33" s="23">
        <f t="shared" si="22"/>
        <v>24.344009650718398</v>
      </c>
      <c r="AA33" s="23">
        <f t="shared" si="23"/>
        <v>97.998689271238689</v>
      </c>
      <c r="AB33" s="23"/>
    </row>
    <row r="34" spans="1:28" x14ac:dyDescent="0.25">
      <c r="A34" s="23">
        <f t="shared" si="17"/>
        <v>10</v>
      </c>
      <c r="B34" s="23">
        <f>EXP(((A34)*((LN('FB analysis'!$B$26*1000)-LN('FB analysis'!$B$25))/50))+LN('FB analysis'!$B$25))</f>
        <v>39.810717055349734</v>
      </c>
      <c r="C34" s="36" t="str">
        <f t="shared" si="1"/>
        <v>250,138112470457i</v>
      </c>
      <c r="D34" s="23" t="str">
        <f t="shared" si="2"/>
        <v>1+0,00100055244988183i</v>
      </c>
      <c r="E34" s="23" t="str">
        <f t="shared" si="3"/>
        <v>1+0,12225714196992i</v>
      </c>
      <c r="F34" s="23" t="str">
        <f t="shared" si="18"/>
        <v>0,00189771447994253i</v>
      </c>
      <c r="G34" s="23" t="str">
        <f t="shared" si="4"/>
        <v>6,25960354553101-0,770981693090668i</v>
      </c>
      <c r="H34" s="23">
        <f t="shared" si="5"/>
        <v>15.996325637983082</v>
      </c>
      <c r="I34" s="23">
        <f t="shared" si="6"/>
        <v>-7.021631717286116</v>
      </c>
      <c r="J34" s="23" t="str">
        <f>IMPRODUCT(Sheet1!$B$12,IMDIV(IMSUM($L$21,IMDIV(C34,Sheet1!$C$12)),IMSUM($L$21,IMDIV(C34,Sheet1!$D$12))))</f>
        <v>0,997574095370269-0,0273464423473166i</v>
      </c>
      <c r="K34" s="23">
        <f t="shared" si="7"/>
        <v>-1.7834374759261452E-2</v>
      </c>
      <c r="L34" s="23">
        <f t="shared" si="8"/>
        <v>-1.5702527149885315</v>
      </c>
      <c r="M34" s="23" t="str">
        <f t="shared" si="9"/>
        <v>6,22333473788869-0,940289252506884i</v>
      </c>
      <c r="N34" s="23">
        <f t="shared" si="10"/>
        <v>15.978491263223827</v>
      </c>
      <c r="O34" s="23">
        <f t="shared" si="11"/>
        <v>-8.5918844322746413</v>
      </c>
      <c r="P34" s="23" t="str">
        <f>IMPRODUCT(-Sheet1!$D$6,IMDIV(IMSUM(COMPLEX(1,0),IMDIV(Sheet1!$B$6,C34)),IMSUM(COMPLEX(1,0),IMDIV(C34,Sheet1!$C$6))))</f>
        <v>-0,698068380565643+2,19532277394998i</v>
      </c>
      <c r="Q34" s="23">
        <f t="shared" si="12"/>
        <v>7.2482793670048897</v>
      </c>
      <c r="R34" s="23">
        <f t="shared" si="13"/>
        <v>107.63961490641215</v>
      </c>
      <c r="S34" s="23" t="str">
        <f t="shared" si="14"/>
        <v>-2,2800747920671+14,3186146757618i</v>
      </c>
      <c r="T34" s="23">
        <f t="shared" si="15"/>
        <v>23.226770630228696</v>
      </c>
      <c r="U34" s="23">
        <f t="shared" si="16"/>
        <v>99.047730474137538</v>
      </c>
      <c r="V34" s="23" t="str">
        <f>IMPRODUCT(-Sheet1!$J$6,IMDIV(IMSUM(COMPLEX(1,0),IMDIV(Sheet1!$H$6,C34)),IMSUM(COMPLEX(1,0),IMDIV(C34,Sheet1!$I$6))))</f>
        <v>-0,698253638159782+2,19532635864153i</v>
      </c>
      <c r="W34" s="23">
        <f t="shared" si="19"/>
        <v>7.2485039404198659</v>
      </c>
      <c r="X34" s="23">
        <f t="shared" si="20"/>
        <v>107.64397883336729</v>
      </c>
      <c r="Y34" s="23" t="str">
        <f t="shared" si="21"/>
        <v>-2,28122434144122+14,318811180222i</v>
      </c>
      <c r="Z34" s="23">
        <f t="shared" si="22"/>
        <v>23.226995203643696</v>
      </c>
      <c r="AA34" s="23">
        <f t="shared" si="23"/>
        <v>99.052094401092589</v>
      </c>
      <c r="AB34" s="23"/>
    </row>
    <row r="35" spans="1:28" x14ac:dyDescent="0.25">
      <c r="A35" s="23">
        <f t="shared" si="17"/>
        <v>11</v>
      </c>
      <c r="B35" s="23">
        <f>EXP(((A35)*((LN('FB analysis'!$B$26*1000)-LN('FB analysis'!$B$25))/50))+LN('FB analysis'!$B$25))</f>
        <v>45.708818961487509</v>
      </c>
      <c r="C35" s="36" t="str">
        <f t="shared" si="1"/>
        <v>287,19697970735i</v>
      </c>
      <c r="D35" s="23" t="str">
        <f t="shared" si="2"/>
        <v>1+0,0011487879188294i</v>
      </c>
      <c r="E35" s="23" t="str">
        <f t="shared" si="3"/>
        <v>1+0,140369980306623i</v>
      </c>
      <c r="F35" s="23" t="str">
        <f t="shared" si="18"/>
        <v>0,00217886775271309i</v>
      </c>
      <c r="G35" s="23" t="str">
        <f t="shared" si="4"/>
        <v>6,23018506743062-0,881075955763824i</v>
      </c>
      <c r="H35" s="23">
        <f t="shared" si="5"/>
        <v>15.976019650762163</v>
      </c>
      <c r="I35" s="23">
        <f t="shared" si="6"/>
        <v>-8.0494194956987233</v>
      </c>
      <c r="J35" s="23" t="str">
        <f>IMPRODUCT(Sheet1!$B$12,IMDIV(IMSUM($L$21,IMDIV(C35,Sheet1!$C$12)),IMSUM($L$21,IMDIV(C35,Sheet1!$D$12))))</f>
        <v>0,997152763216101-0,0313744248810539i</v>
      </c>
      <c r="K35" s="23">
        <f t="shared" si="7"/>
        <v>-2.0468739777432205E-2</v>
      </c>
      <c r="L35" s="23">
        <f t="shared" si="8"/>
        <v>-1.8021604542952538</v>
      </c>
      <c r="M35" s="23" t="str">
        <f t="shared" si="9"/>
        <v>6,18480300394752-1,07403579728633i</v>
      </c>
      <c r="N35" s="23">
        <f t="shared" si="10"/>
        <v>15.955550910984735</v>
      </c>
      <c r="O35" s="23">
        <f t="shared" si="11"/>
        <v>-9.8515799499939742</v>
      </c>
      <c r="P35" s="23" t="str">
        <f>IMPRODUCT(-Sheet1!$D$6,IMDIV(IMSUM(COMPLEX(1,0),IMDIV(Sheet1!$B$6,C35)),IMSUM(COMPLEX(1,0),IMDIV(C35,Sheet1!$C$6))))</f>
        <v>-0,69806304448063+1,91299449673763i</v>
      </c>
      <c r="Q35" s="23">
        <f t="shared" si="12"/>
        <v>6.1771727471046685</v>
      </c>
      <c r="R35" s="23">
        <f t="shared" si="13"/>
        <v>110.04732605549729</v>
      </c>
      <c r="S35" s="23" t="str">
        <f t="shared" si="14"/>
        <v>-2,26275784494059+12,5812388084928i</v>
      </c>
      <c r="T35" s="23">
        <f t="shared" si="15"/>
        <v>22.132723658089375</v>
      </c>
      <c r="U35" s="23">
        <f t="shared" si="16"/>
        <v>100.19574610550336</v>
      </c>
      <c r="V35" s="23" t="str">
        <f>IMPRODUCT(-Sheet1!$J$6,IMDIV(IMSUM(COMPLEX(1,0),IMDIV(Sheet1!$H$6,C35)),IMSUM(COMPLEX(1,0),IMDIV(C35,Sheet1!$I$6))))</f>
        <v>-0,698248261691914+1,91300132658068i</v>
      </c>
      <c r="W35" s="23">
        <f t="shared" si="19"/>
        <v>6.1774709546726783</v>
      </c>
      <c r="X35" s="23">
        <f t="shared" si="20"/>
        <v>110.05215555411849</v>
      </c>
      <c r="Y35" s="23" t="str">
        <f t="shared" si="21"/>
        <v>-2,26389604140939+12,5814799796418i</v>
      </c>
      <c r="Z35" s="23">
        <f t="shared" si="22"/>
        <v>22.13302186565738</v>
      </c>
      <c r="AA35" s="23">
        <f t="shared" si="23"/>
        <v>100.20057560412452</v>
      </c>
      <c r="AB35" s="23"/>
    </row>
    <row r="36" spans="1:28" x14ac:dyDescent="0.25">
      <c r="A36" s="23">
        <f t="shared" si="17"/>
        <v>12</v>
      </c>
      <c r="B36" s="23">
        <f>EXP(((A36)*((LN('FB analysis'!$B$26*1000)-LN('FB analysis'!$B$25))/50))+LN('FB analysis'!$B$25))</f>
        <v>52.480746024977286</v>
      </c>
      <c r="C36" s="36" t="str">
        <f t="shared" si="1"/>
        <v>329,746252333961i</v>
      </c>
      <c r="D36" s="23" t="str">
        <f t="shared" si="2"/>
        <v>1+0,00131898500933584i</v>
      </c>
      <c r="E36" s="23" t="str">
        <f t="shared" si="3"/>
        <v>1+0,161166301238495i</v>
      </c>
      <c r="F36" s="23" t="str">
        <f t="shared" si="18"/>
        <v>0,00250167490104032i</v>
      </c>
      <c r="G36" s="23" t="str">
        <f t="shared" si="4"/>
        <v>6,19182080179285-1,00542752857307i</v>
      </c>
      <c r="H36" s="23">
        <f t="shared" si="5"/>
        <v>15.949395423113813</v>
      </c>
      <c r="I36" s="23">
        <f t="shared" si="6"/>
        <v>-9.2231845038363289</v>
      </c>
      <c r="J36" s="23" t="str">
        <f>IMPRODUCT(Sheet1!$B$12,IMDIV(IMSUM($L$21,IMDIV(C36,Sheet1!$C$12)),IMSUM($L$21,IMDIV(C36,Sheet1!$D$12))))</f>
        <v>0,996598301709762-0,0359871646796716i</v>
      </c>
      <c r="K36" s="23">
        <f t="shared" si="7"/>
        <v>-2.3937928454480693E-2</v>
      </c>
      <c r="L36" s="23">
        <f t="shared" si="8"/>
        <v>-2.0680520443552748</v>
      </c>
      <c r="M36" s="23" t="str">
        <f t="shared" si="9"/>
        <v>6,1345756095137-1,2248334423293i</v>
      </c>
      <c r="N36" s="23">
        <f t="shared" si="10"/>
        <v>15.925457494659337</v>
      </c>
      <c r="O36" s="23">
        <f t="shared" si="11"/>
        <v>-11.291236548191595</v>
      </c>
      <c r="P36" s="23" t="str">
        <f>IMPRODUCT(-Sheet1!$D$6,IMDIV(IMSUM(COMPLEX(1,0),IMDIV(Sheet1!$B$6,C36)),IMSUM(COMPLEX(1,0),IMDIV(C36,Sheet1!$C$6))))</f>
        <v>-0,698056010275258+1,66723732053369i</v>
      </c>
      <c r="Q36" s="23">
        <f t="shared" si="12"/>
        <v>5.1414414630305227</v>
      </c>
      <c r="R36" s="23">
        <f t="shared" si="13"/>
        <v>112.71858540350985</v>
      </c>
      <c r="S36" s="23" t="str">
        <f t="shared" si="14"/>
        <v>-2,24018934821988+11,082795747821i</v>
      </c>
      <c r="T36" s="23">
        <f t="shared" si="15"/>
        <v>21.066898957689819</v>
      </c>
      <c r="U36" s="23">
        <f t="shared" si="16"/>
        <v>101.42734885531829</v>
      </c>
      <c r="V36" s="23" t="str">
        <f>IMPRODUCT(-Sheet1!$J$6,IMDIV(IMSUM(COMPLEX(1,0),IMDIV(Sheet1!$H$6,C36)),IMSUM(COMPLEX(1,0),IMDIV(C36,Sheet1!$I$6))))</f>
        <v>-0,698241174253432+1,66724752587893i</v>
      </c>
      <c r="W36" s="23">
        <f t="shared" si="19"/>
        <v>5.1418303789511004</v>
      </c>
      <c r="X36" s="23">
        <f t="shared" si="20"/>
        <v>112.72387440467884</v>
      </c>
      <c r="Y36" s="23" t="str">
        <f t="shared" si="21"/>
        <v>-2,24131275079601+11,0830851483158i</v>
      </c>
      <c r="Z36" s="23">
        <f t="shared" si="22"/>
        <v>21.067287873610411</v>
      </c>
      <c r="AA36" s="23">
        <f t="shared" si="23"/>
        <v>101.43263785648728</v>
      </c>
      <c r="AB36" s="23"/>
    </row>
    <row r="37" spans="1:28" x14ac:dyDescent="0.25">
      <c r="A37" s="23">
        <f t="shared" si="17"/>
        <v>13</v>
      </c>
      <c r="B37" s="23">
        <f>EXP(((A37)*((LN('FB analysis'!$B$26*1000)-LN('FB analysis'!$B$25))/50))+LN('FB analysis'!$B$25))</f>
        <v>60.255958607435822</v>
      </c>
      <c r="C37" s="36" t="str">
        <f t="shared" si="1"/>
        <v>378,599353792262i</v>
      </c>
      <c r="D37" s="23" t="str">
        <f t="shared" si="2"/>
        <v>1+0,00151439741516905i</v>
      </c>
      <c r="E37" s="23" t="str">
        <f t="shared" si="3"/>
        <v>1+0,185043672430236i</v>
      </c>
      <c r="F37" s="23" t="str">
        <f t="shared" si="18"/>
        <v>0,00287230709743729i</v>
      </c>
      <c r="G37" s="23" t="str">
        <f t="shared" si="4"/>
        <v>6,14195772349757-1,14515841995034i</v>
      </c>
      <c r="H37" s="23">
        <f t="shared" si="5"/>
        <v>15.914545451102729</v>
      </c>
      <c r="I37" s="23">
        <f t="shared" si="6"/>
        <v>-10.561440337227729</v>
      </c>
      <c r="J37" s="23" t="str">
        <f>IMPRODUCT(Sheet1!$B$12,IMDIV(IMSUM($L$21,IMDIV(C37,Sheet1!$C$12)),IMSUM($L$21,IMDIV(C37,Sheet1!$D$12))))</f>
        <v>0,995869046566446-0,0412651923560309i</v>
      </c>
      <c r="K37" s="23">
        <f t="shared" si="7"/>
        <v>-2.850500010513423E-2</v>
      </c>
      <c r="L37" s="23">
        <f t="shared" si="8"/>
        <v>-2.3727714052042423</v>
      </c>
      <c r="M37" s="23" t="str">
        <f t="shared" si="9"/>
        <v>6,06933039967357-1,39387689074622i</v>
      </c>
      <c r="N37" s="23">
        <f t="shared" si="10"/>
        <v>15.886040450997601</v>
      </c>
      <c r="O37" s="23">
        <f t="shared" si="11"/>
        <v>-12.934211742431962</v>
      </c>
      <c r="P37" s="23" t="str">
        <f>IMPRODUCT(-Sheet1!$D$6,IMDIV(IMSUM(COMPLEX(1,0),IMDIV(Sheet1!$B$6,C37)),IMSUM(COMPLEX(1,0),IMDIV(C37,Sheet1!$C$6))))</f>
        <v>-0,698046737603243+1,4533530435268i</v>
      </c>
      <c r="Q37" s="23">
        <f t="shared" si="12"/>
        <v>4.1489054300476811</v>
      </c>
      <c r="R37" s="23">
        <f t="shared" si="13"/>
        <v>115.65501493449192</v>
      </c>
      <c r="S37" s="23" t="str">
        <f t="shared" si="14"/>
        <v>-2,21088106346063+9,79387102474126i</v>
      </c>
      <c r="T37" s="23">
        <f t="shared" si="15"/>
        <v>20.034945881045282</v>
      </c>
      <c r="U37" s="23">
        <f t="shared" si="16"/>
        <v>102.72080319205992</v>
      </c>
      <c r="V37" s="23" t="str">
        <f>IMPRODUCT(-Sheet1!$J$6,IMDIV(IMSUM(COMPLEX(1,0),IMDIV(Sheet1!$H$6,C37)),IMSUM(COMPLEX(1,0),IMDIV(C37,Sheet1!$I$6))))</f>
        <v>-0,698231831409743+1,45336681914379i</v>
      </c>
      <c r="W37" s="23">
        <f t="shared" si="19"/>
        <v>4.1494040738634821</v>
      </c>
      <c r="X37" s="23">
        <f t="shared" si="20"/>
        <v>115.66073184546723</v>
      </c>
      <c r="Y37" s="23" t="str">
        <f t="shared" si="21"/>
        <v>-2,21198525741303+9,79421263149173i</v>
      </c>
      <c r="Z37" s="23">
        <f t="shared" si="22"/>
        <v>20.035444524861077</v>
      </c>
      <c r="AA37" s="23">
        <f t="shared" si="23"/>
        <v>102.72652010303523</v>
      </c>
      <c r="AB37" s="23"/>
    </row>
    <row r="38" spans="1:28" x14ac:dyDescent="0.25">
      <c r="A38" s="23">
        <f t="shared" si="17"/>
        <v>14</v>
      </c>
      <c r="B38" s="23">
        <f>EXP(((A38)*((LN('FB analysis'!$B$26*1000)-LN('FB analysis'!$B$25))/50))+LN('FB analysis'!$B$25))</f>
        <v>69.183097091893657</v>
      </c>
      <c r="C38" s="36" t="str">
        <f t="shared" si="1"/>
        <v>434,690219152965i</v>
      </c>
      <c r="D38" s="23" t="str">
        <f t="shared" si="2"/>
        <v>1+0,00173876087661186i</v>
      </c>
      <c r="E38" s="23" t="str">
        <f t="shared" si="3"/>
        <v>1+0,212458562635858i</v>
      </c>
      <c r="F38" s="23" t="str">
        <f t="shared" si="18"/>
        <v>0,00329784979597382i</v>
      </c>
      <c r="G38" s="23" t="str">
        <f t="shared" si="4"/>
        <v>6,07743067679176-1,30110847707072i</v>
      </c>
      <c r="H38" s="23">
        <f t="shared" si="5"/>
        <v>15.869027500330098</v>
      </c>
      <c r="I38" s="23">
        <f t="shared" si="6"/>
        <v>-12.083957315267387</v>
      </c>
      <c r="J38" s="23" t="str">
        <f>IMPRODUCT(Sheet1!$B$12,IMDIV(IMSUM($L$21,IMDIV(C38,Sheet1!$C$12)),IMSUM($L$21,IMDIV(C38,Sheet1!$D$12))))</f>
        <v>0,994910587250382-0,0472978950674551i</v>
      </c>
      <c r="K38" s="23">
        <f t="shared" si="7"/>
        <v>-3.4514811416993099E-2</v>
      </c>
      <c r="L38" s="23">
        <f t="shared" si="8"/>
        <v>-2.7217832657361303</v>
      </c>
      <c r="M38" s="23" t="str">
        <f t="shared" si="9"/>
        <v>5,98496043140051-1,58193627742951i</v>
      </c>
      <c r="N38" s="23">
        <f t="shared" si="10"/>
        <v>15.834512688913108</v>
      </c>
      <c r="O38" s="23">
        <f t="shared" si="11"/>
        <v>-14.805740581003521</v>
      </c>
      <c r="P38" s="23" t="str">
        <f>IMPRODUCT(-Sheet1!$D$6,IMDIV(IMSUM(COMPLEX(1,0),IMDIV(Sheet1!$B$6,C38)),IMSUM(COMPLEX(1,0),IMDIV(C38,Sheet1!$C$6))))</f>
        <v>-0,698034514217294+1,26725277977179i</v>
      </c>
      <c r="Q38" s="23">
        <f t="shared" si="12"/>
        <v>3.2080694804563055</v>
      </c>
      <c r="R38" s="23">
        <f t="shared" si="13"/>
        <v>118.84707215509088</v>
      </c>
      <c r="S38" s="23" t="str">
        <f t="shared" si="14"/>
        <v>-2,172995802348+8,68870386445469i</v>
      </c>
      <c r="T38" s="23">
        <f t="shared" si="15"/>
        <v>19.04258216936941</v>
      </c>
      <c r="U38" s="23">
        <f t="shared" si="16"/>
        <v>104.04133157408738</v>
      </c>
      <c r="V38" s="23" t="str">
        <f>IMPRODUCT(-Sheet1!$J$6,IMDIV(IMSUM(COMPLEX(1,0),IMDIV(Sheet1!$H$6,C38)),IMSUM(COMPLEX(1,0),IMDIV(C38,Sheet1!$I$6))))</f>
        <v>-0,698219515525131+1,26727038851521i</v>
      </c>
      <c r="W38" s="23">
        <f t="shared" si="19"/>
        <v>3.208697973590251</v>
      </c>
      <c r="X38" s="23">
        <f t="shared" si="20"/>
        <v>118.85315258538265</v>
      </c>
      <c r="Y38" s="23" t="str">
        <f t="shared" si="21"/>
        <v>-2,17407517194514+8,68910191236754i</v>
      </c>
      <c r="Z38" s="23">
        <f t="shared" si="22"/>
        <v>19.043210662503355</v>
      </c>
      <c r="AA38" s="23">
        <f t="shared" si="23"/>
        <v>104.04741200437911</v>
      </c>
      <c r="AB38" s="23"/>
    </row>
    <row r="39" spans="1:28" x14ac:dyDescent="0.25">
      <c r="A39" s="23">
        <f t="shared" si="17"/>
        <v>15</v>
      </c>
      <c r="B39" s="23">
        <f>EXP(((A39)*((LN('FB analysis'!$B$26*1000)-LN('FB analysis'!$B$25))/50))+LN('FB analysis'!$B$25))</f>
        <v>79.432823472428197</v>
      </c>
      <c r="C39" s="36" t="str">
        <f t="shared" si="1"/>
        <v>499,091149349751i</v>
      </c>
      <c r="D39" s="23" t="str">
        <f t="shared" si="2"/>
        <v>1+0,001996364597399i</v>
      </c>
      <c r="E39" s="23" t="str">
        <f t="shared" si="3"/>
        <v>1+0,243935068108383i</v>
      </c>
      <c r="F39" s="23" t="str">
        <f t="shared" si="18"/>
        <v>0,00378643818640011i</v>
      </c>
      <c r="G39" s="23" t="str">
        <f t="shared" si="4"/>
        <v>5,99439573484669-1,47361729629182i</v>
      </c>
      <c r="H39" s="23">
        <f t="shared" si="5"/>
        <v>15.809743087481108</v>
      </c>
      <c r="I39" s="23">
        <f t="shared" si="6"/>
        <v>-13.811289827775282</v>
      </c>
      <c r="J39" s="23" t="str">
        <f>IMPRODUCT(Sheet1!$B$12,IMDIV(IMSUM($L$21,IMDIV(C39,Sheet1!$C$12)),IMSUM($L$21,IMDIV(C39,Sheet1!$D$12))))</f>
        <v>0,993652081136259-0,0541833085766732i</v>
      </c>
      <c r="K39" s="23">
        <f t="shared" si="7"/>
        <v>-4.2418651431083865E-2</v>
      </c>
      <c r="L39" s="23">
        <f t="shared" si="8"/>
        <v>-3.1212165968029937</v>
      </c>
      <c r="M39" s="23" t="str">
        <f t="shared" si="9"/>
        <v>5,87649833639583-1,78905908709065i</v>
      </c>
      <c r="N39" s="23">
        <f t="shared" si="10"/>
        <v>15.76732443605003</v>
      </c>
      <c r="O39" s="23">
        <f t="shared" si="11"/>
        <v>-16.9325064245783</v>
      </c>
      <c r="P39" s="23" t="str">
        <f>IMPRODUCT(-Sheet1!$D$6,IMDIV(IMSUM(COMPLEX(1,0),IMDIV(Sheet1!$B$6,C39)),IMSUM(COMPLEX(1,0),IMDIV(C39,Sheet1!$C$6))))</f>
        <v>-0,698018401310508+1,10537878848073i</v>
      </c>
      <c r="Q39" s="23">
        <f t="shared" si="12"/>
        <v>2.327654297758575</v>
      </c>
      <c r="R39" s="23">
        <f t="shared" si="13"/>
        <v>122.27136184484988</v>
      </c>
      <c r="S39" s="23" t="str">
        <f t="shared" si="14"/>
        <v>-2,12431600786618+7,74455277541529i</v>
      </c>
      <c r="T39" s="23">
        <f t="shared" si="15"/>
        <v>18.094978733808599</v>
      </c>
      <c r="U39" s="23">
        <f t="shared" si="16"/>
        <v>105.33885542027163</v>
      </c>
      <c r="V39" s="23" t="str">
        <f>IMPRODUCT(-Sheet1!$J$6,IMDIV(IMSUM(COMPLEX(1,0),IMDIV(Sheet1!$H$6,C39)),IMSUM(COMPLEX(1,0),IMDIV(C39,Sheet1!$I$6))))</f>
        <v>-0,698203280691119+1,10540056622894i</v>
      </c>
      <c r="W39" s="23">
        <f t="shared" si="19"/>
        <v>2.3284325069112826</v>
      </c>
      <c r="X39" s="23">
        <f t="shared" si="20"/>
        <v>122.27770271256645</v>
      </c>
      <c r="Y39" s="23" t="str">
        <f t="shared" si="21"/>
        <v>-2,12536348956044+7,74501151245232i</v>
      </c>
      <c r="Z39" s="23">
        <f t="shared" si="22"/>
        <v>18.095756942961309</v>
      </c>
      <c r="AA39" s="23">
        <f t="shared" si="23"/>
        <v>105.34519628798817</v>
      </c>
      <c r="AB39" s="23"/>
    </row>
    <row r="40" spans="1:28" x14ac:dyDescent="0.25">
      <c r="A40" s="23">
        <f t="shared" si="17"/>
        <v>16</v>
      </c>
      <c r="B40" s="23">
        <f>EXP(((A40)*((LN('FB analysis'!$B$26*1000)-LN('FB analysis'!$B$25))/50))+LN('FB analysis'!$B$25))</f>
        <v>91.201083935591043</v>
      </c>
      <c r="C40" s="36" t="str">
        <f t="shared" si="1"/>
        <v>573,033310582958i</v>
      </c>
      <c r="D40" s="23" t="str">
        <f t="shared" si="2"/>
        <v>1+0,00229213324233183i</v>
      </c>
      <c r="E40" s="23" t="str">
        <f t="shared" si="3"/>
        <v>1+0,280074931858728i</v>
      </c>
      <c r="F40" s="23" t="str">
        <f t="shared" si="18"/>
        <v>0,00434741271628937i</v>
      </c>
      <c r="G40" s="23" t="str">
        <f t="shared" si="4"/>
        <v>5,8883146321859-1,66222840902022i</v>
      </c>
      <c r="H40" s="23">
        <f t="shared" si="5"/>
        <v>15.73280766681054</v>
      </c>
      <c r="I40" s="23">
        <f t="shared" si="6"/>
        <v>-15.763987338670558</v>
      </c>
      <c r="J40" s="23" t="str">
        <f>IMPRODUCT(Sheet1!$B$12,IMDIV(IMSUM($L$21,IMDIV(C40,Sheet1!$C$12)),IMSUM($L$21,IMDIV(C40,Sheet1!$D$12))))</f>
        <v>0,99200165771931-0,0620271548272877i</v>
      </c>
      <c r="K40" s="23">
        <f t="shared" si="7"/>
        <v>-5.2805712608883837E-2</v>
      </c>
      <c r="L40" s="23">
        <f t="shared" si="8"/>
        <v>-3.5778907103860913</v>
      </c>
      <c r="M40" s="23" t="str">
        <f t="shared" si="9"/>
        <v>5,73811457741667-2,01416874061857i</v>
      </c>
      <c r="N40" s="23">
        <f t="shared" si="10"/>
        <v>15.680001954201659</v>
      </c>
      <c r="O40" s="23">
        <f t="shared" si="11"/>
        <v>-19.341878049056668</v>
      </c>
      <c r="P40" s="23" t="str">
        <f>IMPRODUCT(-Sheet1!$D$6,IMDIV(IMSUM(COMPLEX(1,0),IMDIV(Sheet1!$B$6,C40)),IMSUM(COMPLEX(1,0),IMDIV(C40,Sheet1!$C$6))))</f>
        <v>-0,697997161499191+0,964636455987806i</v>
      </c>
      <c r="Q40" s="23">
        <f t="shared" si="12"/>
        <v>1.5159154732074724</v>
      </c>
      <c r="R40" s="23">
        <f t="shared" si="13"/>
        <v>125.88896189660129</v>
      </c>
      <c r="S40" s="23" t="str">
        <f t="shared" si="14"/>
        <v>-2,06224709168225+6,94107857374334i</v>
      </c>
      <c r="T40" s="23">
        <f t="shared" si="15"/>
        <v>17.195917427409128</v>
      </c>
      <c r="U40" s="23">
        <f t="shared" si="16"/>
        <v>106.54708384754466</v>
      </c>
      <c r="V40" s="23" t="str">
        <f>IMPRODUCT(-Sheet1!$J$6,IMDIV(IMSUM(COMPLEX(1,0),IMDIV(Sheet1!$H$6,C40)),IMSUM(COMPLEX(1,0),IMDIV(C40,Sheet1!$I$6))))</f>
        <v>-0,698181880165376+0,964662817932966i</v>
      </c>
      <c r="W40" s="23">
        <f t="shared" si="19"/>
        <v>1.516861203039013</v>
      </c>
      <c r="X40" s="23">
        <f t="shared" si="20"/>
        <v>125.89541876554729</v>
      </c>
      <c r="Y40" s="23" t="str">
        <f t="shared" si="21"/>
        <v>-2,06325393114752+6,94160189616839i</v>
      </c>
      <c r="Z40" s="23">
        <f t="shared" si="22"/>
        <v>17.196863157240667</v>
      </c>
      <c r="AA40" s="23">
        <f t="shared" si="23"/>
        <v>106.55354071649062</v>
      </c>
      <c r="AB40" s="23"/>
    </row>
    <row r="41" spans="1:28" x14ac:dyDescent="0.25">
      <c r="A41" s="23">
        <f t="shared" si="17"/>
        <v>17</v>
      </c>
      <c r="B41" s="23">
        <f>EXP(((A41)*((LN('FB analysis'!$B$26*1000)-LN('FB analysis'!$B$25))/50))+LN('FB analysis'!$B$25))</f>
        <v>104.71285480508998</v>
      </c>
      <c r="C41" s="36" t="str">
        <f t="shared" si="1"/>
        <v>657,930270784171i</v>
      </c>
      <c r="D41" s="23" t="str">
        <f t="shared" si="2"/>
        <v>1+0,00263172108313668i</v>
      </c>
      <c r="E41" s="23" t="str">
        <f t="shared" si="3"/>
        <v>1+0,321569047304091i</v>
      </c>
      <c r="F41" s="23" t="str">
        <f t="shared" si="18"/>
        <v>0,00499149765434924i</v>
      </c>
      <c r="G41" s="23" t="str">
        <f t="shared" si="4"/>
        <v>5,75403653528893-1,86531393507355i</v>
      </c>
      <c r="H41" s="23">
        <f t="shared" si="5"/>
        <v>15.633426174303942</v>
      </c>
      <c r="I41" s="23">
        <f t="shared" si="6"/>
        <v>-17.961390295131636</v>
      </c>
      <c r="J41" s="23" t="str">
        <f>IMPRODUCT(Sheet1!$B$12,IMDIV(IMSUM($L$21,IMDIV(C41,Sheet1!$C$12)),IMSUM($L$21,IMDIV(C41,Sheet1!$D$12))))</f>
        <v>0,989840804336737-0,0709406958326644i</v>
      </c>
      <c r="K41" s="23">
        <f t="shared" si="7"/>
        <v>-6.6442866729355066E-2</v>
      </c>
      <c r="L41" s="23">
        <f t="shared" si="8"/>
        <v>-4.0993103688505297</v>
      </c>
      <c r="M41" s="23" t="str">
        <f t="shared" si="9"/>
        <v>5,56325348377288-2,2545592014937i</v>
      </c>
      <c r="N41" s="23">
        <f t="shared" si="10"/>
        <v>15.566983307574585</v>
      </c>
      <c r="O41" s="23">
        <f t="shared" si="11"/>
        <v>-22.0607006639822</v>
      </c>
      <c r="P41" s="23" t="str">
        <f>IMPRODUCT(-Sheet1!$D$6,IMDIV(IMSUM(COMPLEX(1,0),IMDIV(Sheet1!$B$6,C41)),IMSUM(COMPLEX(1,0),IMDIV(C41,Sheet1!$C$6))))</f>
        <v>-0,697969163949847+0,842335129385365i</v>
      </c>
      <c r="Q41" s="23">
        <f t="shared" si="12"/>
        <v>0.77981452883436986</v>
      </c>
      <c r="R41" s="23">
        <f t="shared" si="13"/>
        <v>129.64556000947309</v>
      </c>
      <c r="S41" s="23" t="str">
        <f t="shared" si="14"/>
        <v>-1,98388496621287+6,2597366439994i</v>
      </c>
      <c r="T41" s="23">
        <f t="shared" si="15"/>
        <v>16.34679783640895</v>
      </c>
      <c r="U41" s="23">
        <f t="shared" si="16"/>
        <v>107.5848593454909</v>
      </c>
      <c r="V41" s="23" t="str">
        <f>IMPRODUCT(-Sheet1!$J$6,IMDIV(IMSUM(COMPLEX(1,0),IMDIV(Sheet1!$H$6,C41)),IMSUM(COMPLEX(1,0),IMDIV(C41,Sheet1!$I$6))))</f>
        <v>-0,698153670782628+0,842366577772731i</v>
      </c>
      <c r="W41" s="23">
        <f t="shared" si="19"/>
        <v>0.78094150179939315</v>
      </c>
      <c r="X41" s="23">
        <f t="shared" si="20"/>
        <v>129.65194936965742</v>
      </c>
      <c r="Y41" s="23" t="str">
        <f t="shared" si="21"/>
        <v>-1,98484052224201+6,26032758092756i</v>
      </c>
      <c r="Z41" s="23">
        <f t="shared" si="22"/>
        <v>16.347924809373975</v>
      </c>
      <c r="AA41" s="23">
        <f t="shared" si="23"/>
        <v>107.59124870567523</v>
      </c>
      <c r="AB41" s="23"/>
    </row>
    <row r="42" spans="1:28" x14ac:dyDescent="0.25">
      <c r="A42" s="23">
        <f t="shared" si="17"/>
        <v>18</v>
      </c>
      <c r="B42" s="23">
        <f>EXP(((A42)*((LN('FB analysis'!$B$26*1000)-LN('FB analysis'!$B$25))/50))+LN('FB analysis'!$B$25))</f>
        <v>120.22644346174135</v>
      </c>
      <c r="C42" s="36" t="str">
        <f t="shared" si="1"/>
        <v>755,405023093271i</v>
      </c>
      <c r="D42" s="23" t="str">
        <f t="shared" si="2"/>
        <v>1+0,00302162009237308i</v>
      </c>
      <c r="E42" s="23" t="str">
        <f t="shared" si="3"/>
        <v>1+0,369210666223495i</v>
      </c>
      <c r="F42" s="23" t="str">
        <f t="shared" si="18"/>
        <v>0,00573100610853428i</v>
      </c>
      <c r="G42" s="23" t="str">
        <f t="shared" si="4"/>
        <v>5,58603909513465-2,07964057441206i</v>
      </c>
      <c r="H42" s="23">
        <f t="shared" si="5"/>
        <v>15.505797776125341</v>
      </c>
      <c r="I42" s="23">
        <f t="shared" si="6"/>
        <v>-20.419922425516592</v>
      </c>
      <c r="J42" s="23" t="str">
        <f>IMPRODUCT(Sheet1!$B$12,IMDIV(IMSUM($L$21,IMDIV(C42,Sheet1!$C$12)),IMSUM($L$21,IMDIV(C42,Sheet1!$D$12))))</f>
        <v>0,987017707904872-0,0810367981853182i</v>
      </c>
      <c r="K42" s="23">
        <f t="shared" si="7"/>
        <v>-8.4324202474030024E-2</v>
      </c>
      <c r="L42" s="23">
        <f t="shared" si="8"/>
        <v>-4.6936095869157146</v>
      </c>
      <c r="M42" s="23" t="str">
        <f t="shared" si="9"/>
        <v>5,34499209042018-2,50531679582989i</v>
      </c>
      <c r="N42" s="23">
        <f t="shared" si="10"/>
        <v>15.421473573651314</v>
      </c>
      <c r="O42" s="23">
        <f t="shared" si="11"/>
        <v>-25.113532012432326</v>
      </c>
      <c r="P42" s="23" t="str">
        <f>IMPRODUCT(-Sheet1!$D$6,IMDIV(IMSUM(COMPLEX(1,0),IMDIV(Sheet1!$B$6,C42)),IMSUM(COMPLEX(1,0),IMDIV(C42,Sheet1!$C$6))))</f>
        <v>-0,697932259423586+0,736136669695685i</v>
      </c>
      <c r="Q42" s="23">
        <f t="shared" si="12"/>
        <v>0.12418175178242719</v>
      </c>
      <c r="R42" s="23">
        <f t="shared" si="13"/>
        <v>133.47396886166743</v>
      </c>
      <c r="S42" s="23" t="str">
        <f t="shared" si="14"/>
        <v>-1,88618684365327+5,6831860888771i</v>
      </c>
      <c r="T42" s="23">
        <f t="shared" si="15"/>
        <v>15.545655325433739</v>
      </c>
      <c r="U42" s="23">
        <f t="shared" si="16"/>
        <v>108.3604368492351</v>
      </c>
      <c r="V42" s="23" t="str">
        <f>IMPRODUCT(-Sheet1!$J$6,IMDIV(IMSUM(COMPLEX(1,0),IMDIV(Sheet1!$H$6,C42)),IMSUM(COMPLEX(1,0),IMDIV(C42,Sheet1!$I$6))))</f>
        <v>-0,698116487056759+0,736173803125472i</v>
      </c>
      <c r="W42" s="23">
        <f t="shared" si="19"/>
        <v>0.12549777563055609</v>
      </c>
      <c r="X42" s="23">
        <f t="shared" si="20"/>
        <v>133.48007611129378</v>
      </c>
      <c r="Y42" s="23" t="str">
        <f t="shared" si="21"/>
        <v>-1,88707850789009+5,68384611534925i</v>
      </c>
      <c r="Z42" s="23">
        <f t="shared" si="22"/>
        <v>15.546971349281876</v>
      </c>
      <c r="AA42" s="23">
        <f t="shared" si="23"/>
        <v>108.36654409886148</v>
      </c>
      <c r="AB42" s="23"/>
    </row>
    <row r="43" spans="1:28" x14ac:dyDescent="0.25">
      <c r="A43" s="23">
        <f t="shared" si="17"/>
        <v>19</v>
      </c>
      <c r="B43" s="23">
        <f>EXP(((A43)*((LN('FB analysis'!$B$26*1000)-LN('FB analysis'!$B$25))/50))+LN('FB analysis'!$B$25))</f>
        <v>138.0384264602886</v>
      </c>
      <c r="C43" s="36" t="str">
        <f t="shared" si="1"/>
        <v>867,321012961475i</v>
      </c>
      <c r="D43" s="23" t="str">
        <f t="shared" si="2"/>
        <v>1+0,0034692840518459i</v>
      </c>
      <c r="E43" s="23" t="str">
        <f t="shared" si="3"/>
        <v>1+0,423910563519783i</v>
      </c>
      <c r="F43" s="23" t="str">
        <f t="shared" si="18"/>
        <v>0,00658007541833438i</v>
      </c>
      <c r="G43" s="23" t="str">
        <f t="shared" si="4"/>
        <v>5,37889781456808-2,2999375880656i</v>
      </c>
      <c r="H43" s="23">
        <f t="shared" si="5"/>
        <v>15.34308618057285</v>
      </c>
      <c r="I43" s="23">
        <f t="shared" si="6"/>
        <v>-23.150839438580523</v>
      </c>
      <c r="J43" s="23" t="str">
        <f>IMPRODUCT(Sheet1!$B$12,IMDIV(IMSUM($L$21,IMDIV(C43,Sheet1!$C$12)),IMSUM($L$21,IMDIV(C43,Sheet1!$D$12))))</f>
        <v>0,983339704360174-0,0924233858222987i</v>
      </c>
      <c r="K43" s="23">
        <f t="shared" si="7"/>
        <v>-0.10773146354187803</v>
      </c>
      <c r="L43" s="23">
        <f t="shared" si="8"/>
        <v>-5.3694147406596073</v>
      </c>
      <c r="M43" s="23" t="str">
        <f t="shared" si="9"/>
        <v>5,07671576769197-2,75875589590982i</v>
      </c>
      <c r="N43" s="23">
        <f t="shared" si="10"/>
        <v>15.235354717030976</v>
      </c>
      <c r="O43" s="23">
        <f t="shared" si="11"/>
        <v>-28.52025417924008</v>
      </c>
      <c r="P43" s="23" t="str">
        <f>IMPRODUCT(-Sheet1!$D$6,IMDIV(IMSUM(COMPLEX(1,0),IMDIV(Sheet1!$B$6,C43)),IMSUM(COMPLEX(1,0),IMDIV(C43,Sheet1!$C$6))))</f>
        <v>-0,697883615746015+0,644010739486555i</v>
      </c>
      <c r="Q43" s="23">
        <f t="shared" si="12"/>
        <v>-0.44893923356440257</v>
      </c>
      <c r="R43" s="23">
        <f t="shared" si="13"/>
        <v>137.29901235033375</v>
      </c>
      <c r="S43" s="23" t="str">
        <f t="shared" si="14"/>
        <v>-1,7662883314839+5,19475001531254i</v>
      </c>
      <c r="T43" s="23">
        <f t="shared" si="15"/>
        <v>14.786415483466568</v>
      </c>
      <c r="U43" s="23">
        <f t="shared" si="16"/>
        <v>108.77875817109364</v>
      </c>
      <c r="V43" s="23" t="str">
        <f>IMPRODUCT(-Sheet1!$J$6,IMDIV(IMSUM(COMPLEX(1,0),IMDIV(Sheet1!$H$6,C43)),IMSUM(COMPLEX(1,0),IMDIV(C43,Sheet1!$I$6))))</f>
        <v>-0,698067475411384+0,644054263904242i</v>
      </c>
      <c r="W43" s="23">
        <f t="shared" si="19"/>
        <v>-0.44743345705693682</v>
      </c>
      <c r="X43" s="23">
        <f t="shared" si="20"/>
        <v>137.30460457872803</v>
      </c>
      <c r="Y43" s="23" t="str">
        <f t="shared" si="21"/>
        <v>-1,76710166150221+5,19547820034595i</v>
      </c>
      <c r="Z43" s="23">
        <f t="shared" si="22"/>
        <v>14.787921259974034</v>
      </c>
      <c r="AA43" s="23">
        <f t="shared" si="23"/>
        <v>108.78435039948792</v>
      </c>
      <c r="AB43" s="23"/>
    </row>
    <row r="44" spans="1:28" x14ac:dyDescent="0.25">
      <c r="A44" s="23">
        <f t="shared" si="17"/>
        <v>20</v>
      </c>
      <c r="B44" s="23">
        <f>EXP(((A44)*((LN('FB analysis'!$B$26*1000)-LN('FB analysis'!$B$25))/50))+LN('FB analysis'!$B$25))</f>
        <v>158.48931924611139</v>
      </c>
      <c r="C44" s="36" t="str">
        <f t="shared" si="1"/>
        <v>995,817762032062i</v>
      </c>
      <c r="D44" s="23" t="str">
        <f t="shared" si="2"/>
        <v>1+0,00398327104812825i</v>
      </c>
      <c r="E44" s="23" t="str">
        <f t="shared" si="3"/>
        <v>1+0,486714448696022i</v>
      </c>
      <c r="F44" s="23" t="str">
        <f t="shared" si="18"/>
        <v>0,00755493742128324i</v>
      </c>
      <c r="G44" s="23" t="str">
        <f t="shared" si="4"/>
        <v>5,1280359705305-2,51858375047255i</v>
      </c>
      <c r="H44" s="23">
        <f t="shared" si="5"/>
        <v>15.137503765854843</v>
      </c>
      <c r="I44" s="23">
        <f t="shared" si="6"/>
        <v>-26.157502659394762</v>
      </c>
      <c r="J44" s="23" t="str">
        <f>IMPRODUCT(Sheet1!$B$12,IMDIV(IMSUM($L$21,IMDIV(C44,Sheet1!$C$12)),IMSUM($L$21,IMDIV(C44,Sheet1!$D$12))))</f>
        <v>0,978565317192115-0,105193223632001i</v>
      </c>
      <c r="K44" s="23">
        <f t="shared" si="7"/>
        <v>-0.13830564160142012</v>
      </c>
      <c r="L44" s="23">
        <f t="shared" si="8"/>
        <v>-6.1355858590250794</v>
      </c>
      <c r="M44" s="23" t="str">
        <f t="shared" si="9"/>
        <v>4,75318020237537-3,00403334129704i</v>
      </c>
      <c r="N44" s="23">
        <f t="shared" si="10"/>
        <v>14.999198124253423</v>
      </c>
      <c r="O44" s="23">
        <f t="shared" si="11"/>
        <v>-32.293088518419871</v>
      </c>
      <c r="P44" s="23" t="str">
        <f>IMPRODUCT(-Sheet1!$D$6,IMDIV(IMSUM(COMPLEX(1,0),IMDIV(Sheet1!$B$6,C44)),IMSUM(COMPLEX(1,0),IMDIV(C44,Sheet1!$C$6))))</f>
        <v>-0,697819501250303+0,564195967779065i</v>
      </c>
      <c r="Q44" s="23">
        <f t="shared" si="12"/>
        <v>-0.94058940435875882</v>
      </c>
      <c r="R44" s="23">
        <f t="shared" si="13"/>
        <v>141.04401880801765</v>
      </c>
      <c r="S44" s="23" t="str">
        <f t="shared" si="14"/>
        <v>-1,62199833994074+4,77799815227065i</v>
      </c>
      <c r="T44" s="23">
        <f t="shared" si="15"/>
        <v>14.058608719894675</v>
      </c>
      <c r="U44" s="23">
        <f t="shared" si="16"/>
        <v>108.75093028959785</v>
      </c>
      <c r="V44" s="23" t="str">
        <f>IMPRODUCT(-Sheet1!$J$6,IMDIV(IMSUM(COMPLEX(1,0),IMDIV(Sheet1!$H$6,C44)),IMSUM(COMPLEX(1,0),IMDIV(C44,Sheet1!$I$6))))</f>
        <v>-0,698002875994183+0,56424670928558i</v>
      </c>
      <c r="W44" s="23">
        <f t="shared" si="19"/>
        <v>-0.93890050116618762</v>
      </c>
      <c r="X44" s="23">
        <f t="shared" si="20"/>
        <v>141.0488597609839</v>
      </c>
      <c r="Y44" s="23" t="str">
        <f t="shared" si="21"/>
        <v>-1,6227175239656+4,77879019963942i</v>
      </c>
      <c r="Z44" s="23">
        <f t="shared" si="22"/>
        <v>14.060297623087239</v>
      </c>
      <c r="AA44" s="23">
        <f t="shared" si="23"/>
        <v>108.75577124256401</v>
      </c>
      <c r="AB44" s="23"/>
    </row>
    <row r="45" spans="1:28" x14ac:dyDescent="0.25">
      <c r="A45" s="23">
        <f t="shared" si="17"/>
        <v>21</v>
      </c>
      <c r="B45" s="23">
        <f>EXP(((A45)*((LN('FB analysis'!$B$26*1000)-LN('FB analysis'!$B$25))/50))+LN('FB analysis'!$B$25))</f>
        <v>181.97008586099847</v>
      </c>
      <c r="C45" s="36" t="str">
        <f t="shared" si="1"/>
        <v>1143,35176982803i</v>
      </c>
      <c r="D45" s="23" t="str">
        <f t="shared" si="2"/>
        <v>1+0,00457340707931212i</v>
      </c>
      <c r="E45" s="23" t="str">
        <f t="shared" si="3"/>
        <v>1+0,558822956905195i</v>
      </c>
      <c r="F45" s="23" t="str">
        <f t="shared" si="18"/>
        <v>0,00867422876042865i</v>
      </c>
      <c r="G45" s="23" t="str">
        <f t="shared" si="4"/>
        <v>4,83074701014212-2,72558940592086i</v>
      </c>
      <c r="H45" s="23">
        <f t="shared" si="5"/>
        <v>14.880562740966248</v>
      </c>
      <c r="I45" s="23">
        <f t="shared" si="6"/>
        <v>-29.432428472031841</v>
      </c>
      <c r="J45" s="23" t="str">
        <f>IMPRODUCT(Sheet1!$B$12,IMDIV(IMSUM($L$21,IMDIV(C45,Sheet1!$C$12)),IMSUM($L$21,IMDIV(C45,Sheet1!$D$12))))</f>
        <v>0,972396924255466-0,119408782786069i</v>
      </c>
      <c r="K45" s="23">
        <f t="shared" si="7"/>
        <v>-0.17812813016270887</v>
      </c>
      <c r="L45" s="23">
        <f t="shared" si="8"/>
        <v>-7.0007809305012145</v>
      </c>
      <c r="M45" s="23" t="str">
        <f t="shared" si="9"/>
        <v>4,37194422118287-3,22718837552924i</v>
      </c>
      <c r="N45" s="23">
        <f t="shared" si="10"/>
        <v>14.70243461080354</v>
      </c>
      <c r="O45" s="23">
        <f t="shared" si="11"/>
        <v>-36.433209402533066</v>
      </c>
      <c r="P45" s="23" t="str">
        <f>IMPRODUCT(-Sheet1!$D$6,IMDIV(IMSUM(COMPLEX(1,0),IMDIV(Sheet1!$B$6,C45)),IMSUM(COMPLEX(1,0),IMDIV(C45,Sheet1!$C$6))))</f>
        <v>-0,697734999882877+0,495166246240215i</v>
      </c>
      <c r="Q45" s="23">
        <f t="shared" si="12"/>
        <v>-1.3547483338788122</v>
      </c>
      <c r="R45" s="23">
        <f t="shared" si="13"/>
        <v>144.63756694096168</v>
      </c>
      <c r="S45" s="23" t="str">
        <f t="shared" si="14"/>
        <v>-1,4524637468341+4,41656148959664i</v>
      </c>
      <c r="T45" s="23">
        <f t="shared" si="15"/>
        <v>13.347686276924726</v>
      </c>
      <c r="U45" s="23">
        <f t="shared" si="16"/>
        <v>108.20435753842854</v>
      </c>
      <c r="V45" s="23" t="str">
        <f>IMPRODUCT(-Sheet1!$J$6,IMDIV(IMSUM(COMPLEX(1,0),IMDIV(Sheet1!$H$6,C45)),IMSUM(COMPLEX(1,0),IMDIV(C45,Sheet1!$I$6))))</f>
        <v>-0,697917735644198+0,495225165848154i</v>
      </c>
      <c r="W45" s="23">
        <f t="shared" si="19"/>
        <v>-1.3528894590840483</v>
      </c>
      <c r="X45" s="23">
        <f t="shared" si="20"/>
        <v>144.6414306600839</v>
      </c>
      <c r="Y45" s="23" t="str">
        <f t="shared" si="21"/>
        <v>-1,45307251271598+4,41740880556081i</v>
      </c>
      <c r="Z45" s="23">
        <f t="shared" si="22"/>
        <v>13.349545151719486</v>
      </c>
      <c r="AA45" s="23">
        <f t="shared" si="23"/>
        <v>108.2082212575508</v>
      </c>
      <c r="AB45" s="23"/>
    </row>
    <row r="46" spans="1:28" x14ac:dyDescent="0.25">
      <c r="A46" s="23">
        <f t="shared" si="17"/>
        <v>22</v>
      </c>
      <c r="B46" s="23">
        <f>EXP(((A46)*((LN('FB analysis'!$B$26*1000)-LN('FB analysis'!$B$25))/50))+LN('FB analysis'!$B$25))</f>
        <v>208.92961308540416</v>
      </c>
      <c r="C46" s="36" t="str">
        <f t="shared" si="1"/>
        <v>1312,74347517293i</v>
      </c>
      <c r="D46" s="23" t="str">
        <f t="shared" si="2"/>
        <v>1+0,00525097390069172i</v>
      </c>
      <c r="E46" s="23" t="str">
        <f t="shared" si="3"/>
        <v>1+0,6416146017463i</v>
      </c>
      <c r="F46" s="23" t="str">
        <f t="shared" si="18"/>
        <v>0,00995934716497862i</v>
      </c>
      <c r="G46" s="23" t="str">
        <f t="shared" si="4"/>
        <v>4,4873651732995-2,90907692148827i</v>
      </c>
      <c r="H46" s="23">
        <f t="shared" si="5"/>
        <v>14.563535011786467</v>
      </c>
      <c r="I46" s="23">
        <f t="shared" si="6"/>
        <v>-32.954604910027207</v>
      </c>
      <c r="J46" s="23" t="str">
        <f>IMPRODUCT(Sheet1!$B$12,IMDIV(IMSUM($L$21,IMDIV(C46,Sheet1!$C$12)),IMSUM($L$21,IMDIV(C46,Sheet1!$D$12))))</f>
        <v>0,964475955740252-0,135080923177329i</v>
      </c>
      <c r="K46" s="23">
        <f t="shared" si="7"/>
        <v>-0.22980648186669092</v>
      </c>
      <c r="L46" s="23">
        <f t="shared" si="8"/>
        <v>-7.9727734939763923</v>
      </c>
      <c r="M46" s="23" t="str">
        <f t="shared" si="9"/>
        <v>3,93499501812506-3,4118921744174i</v>
      </c>
      <c r="N46" s="23">
        <f t="shared" si="10"/>
        <v>14.333728529919776</v>
      </c>
      <c r="O46" s="23">
        <f t="shared" si="11"/>
        <v>-40.927378404003584</v>
      </c>
      <c r="P46" s="23" t="str">
        <f>IMPRODUCT(-Sheet1!$D$6,IMDIV(IMSUM(COMPLEX(1,0),IMDIV(Sheet1!$B$6,C46)),IMSUM(COMPLEX(1,0),IMDIV(C46,Sheet1!$C$6))))</f>
        <v>-0,697623636652156+0,435601506919904i</v>
      </c>
      <c r="Q46" s="23">
        <f t="shared" si="12"/>
        <v>-1.6977880155927463</v>
      </c>
      <c r="R46" s="23">
        <f t="shared" si="13"/>
        <v>148.01903066563125</v>
      </c>
      <c r="S46" s="23" t="str">
        <f t="shared" si="14"/>
        <v>-1,25892016212807+4,09430638619969i</v>
      </c>
      <c r="T46" s="23">
        <f t="shared" si="15"/>
        <v>12.635940514327029</v>
      </c>
      <c r="U46" s="23">
        <f t="shared" si="16"/>
        <v>107.09165226162764</v>
      </c>
      <c r="V46" s="23" t="str">
        <f>IMPRODUCT(-Sheet1!$J$6,IMDIV(IMSUM(COMPLEX(1,0),IMDIV(Sheet1!$H$6,C46)),IMSUM(COMPLEX(1,0),IMDIV(C46,Sheet1!$I$6))))</f>
        <v>-0,697805530536686+0,435669717358665i</v>
      </c>
      <c r="W46" s="23">
        <f t="shared" si="19"/>
        <v>-1.6957772872085708</v>
      </c>
      <c r="X46" s="23">
        <f t="shared" si="20"/>
        <v>148.02171074502525</v>
      </c>
      <c r="Y46" s="23" t="str">
        <f t="shared" si="21"/>
        <v>-1,2594031869953+4,0951953962576i</v>
      </c>
      <c r="Z46" s="23">
        <f t="shared" si="22"/>
        <v>12.637951242711198</v>
      </c>
      <c r="AA46" s="23">
        <f t="shared" si="23"/>
        <v>107.09433234102161</v>
      </c>
      <c r="AB46" s="23"/>
    </row>
    <row r="47" spans="1:28" x14ac:dyDescent="0.25">
      <c r="A47" s="23">
        <f t="shared" si="17"/>
        <v>23</v>
      </c>
      <c r="B47" s="23">
        <f>EXP(((A47)*((LN('FB analysis'!$B$26*1000)-LN('FB analysis'!$B$25))/50))+LN('FB analysis'!$B$25))</f>
        <v>239.88329190194912</v>
      </c>
      <c r="C47" s="36" t="str">
        <f t="shared" si="1"/>
        <v>1507,2311751162i</v>
      </c>
      <c r="D47" s="23" t="str">
        <f t="shared" si="2"/>
        <v>1+0,0060289247004648i</v>
      </c>
      <c r="E47" s="23" t="str">
        <f t="shared" si="3"/>
        <v>1+0,736672128600293i</v>
      </c>
      <c r="F47" s="23" t="str">
        <f t="shared" si="18"/>
        <v>0,0114348605152149i</v>
      </c>
      <c r="G47" s="23" t="str">
        <f t="shared" si="4"/>
        <v>4,10230597964496-3,05640539415065i</v>
      </c>
      <c r="H47" s="23">
        <f t="shared" si="5"/>
        <v>14.178124894920325</v>
      </c>
      <c r="I47" s="23">
        <f t="shared" si="6"/>
        <v>-36.687794173202619</v>
      </c>
      <c r="J47" s="23" t="str">
        <f>IMPRODUCT(Sheet1!$B$12,IMDIV(IMSUM($L$21,IMDIV(C47,Sheet1!$C$12)),IMSUM($L$21,IMDIV(C47,Sheet1!$D$12))))</f>
        <v>0,954383730302699-0,152140530894179i</v>
      </c>
      <c r="K47" s="23">
        <f t="shared" si="7"/>
        <v>-0.29655427393329181</v>
      </c>
      <c r="L47" s="23">
        <f t="shared" si="8"/>
        <v>-9.0574431742310786</v>
      </c>
      <c r="M47" s="23" t="str">
        <f t="shared" si="9"/>
        <v>3,45017094440271-3,54111059102034i</v>
      </c>
      <c r="N47" s="23">
        <f t="shared" si="10"/>
        <v>13.881570620987036</v>
      </c>
      <c r="O47" s="23">
        <f t="shared" si="11"/>
        <v>-45.745237347433736</v>
      </c>
      <c r="P47" s="23" t="str">
        <f>IMPRODUCT(-Sheet1!$D$6,IMDIV(IMSUM(COMPLEX(1,0),IMDIV(Sheet1!$B$6,C47)),IMSUM(COMPLEX(1,0),IMDIV(C47,Sheet1!$C$6))))</f>
        <v>-0,697476885630767+0,38436241471191i</v>
      </c>
      <c r="Q47" s="23">
        <f t="shared" si="12"/>
        <v>-1.9776796091272497</v>
      </c>
      <c r="R47" s="23">
        <f t="shared" si="13"/>
        <v>151.14191803886553</v>
      </c>
      <c r="S47" s="23" t="str">
        <f t="shared" si="14"/>
        <v>-1,04534466766927+3,79595882205849i</v>
      </c>
      <c r="T47" s="23">
        <f t="shared" si="15"/>
        <v>11.903891011859788</v>
      </c>
      <c r="U47" s="23">
        <f t="shared" si="16"/>
        <v>105.39668069143181</v>
      </c>
      <c r="V47" s="23" t="str">
        <f>IMPRODUCT(-Sheet1!$J$6,IMDIV(IMSUM(COMPLEX(1,0),IMDIV(Sheet1!$H$6,C47)),IMSUM(COMPLEX(1,0),IMDIV(C47,Sheet1!$I$6))))</f>
        <v>-0,697657670515235+0,384441199332767i</v>
      </c>
      <c r="W47" s="23">
        <f t="shared" si="19"/>
        <v>-1.97553821372858</v>
      </c>
      <c r="X47" s="23">
        <f t="shared" si="20"/>
        <v>151.14323097095544</v>
      </c>
      <c r="Y47" s="23" t="str">
        <f t="shared" si="21"/>
        <v>-1,04568942136952+3,79687082173732i</v>
      </c>
      <c r="Z47" s="23">
        <f t="shared" si="22"/>
        <v>11.906032407258454</v>
      </c>
      <c r="AA47" s="23">
        <f t="shared" si="23"/>
        <v>105.3979936235217</v>
      </c>
      <c r="AB47" s="23"/>
    </row>
    <row r="48" spans="1:28" x14ac:dyDescent="0.25">
      <c r="A48" s="23">
        <f t="shared" si="17"/>
        <v>24</v>
      </c>
      <c r="B48" s="23">
        <f>EXP(((A48)*((LN('FB analysis'!$B$26*1000)-LN('FB analysis'!$B$25))/50))+LN('FB analysis'!$B$25))</f>
        <v>275.42287033381683</v>
      </c>
      <c r="C48" s="36" t="str">
        <f t="shared" si="1"/>
        <v>1730,53293214267i</v>
      </c>
      <c r="D48" s="23" t="str">
        <f t="shared" si="2"/>
        <v>1+0,00692213172857068i</v>
      </c>
      <c r="E48" s="23" t="str">
        <f t="shared" si="3"/>
        <v>1+0,845812772308245i</v>
      </c>
      <c r="F48" s="23" t="str">
        <f t="shared" si="18"/>
        <v>0,0131289765118557i</v>
      </c>
      <c r="G48" s="23" t="str">
        <f t="shared" si="4"/>
        <v>3,6845761959147-3,1559025943043i</v>
      </c>
      <c r="H48" s="23">
        <f t="shared" si="5"/>
        <v>13.717293879812418</v>
      </c>
      <c r="I48" s="23">
        <f t="shared" si="6"/>
        <v>-40.580620597023724</v>
      </c>
      <c r="J48" s="23" t="str">
        <f>IMPRODUCT(Sheet1!$B$12,IMDIV(IMSUM($L$21,IMDIV(C48,Sheet1!$C$12)),IMSUM($L$21,IMDIV(C48,Sheet1!$D$12))))</f>
        <v>0,941652473187024-0,170403443228104i</v>
      </c>
      <c r="K48" s="23">
        <f t="shared" si="7"/>
        <v>-0.38224631183130131</v>
      </c>
      <c r="L48" s="23">
        <f t="shared" si="8"/>
        <v>-10.257361061129544</v>
      </c>
      <c r="M48" s="23" t="str">
        <f t="shared" si="9"/>
        <v>2,93181361896715-3,59962795368416i</v>
      </c>
      <c r="N48" s="23">
        <f t="shared" si="10"/>
        <v>13.335047567981107</v>
      </c>
      <c r="O48" s="23">
        <f t="shared" si="11"/>
        <v>-50.837981658153296</v>
      </c>
      <c r="P48" s="23" t="str">
        <f>IMPRODUCT(-Sheet1!$D$6,IMDIV(IMSUM(COMPLEX(1,0),IMDIV(Sheet1!$B$6,C48)),IMSUM(COMPLEX(1,0),IMDIV(C48,Sheet1!$C$6))))</f>
        <v>-0,697283524423241+0,340468478415331i</v>
      </c>
      <c r="Q48" s="23">
        <f t="shared" si="12"/>
        <v>-2.2031471237112914</v>
      </c>
      <c r="R48" s="23">
        <f t="shared" si="13"/>
        <v>153.97474273927949</v>
      </c>
      <c r="S48" s="23" t="str">
        <f t="shared" si="14"/>
        <v>-0,818745480933336+3,5081513880044i</v>
      </c>
      <c r="T48" s="23">
        <f t="shared" si="15"/>
        <v>11.131900444269816</v>
      </c>
      <c r="U48" s="23">
        <f t="shared" si="16"/>
        <v>103.13676108112625</v>
      </c>
      <c r="V48" s="23" t="str">
        <f>IMPRODUCT(-Sheet1!$J$6,IMDIV(IMSUM(COMPLEX(1,0),IMDIV(Sheet1!$H$6,C48)),IMSUM(COMPLEX(1,0),IMDIV(C48,Sheet1!$I$6))))</f>
        <v>-0,697462848766622+0,340559312150948i</v>
      </c>
      <c r="W48" s="23">
        <f t="shared" si="19"/>
        <v>-2.200897538021747</v>
      </c>
      <c r="X48" s="23">
        <f t="shared" si="20"/>
        <v>153.97452559366712</v>
      </c>
      <c r="Y48" s="23" t="str">
        <f t="shared" si="21"/>
        <v>-0,818944258831608+3,50906319650676i</v>
      </c>
      <c r="Z48" s="23">
        <f t="shared" si="22"/>
        <v>11.134150029959374</v>
      </c>
      <c r="AA48" s="23">
        <f t="shared" si="23"/>
        <v>103.13654393551386</v>
      </c>
      <c r="AB48" s="23"/>
    </row>
    <row r="49" spans="1:28" x14ac:dyDescent="0.25">
      <c r="A49" s="23">
        <f t="shared" si="17"/>
        <v>25</v>
      </c>
      <c r="B49" s="23">
        <f>EXP(((A49)*((LN('FB analysis'!$B$26*1000)-LN('FB analysis'!$B$25))/50))+LN('FB analysis'!$B$25))</f>
        <v>316.22776601683825</v>
      </c>
      <c r="C49" s="36" t="str">
        <f t="shared" si="1"/>
        <v>1986,91765315922i</v>
      </c>
      <c r="D49" s="23" t="str">
        <f t="shared" si="2"/>
        <v>1+0,00794767061263688i</v>
      </c>
      <c r="E49" s="23" t="str">
        <f t="shared" si="3"/>
        <v>1+0,971122997634027i</v>
      </c>
      <c r="F49" s="23" t="str">
        <f t="shared" si="18"/>
        <v>0,0150740819286346i</v>
      </c>
      <c r="G49" s="23" t="str">
        <f t="shared" si="4"/>
        <v>3,24737377894528-3,19888497063702i</v>
      </c>
      <c r="H49" s="23">
        <f t="shared" si="5"/>
        <v>13.176100440598223</v>
      </c>
      <c r="I49" s="23">
        <f t="shared" si="6"/>
        <v>-44.569028830225612</v>
      </c>
      <c r="J49" s="23" t="str">
        <f>IMPRODUCT(Sheet1!$B$12,IMDIV(IMSUM($L$21,IMDIV(C49,Sheet1!$C$12)),IMSUM($L$21,IMDIV(C49,Sheet1!$D$12))))</f>
        <v>0,925792311138779-0,189531438424633i</v>
      </c>
      <c r="K49" s="23">
        <f t="shared" si="7"/>
        <v>-0.49141941872137751</v>
      </c>
      <c r="L49" s="23">
        <f t="shared" si="8"/>
        <v>-11.569921811587911</v>
      </c>
      <c r="M49" s="23" t="str">
        <f t="shared" si="9"/>
        <v>2,40010440610145-3,57698253345909i</v>
      </c>
      <c r="N49" s="23">
        <f t="shared" si="10"/>
        <v>12.684681021876854</v>
      </c>
      <c r="O49" s="23">
        <f t="shared" si="11"/>
        <v>-56.138950641813508</v>
      </c>
      <c r="P49" s="23" t="str">
        <f>IMPRODUCT(-Sheet1!$D$6,IMDIV(IMSUM(COMPLEX(1,0),IMDIV(Sheet1!$B$6,C49)),IMSUM(COMPLEX(1,0),IMDIV(C49,Sheet1!$C$6))))</f>
        <v>-0,697028788469912+0,303079143413238i</v>
      </c>
      <c r="Q49" s="23">
        <f t="shared" si="12"/>
        <v>-2.3829304737355308</v>
      </c>
      <c r="R49" s="23">
        <f t="shared" si="13"/>
        <v>156.499834054498</v>
      </c>
      <c r="S49" s="23" t="str">
        <f t="shared" si="14"/>
        <v>-0,588833064141295+3,22068138917859i</v>
      </c>
      <c r="T49" s="23">
        <f t="shared" si="15"/>
        <v>10.301750548141317</v>
      </c>
      <c r="U49" s="23">
        <f t="shared" si="16"/>
        <v>100.36088341268446</v>
      </c>
      <c r="V49" s="23" t="str">
        <f>IMPRODUCT(-Sheet1!$J$6,IMDIV(IMSUM(COMPLEX(1,0),IMDIV(Sheet1!$H$6,C49)),IMSUM(COMPLEX(1,0),IMDIV(C49,Sheet1!$I$6))))</f>
        <v>-0,697206189884909+0,303183715580457i</v>
      </c>
      <c r="W49" s="23">
        <f t="shared" si="19"/>
        <v>-2.3805951116593977</v>
      </c>
      <c r="X49" s="23">
        <f t="shared" si="20"/>
        <v>156.49793796791735</v>
      </c>
      <c r="Y49" s="23" t="str">
        <f t="shared" si="21"/>
        <v>-0,58888479324345+3,22156693506074i</v>
      </c>
      <c r="Z49" s="23">
        <f t="shared" si="22"/>
        <v>10.304085910217442</v>
      </c>
      <c r="AA49" s="23">
        <f t="shared" si="23"/>
        <v>100.35898732610382</v>
      </c>
      <c r="AB49" s="23"/>
    </row>
    <row r="50" spans="1:28" x14ac:dyDescent="0.25">
      <c r="A50" s="23">
        <f t="shared" si="17"/>
        <v>26</v>
      </c>
      <c r="B50" s="23">
        <f>EXP(((A50)*((LN('FB analysis'!$B$26*1000)-LN('FB analysis'!$B$25))/50))+LN('FB analysis'!$B$25))</f>
        <v>363.07805477010152</v>
      </c>
      <c r="C50" s="36" t="str">
        <f t="shared" si="1"/>
        <v>2281,28669909085i</v>
      </c>
      <c r="D50" s="23" t="str">
        <f t="shared" si="2"/>
        <v>1+0,0091251467963634i</v>
      </c>
      <c r="E50" s="23" t="str">
        <f t="shared" si="3"/>
        <v>1+1,11499838665242i</v>
      </c>
      <c r="F50" s="23" t="str">
        <f t="shared" si="18"/>
        <v>0,0173073617571026i</v>
      </c>
      <c r="G50" s="23" t="str">
        <f t="shared" si="4"/>
        <v>2,80664029728585-3,18139620975268i</v>
      </c>
      <c r="H50" s="23">
        <f t="shared" si="5"/>
        <v>12.552365923332218</v>
      </c>
      <c r="I50" s="23">
        <f t="shared" si="6"/>
        <v>-48.581134527352305</v>
      </c>
      <c r="J50" s="23" t="str">
        <f>IMPRODUCT(Sheet1!$B$12,IMDIV(IMSUM($L$21,IMDIV(C50,Sheet1!$C$12)),IMSUM($L$21,IMDIV(C50,Sheet1!$D$12))))</f>
        <v>0,906340170557913-0,20899608232587i</v>
      </c>
      <c r="K50" s="23">
        <f t="shared" si="7"/>
        <v>-0.62917690419478833</v>
      </c>
      <c r="L50" s="23">
        <f t="shared" si="8"/>
        <v>-12.985052691259753</v>
      </c>
      <c r="M50" s="23" t="str">
        <f t="shared" si="9"/>
        <v>1,87887150157209-3,4700040099902i</v>
      </c>
      <c r="N50" s="23">
        <f t="shared" si="10"/>
        <v>11.923189019137435</v>
      </c>
      <c r="O50" s="23">
        <f t="shared" si="11"/>
        <v>-61.566187218612022</v>
      </c>
      <c r="P50" s="23" t="str">
        <f>IMPRODUCT(-Sheet1!$D$6,IMDIV(IMSUM(COMPLEX(1,0),IMDIV(Sheet1!$B$6,C50)),IMSUM(COMPLEX(1,0),IMDIV(C50,Sheet1!$C$6))))</f>
        <v>-0,696693265347964+0,271477476688642i</v>
      </c>
      <c r="Q50" s="23">
        <f t="shared" si="12"/>
        <v>-2.5252485784917962</v>
      </c>
      <c r="R50" s="23">
        <f t="shared" si="13"/>
        <v>158.71084298394337</v>
      </c>
      <c r="S50" s="23" t="str">
        <f t="shared" si="14"/>
        <v>-0,366969188867881+2,92759971875959i</v>
      </c>
      <c r="T50" s="23">
        <f t="shared" si="15"/>
        <v>9.3979404406456268</v>
      </c>
      <c r="U50" s="23">
        <f t="shared" si="16"/>
        <v>97.144655765331322</v>
      </c>
      <c r="V50" s="23" t="str">
        <f>IMPRODUCT(-Sheet1!$J$6,IMDIV(IMSUM(COMPLEX(1,0),IMDIV(Sheet1!$H$6,C50)),IMSUM(COMPLEX(1,0),IMDIV(C50,Sheet1!$I$6))))</f>
        <v>-0,696868136082322+0,271597715152583i</v>
      </c>
      <c r="W50" s="23">
        <f t="shared" si="19"/>
        <v>-2.5228489947909241</v>
      </c>
      <c r="X50" s="23">
        <f t="shared" si="20"/>
        <v>158.70712433971249</v>
      </c>
      <c r="Y50" s="23" t="str">
        <f t="shared" si="21"/>
        <v>-0,366880520555095+2,92843243353233i</v>
      </c>
      <c r="Z50" s="23">
        <f t="shared" si="22"/>
        <v>9.4003400243464892</v>
      </c>
      <c r="AA50" s="23">
        <f t="shared" si="23"/>
        <v>97.140937121100436</v>
      </c>
      <c r="AB50" s="23"/>
    </row>
    <row r="51" spans="1:28" x14ac:dyDescent="0.25">
      <c r="A51" s="23">
        <f t="shared" si="17"/>
        <v>27</v>
      </c>
      <c r="B51" s="23">
        <f>EXP(((A51)*((LN('FB analysis'!$B$26*1000)-LN('FB analysis'!$B$25))/50))+LN('FB analysis'!$B$25))</f>
        <v>416.86938347033532</v>
      </c>
      <c r="C51" s="36" t="str">
        <f t="shared" si="1"/>
        <v>2619,26758523382i</v>
      </c>
      <c r="D51" s="23" t="str">
        <f t="shared" si="2"/>
        <v>1+0,0104770703409353i</v>
      </c>
      <c r="E51" s="23" t="str">
        <f t="shared" si="3"/>
        <v>1+1,28018943559815i</v>
      </c>
      <c r="F51" s="23" t="str">
        <f t="shared" si="18"/>
        <v>0,0198715100799739i</v>
      </c>
      <c r="G51" s="23" t="str">
        <f t="shared" si="4"/>
        <v>2,37883430151417-3,10506184024339i</v>
      </c>
      <c r="H51" s="23">
        <f t="shared" si="5"/>
        <v>11.846988582058076</v>
      </c>
      <c r="I51" s="23">
        <f t="shared" si="6"/>
        <v>-52.543734664801747</v>
      </c>
      <c r="J51" s="23" t="str">
        <f>IMPRODUCT(Sheet1!$B$12,IMDIV(IMSUM($L$21,IMDIV(C51,Sheet1!$C$12)),IMSUM($L$21,IMDIV(C51,Sheet1!$D$12))))</f>
        <v>0,882933994800835-0,228057479885919i</v>
      </c>
      <c r="K51" s="23">
        <f t="shared" si="7"/>
        <v>-0.80094578565768682</v>
      </c>
      <c r="L51" s="23">
        <f t="shared" si="8"/>
        <v>-14.482677266548398</v>
      </c>
      <c r="M51" s="23" t="str">
        <f t="shared" si="9"/>
        <v>1,39222109462932-3,28407561057923i</v>
      </c>
      <c r="N51" s="23">
        <f t="shared" si="10"/>
        <v>11.046042796400391</v>
      </c>
      <c r="O51" s="23">
        <f t="shared" si="11"/>
        <v>-67.026411931350111</v>
      </c>
      <c r="P51" s="23" t="str">
        <f>IMPRODUCT(-Sheet1!$D$6,IMDIV(IMSUM(COMPLEX(1,0),IMDIV(Sheet1!$B$6,C51)),IMSUM(COMPLEX(1,0),IMDIV(C51,Sheet1!$C$6))))</f>
        <v>-0,69625145299643+0,245056090600353i</v>
      </c>
      <c r="Q51" s="23">
        <f t="shared" si="12"/>
        <v>-2.6374809536552895</v>
      </c>
      <c r="R51" s="23">
        <f t="shared" si="13"/>
        <v>160.60971959384071</v>
      </c>
      <c r="S51" s="23" t="str">
        <f t="shared" si="14"/>
        <v>-0,16455322966343+2,62771467431713i</v>
      </c>
      <c r="T51" s="23">
        <f t="shared" si="15"/>
        <v>8.4085618427450921</v>
      </c>
      <c r="U51" s="23">
        <f t="shared" si="16"/>
        <v>93.583307662490569</v>
      </c>
      <c r="V51" s="23" t="str">
        <f>IMPRODUCT(-Sheet1!$J$6,IMDIV(IMSUM(COMPLEX(1,0),IMDIV(Sheet1!$H$6,C51)),IMSUM(COMPLEX(1,0),IMDIV(C51,Sheet1!$I$6))))</f>
        <v>-0,696422994983216+0,245194186388628i</v>
      </c>
      <c r="W51" s="23">
        <f t="shared" si="19"/>
        <v>-2.6350375932058014</v>
      </c>
      <c r="X51" s="23">
        <f t="shared" si="20"/>
        <v>160.60403051407934</v>
      </c>
      <c r="Y51" s="23" t="str">
        <f t="shared" si="21"/>
        <v>-0,16433853702585+2,62847029104164i</v>
      </c>
      <c r="Z51" s="23">
        <f t="shared" si="22"/>
        <v>8.4110052031945806</v>
      </c>
      <c r="AA51" s="23">
        <f t="shared" si="23"/>
        <v>93.577618582729215</v>
      </c>
      <c r="AB51" s="23"/>
    </row>
    <row r="52" spans="1:28" x14ac:dyDescent="0.25">
      <c r="A52" s="23">
        <f t="shared" si="17"/>
        <v>28</v>
      </c>
      <c r="B52" s="23">
        <f>EXP(((A52)*((LN('FB analysis'!$B$26*1000)-LN('FB analysis'!$B$25))/50))+LN('FB analysis'!$B$25))</f>
        <v>478.63009232263886</v>
      </c>
      <c r="C52" s="36" t="str">
        <f t="shared" si="1"/>
        <v>3007,32156365561i</v>
      </c>
      <c r="D52" s="23" t="str">
        <f t="shared" si="2"/>
        <v>1+0,0120292862546224i</v>
      </c>
      <c r="E52" s="23" t="str">
        <f t="shared" si="3"/>
        <v>1+1,46985413668407i</v>
      </c>
      <c r="F52" s="23" t="str">
        <f t="shared" si="18"/>
        <v>0,0228155462629339i</v>
      </c>
      <c r="G52" s="23" t="str">
        <f t="shared" si="4"/>
        <v>1,9785503747698-2,97673351647443i</v>
      </c>
      <c r="H52" s="23">
        <f t="shared" si="5"/>
        <v>11.063814421589244</v>
      </c>
      <c r="I52" s="23">
        <f t="shared" si="6"/>
        <v>-56.389140346892184</v>
      </c>
      <c r="J52" s="23" t="str">
        <f>IMPRODUCT(Sheet1!$B$12,IMDIV(IMSUM($L$21,IMDIV(C52,Sheet1!$C$12)),IMSUM($L$21,IMDIV(C52,Sheet1!$D$12))))</f>
        <v>0,855408854234851-0,245774730714808i</v>
      </c>
      <c r="K52" s="23">
        <f t="shared" si="7"/>
        <v>-1.0120379833756608</v>
      </c>
      <c r="L52" s="23">
        <f t="shared" si="8"/>
        <v>-16.030333993950052</v>
      </c>
      <c r="M52" s="23" t="str">
        <f t="shared" si="9"/>
        <v>0,960863630706523-3,0326018922546i</v>
      </c>
      <c r="N52" s="23">
        <f t="shared" si="10"/>
        <v>10.051776438213578</v>
      </c>
      <c r="O52" s="23">
        <f t="shared" si="11"/>
        <v>-72.419474340842243</v>
      </c>
      <c r="P52" s="23" t="str">
        <f>IMPRODUCT(-Sheet1!$D$6,IMDIV(IMSUM(COMPLEX(1,0),IMDIV(Sheet1!$B$6,C52)),IMSUM(COMPLEX(1,0),IMDIV(C52,Sheet1!$C$6))))</f>
        <v>-0,695669886411862+0,223304974094009i</v>
      </c>
      <c r="Q52" s="23">
        <f t="shared" si="12"/>
        <v>-2.7260377411494137</v>
      </c>
      <c r="R52" s="23">
        <f t="shared" si="13"/>
        <v>162.20374756984188</v>
      </c>
      <c r="S52" s="23" t="str">
        <f t="shared" si="14"/>
        <v>0,0087511941564602+2,32425544207995i</v>
      </c>
      <c r="T52" s="23">
        <f t="shared" si="15"/>
        <v>7.3257386970641623</v>
      </c>
      <c r="U52" s="23">
        <f t="shared" si="16"/>
        <v>89.784273228999638</v>
      </c>
      <c r="V52" s="23" t="str">
        <f>IMPRODUCT(-Sheet1!$J$6,IMDIV(IMSUM(COMPLEX(1,0),IMDIV(Sheet1!$H$6,C52)),IMSUM(COMPLEX(1,0),IMDIV(C52,Sheet1!$I$6))))</f>
        <v>-0,695837052971649+0,223463404885212i</v>
      </c>
      <c r="W52" s="23">
        <f t="shared" si="19"/>
        <v>-2.7235701480758587</v>
      </c>
      <c r="X52" s="23">
        <f t="shared" si="20"/>
        <v>162.19592679891596</v>
      </c>
      <c r="Y52" s="23" t="str">
        <f t="shared" si="21"/>
        <v>0,00907102740608401+2,32491462209073i</v>
      </c>
      <c r="Z52" s="23">
        <f t="shared" si="22"/>
        <v>7.3282062901377074</v>
      </c>
      <c r="AA52" s="23">
        <f t="shared" si="23"/>
        <v>89.776452458073734</v>
      </c>
      <c r="AB52" s="23"/>
    </row>
    <row r="53" spans="1:28" x14ac:dyDescent="0.25">
      <c r="A53" s="23">
        <f t="shared" si="17"/>
        <v>29</v>
      </c>
      <c r="B53" s="23">
        <f>EXP(((A53)*((LN('FB analysis'!$B$26*1000)-LN('FB analysis'!$B$25))/50))+LN('FB analysis'!$B$25))</f>
        <v>549.54087385762477</v>
      </c>
      <c r="C53" s="36" t="str">
        <f t="shared" si="1"/>
        <v>3452,86714431686i</v>
      </c>
      <c r="D53" s="23" t="str">
        <f t="shared" si="2"/>
        <v>1+0,0138114685772674i</v>
      </c>
      <c r="E53" s="23" t="str">
        <f t="shared" si="3"/>
        <v>1+1,68761835010599i</v>
      </c>
      <c r="F53" s="23" t="str">
        <f t="shared" si="18"/>
        <v>0,0261957520682172i</v>
      </c>
      <c r="G53" s="23" t="str">
        <f t="shared" si="4"/>
        <v>1,61668351517862-2,80706103257431i</v>
      </c>
      <c r="H53" s="23">
        <f t="shared" si="5"/>
        <v>10.209103191695764</v>
      </c>
      <c r="I53" s="23">
        <f t="shared" si="6"/>
        <v>-60.060872079437274</v>
      </c>
      <c r="J53" s="23" t="str">
        <f>IMPRODUCT(Sheet1!$B$12,IMDIV(IMSUM($L$21,IMDIV(C53,Sheet1!$C$12)),IMSUM($L$21,IMDIV(C53,Sheet1!$D$12))))</f>
        <v>0,823899853917505-0,261065449924687i</v>
      </c>
      <c r="K53" s="23">
        <f t="shared" si="7"/>
        <v>-1.2669908523475462</v>
      </c>
      <c r="L53" s="23">
        <f t="shared" si="8"/>
        <v>-17.581612897481847</v>
      </c>
      <c r="M53" s="23" t="str">
        <f t="shared" si="9"/>
        <v>0,599158660551435-2,73479738395143i</v>
      </c>
      <c r="N53" s="23">
        <f t="shared" si="10"/>
        <v>8.9421123393482294</v>
      </c>
      <c r="O53" s="23">
        <f t="shared" si="11"/>
        <v>-77.642484976919135</v>
      </c>
      <c r="P53" s="23" t="str">
        <f>IMPRODUCT(-Sheet1!$D$6,IMDIV(IMSUM(COMPLEX(1,0),IMDIV(Sheet1!$B$6,C53)),IMSUM(COMPLEX(1,0),IMDIV(C53,Sheet1!$C$6))))</f>
        <v>-0,694904715258185+0,205800906230484i</v>
      </c>
      <c r="Q53" s="23">
        <f t="shared" si="12"/>
        <v>-2.7963676976780274</v>
      </c>
      <c r="R53" s="23">
        <f t="shared" si="13"/>
        <v>163.50297506926546</v>
      </c>
      <c r="S53" s="23" t="str">
        <f t="shared" si="14"/>
        <v>0,14646560156899+2,02373099270092i</v>
      </c>
      <c r="T53" s="23">
        <f t="shared" si="15"/>
        <v>6.1457446416701771</v>
      </c>
      <c r="U53" s="23">
        <f t="shared" si="16"/>
        <v>85.860490092346367</v>
      </c>
      <c r="V53" s="23" t="str">
        <f>IMPRODUCT(-Sheet1!$J$6,IMDIV(IMSUM(COMPLEX(1,0),IMDIV(Sheet1!$H$6,C53)),IMSUM(COMPLEX(1,0),IMDIV(C53,Sheet1!$I$6))))</f>
        <v>-0,695066135896438+0,205982456131828i</v>
      </c>
      <c r="W53" s="23">
        <f t="shared" si="19"/>
        <v>-2.7938950839870449</v>
      </c>
      <c r="X53" s="23">
        <f t="shared" si="20"/>
        <v>163.49283979529713</v>
      </c>
      <c r="Y53" s="23" t="str">
        <f t="shared" si="21"/>
        <v>0,146865387190841+2,02428122263585i</v>
      </c>
      <c r="Z53" s="23">
        <f t="shared" si="22"/>
        <v>6.1482172553611916</v>
      </c>
      <c r="AA53" s="23">
        <f t="shared" si="23"/>
        <v>85.850354818378023</v>
      </c>
      <c r="AB53" s="23"/>
    </row>
    <row r="54" spans="1:28" x14ac:dyDescent="0.25">
      <c r="A54" s="23">
        <f t="shared" si="17"/>
        <v>30</v>
      </c>
      <c r="B54" s="23">
        <f>EXP(((A54)*((LN('FB analysis'!$B$26*1000)-LN('FB analysis'!$B$25))/50))+LN('FB analysis'!$B$25))</f>
        <v>630.9573444801938</v>
      </c>
      <c r="C54" s="36" t="str">
        <f t="shared" si="1"/>
        <v>3964,421916295i</v>
      </c>
      <c r="D54" s="23" t="str">
        <f t="shared" si="2"/>
        <v>1+0,01585768766518i</v>
      </c>
      <c r="E54" s="23" t="str">
        <f t="shared" si="3"/>
        <v>1+1,93764512037879i</v>
      </c>
      <c r="F54" s="23" t="str">
        <f t="shared" si="18"/>
        <v>0,030076747604958i</v>
      </c>
      <c r="G54" s="23" t="str">
        <f t="shared" si="4"/>
        <v>1,29957993691708-2,60851340671502i</v>
      </c>
      <c r="H54" s="23">
        <f t="shared" si="5"/>
        <v>9.290739182971091</v>
      </c>
      <c r="I54" s="23">
        <f t="shared" si="6"/>
        <v>-63.517187572337143</v>
      </c>
      <c r="J54" s="23" t="str">
        <f>IMPRODUCT(Sheet1!$B$12,IMDIV(IMSUM($L$21,IMDIV(C54,Sheet1!$C$12)),IMSUM($L$21,IMDIV(C54,Sheet1!$D$12))))</f>
        <v>0,788923144424365-0,27282336063941i</v>
      </c>
      <c r="K54" s="23">
        <f t="shared" si="7"/>
        <v>-1.5687171817358729</v>
      </c>
      <c r="L54" s="23">
        <f t="shared" si="8"/>
        <v>-19.076276575348309</v>
      </c>
      <c r="M54" s="23" t="str">
        <f t="shared" si="9"/>
        <v>0,313605296370493-2,412472364908i</v>
      </c>
      <c r="N54" s="23">
        <f t="shared" si="10"/>
        <v>7.7220220012352305</v>
      </c>
      <c r="O54" s="23">
        <f t="shared" si="11"/>
        <v>-82.593464147685452</v>
      </c>
      <c r="P54" s="23" t="str">
        <f>IMPRODUCT(-Sheet1!$D$6,IMDIV(IMSUM(COMPLEX(1,0),IMDIV(Sheet1!$B$6,C54)),IMSUM(COMPLEX(1,0),IMDIV(C54,Sheet1!$C$6))))</f>
        <v>-0,69389859153166+0,19219811301667i</v>
      </c>
      <c r="Q54" s="23">
        <f t="shared" si="12"/>
        <v>-2.8530537661713975</v>
      </c>
      <c r="R54" s="23">
        <f t="shared" si="13"/>
        <v>164.51817312508402</v>
      </c>
      <c r="S54" s="23" t="str">
        <f t="shared" si="14"/>
        <v>0,246062362791827+1,73428552231315i</v>
      </c>
      <c r="T54" s="23">
        <f t="shared" si="15"/>
        <v>4.8689682350638028</v>
      </c>
      <c r="U54" s="23">
        <f t="shared" si="16"/>
        <v>81.924708977398538</v>
      </c>
      <c r="V54" s="23" t="str">
        <f>IMPRODUCT(-Sheet1!$J$6,IMDIV(IMSUM(COMPLEX(1,0),IMDIV(Sheet1!$H$6,C54)),IMSUM(COMPLEX(1,0),IMDIV(C54,Sheet1!$I$6))))</f>
        <v>-0,694052475633689+0,192405884540687i</v>
      </c>
      <c r="W54" s="23">
        <f t="shared" si="19"/>
        <v>-2.8505958612986673</v>
      </c>
      <c r="X54" s="23">
        <f t="shared" si="20"/>
        <v>164.50551191883895</v>
      </c>
      <c r="Y54" s="23" t="str">
        <f t="shared" si="21"/>
        <v>0,246515346982309+1,73472192170706i</v>
      </c>
      <c r="Z54" s="23">
        <f t="shared" si="22"/>
        <v>4.8714261399365313</v>
      </c>
      <c r="AA54" s="23">
        <f t="shared" si="23"/>
        <v>81.912047771153468</v>
      </c>
      <c r="AB54" s="23"/>
    </row>
    <row r="55" spans="1:28" x14ac:dyDescent="0.25">
      <c r="A55" s="23">
        <f t="shared" si="17"/>
        <v>31</v>
      </c>
      <c r="B55" s="23">
        <f>EXP(((A55)*((LN('FB analysis'!$B$26*1000)-LN('FB analysis'!$B$25))/50))+LN('FB analysis'!$B$25))</f>
        <v>724.43596007499025</v>
      </c>
      <c r="C55" s="36" t="str">
        <f t="shared" si="1"/>
        <v>4551,76538033572i</v>
      </c>
      <c r="D55" s="23" t="str">
        <f t="shared" si="2"/>
        <v>1+0,0182070615213429i</v>
      </c>
      <c r="E55" s="23" t="str">
        <f t="shared" si="3"/>
        <v>1+2,22471426213867i</v>
      </c>
      <c r="F55" s="23" t="str">
        <f t="shared" si="18"/>
        <v>0,0345327266854803i</v>
      </c>
      <c r="G55" s="23" t="str">
        <f t="shared" si="4"/>
        <v>1,02919857354718-2,39346845167349i</v>
      </c>
      <c r="H55" s="23">
        <f t="shared" si="5"/>
        <v>8.3173805453449727</v>
      </c>
      <c r="I55" s="23">
        <f t="shared" si="6"/>
        <v>-66.732150955140327</v>
      </c>
      <c r="J55" s="23" t="str">
        <f>IMPRODUCT(Sheet1!$B$12,IMDIV(IMSUM($L$21,IMDIV(C55,Sheet1!$C$12)),IMSUM($L$21,IMDIV(C55,Sheet1!$D$12))))</f>
        <v>0,751398472305961-0,280083391257499i</v>
      </c>
      <c r="K55" s="23">
        <f t="shared" si="7"/>
        <v>-1.9175770885784384</v>
      </c>
      <c r="L55" s="23">
        <f t="shared" si="8"/>
        <v>-20.442913824525984</v>
      </c>
      <c r="M55" s="23" t="str">
        <f t="shared" si="9"/>
        <v>0,102967475050279-2,08670996485645i</v>
      </c>
      <c r="N55" s="23">
        <f t="shared" si="10"/>
        <v>6.3998034567665387</v>
      </c>
      <c r="O55" s="23">
        <f t="shared" si="11"/>
        <v>-87.175064779666315</v>
      </c>
      <c r="P55" s="23" t="str">
        <f>IMPRODUCT(-Sheet1!$D$6,IMDIV(IMSUM(COMPLEX(1,0),IMDIV(Sheet1!$B$6,C55)),IMSUM(COMPLEX(1,0),IMDIV(C55,Sheet1!$C$6))))</f>
        <v>-0,692576705503482+0,182219788701948i</v>
      </c>
      <c r="Q55" s="23">
        <f t="shared" si="12"/>
        <v>-2.8999563015257683</v>
      </c>
      <c r="R55" s="23">
        <f t="shared" si="13"/>
        <v>165.25931840150923</v>
      </c>
      <c r="S55" s="23" t="str">
        <f t="shared" si="14"/>
        <v>0,308926974234057+1,4639694243484i</v>
      </c>
      <c r="T55" s="23">
        <f t="shared" si="15"/>
        <v>3.4998471552407602</v>
      </c>
      <c r="U55" s="23">
        <f t="shared" si="16"/>
        <v>78.084253621842919</v>
      </c>
      <c r="V55" s="23" t="str">
        <f>IMPRODUCT(-Sheet1!$J$6,IMDIV(IMSUM(COMPLEX(1,0),IMDIV(Sheet1!$H$6,C55)),IMSUM(COMPLEX(1,0),IMDIV(C55,Sheet1!$I$6))))</f>
        <v>-0,692720720222758+0,182457200651979i</v>
      </c>
      <c r="W55" s="23">
        <f t="shared" si="19"/>
        <v>-2.8975344405086956</v>
      </c>
      <c r="X55" s="23">
        <f t="shared" si="20"/>
        <v>165.24388527739376</v>
      </c>
      <c r="Y55" s="23" t="str">
        <f t="shared" si="21"/>
        <v>0,309407555283949+1,46429438700724i</v>
      </c>
      <c r="Z55" s="23">
        <f t="shared" si="22"/>
        <v>3.5022690162578298</v>
      </c>
      <c r="AA55" s="23">
        <f t="shared" si="23"/>
        <v>78.068820497727486</v>
      </c>
      <c r="AB55" s="23"/>
    </row>
    <row r="56" spans="1:28" x14ac:dyDescent="0.25">
      <c r="A56" s="23">
        <f t="shared" si="17"/>
        <v>32</v>
      </c>
      <c r="B56" s="23">
        <f>EXP(((A56)*((LN('FB analysis'!$B$26*1000)-LN('FB analysis'!$B$25))/50))+LN('FB analysis'!$B$25))</f>
        <v>831.7637711026714</v>
      </c>
      <c r="C56" s="36" t="str">
        <f t="shared" ref="C56:C74" si="24">COMPLEX(0,(2*PI()*B56))</f>
        <v>5226,12590563659i</v>
      </c>
      <c r="D56" s="23" t="str">
        <f t="shared" ref="D56:D74" si="25">IMSUM(L$21,IMDIV(C56,H$21))</f>
        <v>1+0,0209045036225464i</v>
      </c>
      <c r="E56" s="23" t="str">
        <f t="shared" ref="E56:E74" si="26">IMSUM(L$21,IMDIV(C56,I$21))</f>
        <v>1+2,55431373687028i</v>
      </c>
      <c r="F56" s="23" t="str">
        <f t="shared" ref="F56:F74" si="27">IMDIV(C56,IMPRODUCT(J$21,K$21))</f>
        <v>0,0396488752040962i</v>
      </c>
      <c r="G56" s="23" t="str">
        <f t="shared" ref="G56:G74" si="28">IMPRODUCT(IMPRODUCT(F$21,IMDIV(D56,E56)),IMDIV(L$21,IMSUM(L$21,F56,IMPOWER(IMDIV(C56,J$21),2))))</f>
        <v>0,803978718083812-2,17281092275377i</v>
      </c>
      <c r="H56" s="23">
        <f t="shared" ref="H56:H74" si="29">20*LOG((IMABS(G56)))</f>
        <v>7.2977116996802449</v>
      </c>
      <c r="I56" s="23">
        <f t="shared" ref="I56:I74" si="30">IMARGUMENT(G56)*180/PI()</f>
        <v>-69.694629222933585</v>
      </c>
      <c r="J56" s="23" t="str">
        <f>IMPRODUCT(Sheet1!$B$12,IMDIV(IMSUM($L$21,IMDIV(C56,Sheet1!$C$12)),IMSUM($L$21,IMDIV(C56,Sheet1!$D$12))))</f>
        <v>0,712584386686832-0,282198049468446i</v>
      </c>
      <c r="K56" s="23">
        <f t="shared" ref="K56:K74" si="31">20*LOG((IMABS(J56)))</f>
        <v>-2.3105700287976094</v>
      </c>
      <c r="L56" s="23">
        <f t="shared" ref="L56:L74" si="32">IMARGUMENT(J56)*180/PI()</f>
        <v>-21.604582757875367</v>
      </c>
      <c r="M56" s="23" t="str">
        <f t="shared" ref="M56:M74" si="33">IMPRODUCT(G56,J56)</f>
        <v>-0,0402603225298296-1,77519236483434i</v>
      </c>
      <c r="N56" s="23">
        <f t="shared" ref="N56:N74" si="34">20*LOG((IMABS(M56)))</f>
        <v>4.9871416708826448</v>
      </c>
      <c r="O56" s="23">
        <f t="shared" ref="O56:O74" si="35">IMARGUMENT(M56)*180/PI()</f>
        <v>-91.299211980808948</v>
      </c>
      <c r="P56" s="23" t="str">
        <f>IMPRODUCT(-Sheet1!$D$6,IMDIV(IMSUM(COMPLEX(1,0),IMDIV(Sheet1!$B$6,C56)),IMSUM(COMPLEX(1,0),IMDIV(C56,Sheet1!$C$6))))</f>
        <v>-0,690841796857264+0,175650029256548i</v>
      </c>
      <c r="Q56" s="23">
        <f t="shared" ref="Q56:Q74" si="36">20*LOG((IMABS(P56)))</f>
        <v>-2.9403770972911842</v>
      </c>
      <c r="R56" s="23">
        <f t="shared" ref="R56:R74" si="37">IMARGUMENT(P56)*180/PI()</f>
        <v>165.73453074816226</v>
      </c>
      <c r="S56" s="23" t="str">
        <f t="shared" ref="S56:S74" si="38">IMPRODUCT(J56,G56,P56)</f>
        <v>0,339626104377713+1,21930535625921i</v>
      </c>
      <c r="T56" s="23">
        <f t="shared" ref="T56:T74" si="39">20*LOG((IMABS(S56)))</f>
        <v>2.0467645735914699</v>
      </c>
      <c r="U56" s="23">
        <f t="shared" ref="U56:U74" si="40">IMARGUMENT(S56)*180/PI()</f>
        <v>74.435318767353337</v>
      </c>
      <c r="V56" s="23" t="str">
        <f>IMPRODUCT(-Sheet1!$J$6,IMDIV(IMSUM(COMPLEX(1,0),IMDIV(Sheet1!$H$6,C56)),IMSUM(COMPLEX(1,0),IMDIV(C56,Sheet1!$I$6))))</f>
        <v>-0,690972914383148+0,175920791087837i</v>
      </c>
      <c r="W56" s="23">
        <f t="shared" si="19"/>
        <v>-2.938015542026287</v>
      </c>
      <c r="X56" s="23">
        <f t="shared" si="20"/>
        <v>165.71604034101321</v>
      </c>
      <c r="Y56" s="23" t="str">
        <f t="shared" si="21"/>
        <v>0,340112037547187+1,2195272141314i</v>
      </c>
      <c r="Z56" s="23">
        <f t="shared" si="22"/>
        <v>2.0491261288563747</v>
      </c>
      <c r="AA56" s="23">
        <f t="shared" si="23"/>
        <v>74.416828360204306</v>
      </c>
      <c r="AB56" s="23"/>
    </row>
    <row r="57" spans="1:28" x14ac:dyDescent="0.25">
      <c r="A57" s="23">
        <f t="shared" ref="A57:A74" si="41">A56+1</f>
        <v>33</v>
      </c>
      <c r="B57" s="23">
        <f>EXP(((A57)*((LN('FB analysis'!$B$26*1000)-LN('FB analysis'!$B$25))/50))+LN('FB analysis'!$B$25))</f>
        <v>954.99258602143675</v>
      </c>
      <c r="C57" s="36" t="str">
        <f t="shared" si="24"/>
        <v>6000,39538495533i</v>
      </c>
      <c r="D57" s="23" t="str">
        <f t="shared" si="25"/>
        <v>1+0,0240015815398213i</v>
      </c>
      <c r="E57" s="23" t="str">
        <f t="shared" si="26"/>
        <v>1+2,93274456742685i</v>
      </c>
      <c r="F57" s="23" t="str">
        <f t="shared" si="27"/>
        <v>0,0455229996538611i</v>
      </c>
      <c r="G57" s="23" t="str">
        <f t="shared" si="28"/>
        <v>0,619998341185514-1,95518901813593i</v>
      </c>
      <c r="H57" s="23">
        <f t="shared" si="29"/>
        <v>6.2398923928050838</v>
      </c>
      <c r="I57" s="23">
        <f t="shared" si="30"/>
        <v>-72.405968222808156</v>
      </c>
      <c r="J57" s="23" t="str">
        <f>IMPRODUCT(Sheet1!$B$12,IMDIV(IMSUM($L$21,IMDIV(C57,Sheet1!$C$12)),IMSUM($L$21,IMDIV(C57,Sheet1!$D$12))))</f>
        <v>0,673924434648286-0,278971159569775i</v>
      </c>
      <c r="K57" s="23">
        <f t="shared" si="31"/>
        <v>-2.7408914201701546</v>
      </c>
      <c r="L57" s="23">
        <f t="shared" si="32"/>
        <v>-22.48711942959482</v>
      </c>
      <c r="M57" s="23" t="str">
        <f t="shared" si="33"/>
        <v>-0,127609316001148-1,49061130984965i</v>
      </c>
      <c r="N57" s="23">
        <f t="shared" si="34"/>
        <v>3.4990009726349114</v>
      </c>
      <c r="O57" s="23">
        <f t="shared" si="35"/>
        <v>-94.893087652402983</v>
      </c>
      <c r="P57" s="23" t="str">
        <f>IMPRODUCT(-Sheet1!$D$6,IMDIV(IMSUM(COMPLEX(1,0),IMDIV(Sheet1!$B$6,C57)),IMSUM(COMPLEX(1,0),IMDIV(C57,Sheet1!$C$6))))</f>
        <v>-0,688567979621537+0,172325609536351i</v>
      </c>
      <c r="Q57" s="23">
        <f t="shared" si="36"/>
        <v>-2.9772289116545019</v>
      </c>
      <c r="R57" s="23">
        <f t="shared" si="37"/>
        <v>165.94937759121859</v>
      </c>
      <c r="S57" s="23" t="str">
        <f t="shared" si="38"/>
        <v>0,344738191451417+1,00439686486177i</v>
      </c>
      <c r="T57" s="23">
        <f t="shared" si="39"/>
        <v>0.52177206098039619</v>
      </c>
      <c r="U57" s="23">
        <f t="shared" si="40"/>
        <v>71.056289938815553</v>
      </c>
      <c r="V57" s="23" t="str">
        <f>IMPRODUCT(-Sheet1!$J$6,IMDIV(IMSUM(COMPLEX(1,0),IMDIV(Sheet1!$H$6,C57)),IMSUM(COMPLEX(1,0),IMDIV(C57,Sheet1!$I$6))))</f>
        <v>-0,68868228977181+0,172633658403792i</v>
      </c>
      <c r="W57" s="23">
        <f t="shared" si="19"/>
        <v>-2.9749564299025999</v>
      </c>
      <c r="X57" s="23">
        <f t="shared" si="20"/>
        <v>165.92750155553543</v>
      </c>
      <c r="Y57" s="23" t="str">
        <f t="shared" si="21"/>
        <v>0,345211959617299+1,00452794695933i</v>
      </c>
      <c r="Z57" s="23">
        <f t="shared" si="22"/>
        <v>0.52404454273230927</v>
      </c>
      <c r="AA57" s="23">
        <f t="shared" si="23"/>
        <v>71.034413903132418</v>
      </c>
      <c r="AB57" s="23"/>
    </row>
    <row r="58" spans="1:28" x14ac:dyDescent="0.25">
      <c r="A58" s="23">
        <f t="shared" si="41"/>
        <v>34</v>
      </c>
      <c r="B58" s="23">
        <f>EXP(((A58)*((LN('FB analysis'!$B$26*1000)-LN('FB analysis'!$B$25))/50))+LN('FB analysis'!$B$25))</f>
        <v>1096.4781961431854</v>
      </c>
      <c r="C58" s="36" t="str">
        <f t="shared" si="24"/>
        <v>6889,37569164964i</v>
      </c>
      <c r="D58" s="23" t="str">
        <f t="shared" si="25"/>
        <v>1+0,0275575027665986i</v>
      </c>
      <c r="E58" s="23" t="str">
        <f t="shared" si="26"/>
        <v>1+3,36724129601644i</v>
      </c>
      <c r="F58" s="23" t="str">
        <f t="shared" si="27"/>
        <v>0,0522673969139819i</v>
      </c>
      <c r="G58" s="23" t="str">
        <f t="shared" si="28"/>
        <v>0,472083051952713-1,74684494495682i</v>
      </c>
      <c r="H58" s="23">
        <f t="shared" si="29"/>
        <v>5.1512240339214399</v>
      </c>
      <c r="I58" s="23">
        <f t="shared" si="30"/>
        <v>-74.877129887804685</v>
      </c>
      <c r="J58" s="23" t="str">
        <f>IMPRODUCT(Sheet1!$B$12,IMDIV(IMSUM($L$21,IMDIV(C58,Sheet1!$C$12)),IMSUM($L$21,IMDIV(C58,Sheet1!$D$12))))</f>
        <v>0,636839571711479-0,270700697588464i</v>
      </c>
      <c r="K58" s="23">
        <f t="shared" si="31"/>
        <v>-3.1980639642958026</v>
      </c>
      <c r="L58" s="23">
        <f t="shared" si="32"/>
        <v>-23.028835749393213</v>
      </c>
      <c r="M58" s="23" t="str">
        <f t="shared" si="33"/>
        <v>-0,172230976560879-1,24025319807595i</v>
      </c>
      <c r="N58" s="23">
        <f t="shared" si="34"/>
        <v>1.9531600696256104</v>
      </c>
      <c r="O58" s="23">
        <f t="shared" si="35"/>
        <v>-97.90596563719788</v>
      </c>
      <c r="P58" s="23" t="str">
        <f>IMPRODUCT(-Sheet1!$D$6,IMDIV(IMSUM(COMPLEX(1,0),IMDIV(Sheet1!$B$6,C58)),IMSUM(COMPLEX(1,0),IMDIV(C58,Sheet1!$C$6))))</f>
        <v>-0,685593277388267+0,172126867854482i</v>
      </c>
      <c r="Q58" s="23">
        <f t="shared" si="36"/>
        <v>-3.0132037459733318</v>
      </c>
      <c r="R58" s="23">
        <f t="shared" si="37"/>
        <v>165.90646678624032</v>
      </c>
      <c r="S58" s="23" t="str">
        <f t="shared" si="38"/>
        <v>0,331561298019474+0,82066367631723i</v>
      </c>
      <c r="T58" s="23">
        <f t="shared" si="39"/>
        <v>-1.0600436763476924</v>
      </c>
      <c r="U58" s="23">
        <f t="shared" si="40"/>
        <v>68.000501149042421</v>
      </c>
      <c r="V58" s="23" t="str">
        <f>IMPRODUCT(-Sheet1!$J$6,IMDIV(IMSUM(COMPLEX(1,0),IMDIV(Sheet1!$H$6,C58)),IMSUM(COMPLEX(1,0),IMDIV(C58,Sheet1!$I$6))))</f>
        <v>-0,68568576389982+0,172476248771298i</v>
      </c>
      <c r="W58" s="23">
        <f t="shared" si="19"/>
        <v>-3.0110554931974551</v>
      </c>
      <c r="X58" s="23">
        <f t="shared" si="20"/>
        <v>165.88083173442459</v>
      </c>
      <c r="Y58" s="23" t="str">
        <f t="shared" si="21"/>
        <v>0,332010547861105+0,820718208792467i</v>
      </c>
      <c r="Z58" s="23">
        <f t="shared" si="22"/>
        <v>-1.0578954235718179</v>
      </c>
      <c r="AA58" s="23">
        <f t="shared" si="23"/>
        <v>67.974866097226652</v>
      </c>
      <c r="AB58" s="23"/>
    </row>
    <row r="59" spans="1:28" x14ac:dyDescent="0.25">
      <c r="A59" s="23">
        <f t="shared" si="41"/>
        <v>35</v>
      </c>
      <c r="B59" s="23">
        <f>EXP(((A59)*((LN('FB analysis'!$B$26*1000)-LN('FB analysis'!$B$25))/50))+LN('FB analysis'!$B$25))</f>
        <v>1258.925411794168</v>
      </c>
      <c r="C59" s="36" t="str">
        <f t="shared" si="24"/>
        <v>7910,06165022013i</v>
      </c>
      <c r="D59" s="23" t="str">
        <f t="shared" si="25"/>
        <v>1+0,0316402466008805i</v>
      </c>
      <c r="E59" s="23" t="str">
        <f t="shared" si="26"/>
        <v>1+3,86611028847514i</v>
      </c>
      <c r="F59" s="23" t="str">
        <f t="shared" si="27"/>
        <v>0,0600110010530033i</v>
      </c>
      <c r="G59" s="23" t="str">
        <f t="shared" si="28"/>
        <v>0,354677968401912-1,55182711611056i</v>
      </c>
      <c r="H59" s="23">
        <f t="shared" si="29"/>
        <v>4.0380041650515457</v>
      </c>
      <c r="I59" s="23">
        <f t="shared" si="30"/>
        <v>-77.12588871903877</v>
      </c>
      <c r="J59" s="23" t="str">
        <f>IMPRODUCT(Sheet1!$B$12,IMDIV(IMSUM($L$21,IMDIV(C59,Sheet1!$C$12)),IMSUM($L$21,IMDIV(C59,Sheet1!$D$12))))</f>
        <v>0,602527323285025-0,258114146121698i</v>
      </c>
      <c r="K59" s="23">
        <f t="shared" si="31"/>
        <v>-3.6687296564280421</v>
      </c>
      <c r="L59" s="23">
        <f t="shared" si="32"/>
        <v>-23.189604284551798</v>
      </c>
      <c r="M59" s="23" t="str">
        <f t="shared" si="33"/>
        <v>-0,186845364074-1,02656563943345i</v>
      </c>
      <c r="N59" s="23">
        <f t="shared" si="34"/>
        <v>0.36927450862347311</v>
      </c>
      <c r="O59" s="23">
        <f t="shared" si="35"/>
        <v>-100.3154930035906</v>
      </c>
      <c r="P59" s="23" t="str">
        <f>IMPRODUCT(-Sheet1!$D$6,IMDIV(IMSUM(COMPLEX(1,0),IMDIV(Sheet1!$B$6,C59)),IMSUM(COMPLEX(1,0),IMDIV(C59,Sheet1!$C$6))))</f>
        <v>-0,681710907415371+0,174966738360031i</v>
      </c>
      <c r="Q59" s="23">
        <f t="shared" si="36"/>
        <v>-3.0509386398269656</v>
      </c>
      <c r="R59" s="23">
        <f t="shared" si="37"/>
        <v>165.60527299812418</v>
      </c>
      <c r="S59" s="23" t="str">
        <f t="shared" si="38"/>
        <v>0,306989364333393+0,6671292696499i</v>
      </c>
      <c r="T59" s="23">
        <f t="shared" si="39"/>
        <v>-2.681664131203461</v>
      </c>
      <c r="U59" s="23">
        <f t="shared" si="40"/>
        <v>65.289779994533603</v>
      </c>
      <c r="V59" s="23" t="str">
        <f>IMPRODUCT(-Sheet1!$J$6,IMDIV(IMSUM(COMPLEX(1,0),IMDIV(Sheet1!$H$6,C59)),IMSUM(COMPLEX(1,0),IMDIV(C59,Sheet1!$I$6))))</f>
        <v>-0,681775191676886+0,175361400684707i</v>
      </c>
      <c r="W59" s="23">
        <f t="shared" si="19"/>
        <v>-3.0489583968210301</v>
      </c>
      <c r="X59" s="23">
        <f t="shared" si="20"/>
        <v>165.57546059025955</v>
      </c>
      <c r="Y59" s="23" t="str">
        <f t="shared" si="21"/>
        <v>0,307406522331331+0,667121520838187i</v>
      </c>
      <c r="Z59" s="23">
        <f t="shared" si="22"/>
        <v>-2.6796838881975313</v>
      </c>
      <c r="AA59" s="23">
        <f t="shared" si="23"/>
        <v>65.259967586668949</v>
      </c>
      <c r="AB59" s="23"/>
    </row>
    <row r="60" spans="1:28" x14ac:dyDescent="0.25">
      <c r="A60" s="23">
        <f t="shared" si="41"/>
        <v>36</v>
      </c>
      <c r="B60" s="23">
        <f>EXP(((A60)*((LN('FB analysis'!$B$26*1000)-LN('FB analysis'!$B$25))/50))+LN('FB analysis'!$B$25))</f>
        <v>1445.4397707459289</v>
      </c>
      <c r="C60" s="36" t="str">
        <f t="shared" si="24"/>
        <v>9081,96592996385i</v>
      </c>
      <c r="D60" s="23" t="str">
        <f t="shared" si="25"/>
        <v>1+0,0363278637198554i</v>
      </c>
      <c r="E60" s="23" t="str">
        <f t="shared" si="26"/>
        <v>1+4,43888852881909i</v>
      </c>
      <c r="F60" s="23" t="str">
        <f t="shared" si="27"/>
        <v>0,068901848188659i</v>
      </c>
      <c r="G60" s="23" t="str">
        <f t="shared" si="28"/>
        <v>0,262431911116969-1,3723895978938i</v>
      </c>
      <c r="H60" s="23">
        <f t="shared" si="29"/>
        <v>2.9055183002186031</v>
      </c>
      <c r="I60" s="23">
        <f t="shared" si="30"/>
        <v>-79.174438806244694</v>
      </c>
      <c r="J60" s="23" t="str">
        <f>IMPRODUCT(Sheet1!$B$12,IMDIV(IMSUM($L$21,IMDIV(C60,Sheet1!$C$12)),IMSUM($L$21,IMDIV(C60,Sheet1!$D$12))))</f>
        <v>0,571824950863698-0,242221189610725i</v>
      </c>
      <c r="K60" s="23">
        <f t="shared" si="31"/>
        <v>-4.1380116977429511</v>
      </c>
      <c r="L60" s="23">
        <f t="shared" si="32"/>
        <v>-22.95718783727288</v>
      </c>
      <c r="M60" s="23" t="str">
        <f t="shared" si="33"/>
        <v>-0,182356726331694-0,848333184084041i</v>
      </c>
      <c r="N60" s="23">
        <f t="shared" si="34"/>
        <v>-1.2324933975243435</v>
      </c>
      <c r="O60" s="23">
        <f t="shared" si="35"/>
        <v>-102.13162664351759</v>
      </c>
      <c r="P60" s="23" t="str">
        <f>IMPRODUCT(-Sheet1!$D$6,IMDIV(IMSUM(COMPLEX(1,0),IMDIV(Sheet1!$B$6,C60)),IMSUM(COMPLEX(1,0),IMDIV(C60,Sheet1!$C$6))))</f>
        <v>-0,676659636749912+0,180776703289155i</v>
      </c>
      <c r="Q60" s="23">
        <f t="shared" si="36"/>
        <v>-3.0931806523569323</v>
      </c>
      <c r="R60" s="23">
        <f t="shared" si="37"/>
        <v>165.04217184747782</v>
      </c>
      <c r="S60" s="23" t="str">
        <f t="shared" si="38"/>
        <v>0,276752312508012+0,541066976376357i</v>
      </c>
      <c r="T60" s="23">
        <f t="shared" si="39"/>
        <v>-4.3256740498812762</v>
      </c>
      <c r="U60" s="23">
        <f t="shared" si="40"/>
        <v>62.910545203960233</v>
      </c>
      <c r="V60" s="23" t="str">
        <f>IMPRODUCT(-Sheet1!$J$6,IMDIV(IMSUM(COMPLEX(1,0),IMDIV(Sheet1!$H$6,C60)),IMSUM(COMPLEX(1,0),IMDIV(C60,Sheet1!$I$6))))</f>
        <v>-0,676687702917535+0,181220178726409i</v>
      </c>
      <c r="W60" s="23">
        <f t="shared" si="19"/>
        <v>-3.0914234621346282</v>
      </c>
      <c r="X60" s="23">
        <f t="shared" si="20"/>
        <v>165.00772202565611</v>
      </c>
      <c r="Y60" s="23" t="str">
        <f t="shared" si="21"/>
        <v>0,277133645492209+0,541009915108756i</v>
      </c>
      <c r="Z60" s="23">
        <f t="shared" si="22"/>
        <v>-4.3239168596589703</v>
      </c>
      <c r="AA60" s="23">
        <f t="shared" si="23"/>
        <v>62.87609538213853</v>
      </c>
      <c r="AB60" s="23"/>
    </row>
    <row r="61" spans="1:28" x14ac:dyDescent="0.25">
      <c r="A61" s="23">
        <f t="shared" si="41"/>
        <v>37</v>
      </c>
      <c r="B61" s="23">
        <f>EXP(((A61)*((LN('FB analysis'!$B$26*1000)-LN('FB analysis'!$B$25))/50))+LN('FB analysis'!$B$25))</f>
        <v>1659.5869074375612</v>
      </c>
      <c r="C61" s="36" t="str">
        <f t="shared" si="24"/>
        <v>10427,4920727993i</v>
      </c>
      <c r="D61" s="23" t="str">
        <f t="shared" si="25"/>
        <v>1+0,0417099682911972i</v>
      </c>
      <c r="E61" s="23" t="str">
        <f t="shared" si="26"/>
        <v>1+5,0965259397846i</v>
      </c>
      <c r="F61" s="23" t="str">
        <f t="shared" si="27"/>
        <v>0,0791099065256373i</v>
      </c>
      <c r="G61" s="23" t="str">
        <f t="shared" si="28"/>
        <v>0,19052697084687-1,20943558974942i</v>
      </c>
      <c r="H61" s="23">
        <f t="shared" si="29"/>
        <v>1.7581176502391105</v>
      </c>
      <c r="I61" s="23">
        <f t="shared" si="30"/>
        <v>-81.047552255402479</v>
      </c>
      <c r="J61" s="23" t="str">
        <f>IMPRODUCT(Sheet1!$B$12,IMDIV(IMSUM($L$21,IMDIV(C61,Sheet1!$C$12)),IMSUM($L$21,IMDIV(C61,Sheet1!$D$12))))</f>
        <v>0,545164290846805-0,224135561932049i</v>
      </c>
      <c r="K61" s="23">
        <f t="shared" si="31"/>
        <v>-4.5911911598933646</v>
      </c>
      <c r="L61" s="23">
        <f t="shared" si="32"/>
        <v>-22.349228947417359</v>
      </c>
      <c r="M61" s="23" t="str">
        <f t="shared" si="33"/>
        <v>-0,167209024580182-0,702044965284604i</v>
      </c>
      <c r="N61" s="23">
        <f t="shared" si="34"/>
        <v>-2.8330735096542536</v>
      </c>
      <c r="O61" s="23">
        <f t="shared" si="35"/>
        <v>-103.39678120281988</v>
      </c>
      <c r="P61" s="23" t="str">
        <f>IMPRODUCT(-Sheet1!$D$6,IMDIV(IMSUM(COMPLEX(1,0),IMDIV(Sheet1!$B$6,C61)),IMSUM(COMPLEX(1,0),IMDIV(C61,Sheet1!$C$6))))</f>
        <v>-0,670114041968305+0,189488167017537i</v>
      </c>
      <c r="Q61" s="23">
        <f t="shared" si="36"/>
        <v>-3.1429533947695742</v>
      </c>
      <c r="R61" s="23">
        <f t="shared" si="37"/>
        <v>164.2106870082192</v>
      </c>
      <c r="S61" s="23" t="str">
        <f t="shared" si="38"/>
        <v>0,245078328950673+0,438766057753876i</v>
      </c>
      <c r="T61" s="23">
        <f t="shared" si="39"/>
        <v>-5.9760269044238221</v>
      </c>
      <c r="U61" s="23">
        <f t="shared" si="40"/>
        <v>60.813905805399422</v>
      </c>
      <c r="V61" s="23" t="str">
        <f>IMPRODUCT(-Sheet1!$J$6,IMDIV(IMSUM(COMPLEX(1,0),IMDIV(Sheet1!$H$6,C61)),IMSUM(COMPLEX(1,0),IMDIV(C61,Sheet1!$I$6))))</f>
        <v>-0,670095974926789+0,189983087283497i</v>
      </c>
      <c r="W61" s="23">
        <f t="shared" si="19"/>
        <v>-3.141488606678867</v>
      </c>
      <c r="X61" s="23">
        <f t="shared" si="20"/>
        <v>164.17110582697194</v>
      </c>
      <c r="Y61" s="23" t="str">
        <f t="shared" si="21"/>
        <v>0,245422764259219+0,438670618743426i</v>
      </c>
      <c r="Z61" s="23">
        <f t="shared" si="22"/>
        <v>-5.9745621163331109</v>
      </c>
      <c r="AA61" s="23">
        <f t="shared" si="23"/>
        <v>60.774324624152086</v>
      </c>
      <c r="AB61" s="23"/>
    </row>
    <row r="62" spans="1:28" x14ac:dyDescent="0.25">
      <c r="A62" s="23">
        <f t="shared" si="41"/>
        <v>38</v>
      </c>
      <c r="B62" s="23">
        <f>EXP(((A62)*((LN('FB analysis'!$B$26*1000)-LN('FB analysis'!$B$25))/50))+LN('FB analysis'!$B$25))</f>
        <v>1905.4607179632485</v>
      </c>
      <c r="C62" s="36" t="str">
        <f t="shared" si="24"/>
        <v>11972,3627865145i</v>
      </c>
      <c r="D62" s="23" t="str">
        <f t="shared" si="25"/>
        <v>1+0,047889451146058i</v>
      </c>
      <c r="E62" s="23" t="str">
        <f t="shared" si="26"/>
        <v>1+5,85159471481647i</v>
      </c>
      <c r="F62" s="23" t="str">
        <f t="shared" si="27"/>
        <v>0,0908303256736899i</v>
      </c>
      <c r="G62" s="23" t="str">
        <f t="shared" si="28"/>
        <v>0,134819381134568-1,06292201207639i</v>
      </c>
      <c r="H62" s="23">
        <f t="shared" si="29"/>
        <v>0.59934121114639582</v>
      </c>
      <c r="I62" s="23">
        <f t="shared" si="30"/>
        <v>-82.771292311221643</v>
      </c>
      <c r="J62" s="23" t="str">
        <f>IMPRODUCT(Sheet1!$B$12,IMDIV(IMSUM($L$21,IMDIV(C62,Sheet1!$C$12)),IMSUM($L$21,IMDIV(C62,Sheet1!$D$12))))</f>
        <v>0,522609522186365-0,204917766209262i</v>
      </c>
      <c r="K62" s="23">
        <f t="shared" si="31"/>
        <v>-5.0153505289466924</v>
      </c>
      <c r="L62" s="23">
        <f t="shared" si="32"/>
        <v>-21.410390135919631</v>
      </c>
      <c r="M62" s="23" t="str">
        <f t="shared" si="33"/>
        <v>-0,14735371201315-0,583120051276423i</v>
      </c>
      <c r="N62" s="23">
        <f t="shared" si="34"/>
        <v>-4.416009317800289</v>
      </c>
      <c r="O62" s="23">
        <f t="shared" si="35"/>
        <v>-104.18168244714127</v>
      </c>
      <c r="P62" s="23" t="str">
        <f>IMPRODUCT(-Sheet1!$D$6,IMDIV(IMSUM(COMPLEX(1,0),IMDIV(Sheet1!$B$6,C62)),IMSUM(COMPLEX(1,0),IMDIV(C62,Sheet1!$C$6))))</f>
        <v>-0,661676334843341+0,20100758829246i</v>
      </c>
      <c r="Q62" s="23">
        <f t="shared" si="36"/>
        <v>-3.2037260757893247</v>
      </c>
      <c r="R62" s="23">
        <f t="shared" si="37"/>
        <v>163.10198607362545</v>
      </c>
      <c r="S62" s="23" t="str">
        <f t="shared" si="38"/>
        <v>0,214712019282472+0,356217524024539i</v>
      </c>
      <c r="T62" s="23">
        <f t="shared" si="39"/>
        <v>-7.6197353935896235</v>
      </c>
      <c r="U62" s="23">
        <f t="shared" si="40"/>
        <v>58.920303626484113</v>
      </c>
      <c r="V62" s="23" t="str">
        <f>IMPRODUCT(-Sheet1!$J$6,IMDIV(IMSUM(COMPLEX(1,0),IMDIV(Sheet1!$H$6,C62)),IMSUM(COMPLEX(1,0),IMDIV(C62,Sheet1!$I$6))))</f>
        <v>-0,661600130026826+0,201554998605474i</v>
      </c>
      <c r="W62" s="23">
        <f t="shared" si="19"/>
        <v>-3.202640729807213</v>
      </c>
      <c r="X62" s="23">
        <f t="shared" si="20"/>
        <v>163.0567600807675</v>
      </c>
      <c r="Y62" s="23" t="str">
        <f t="shared" si="21"/>
        <v>0,215019996149679+0,356092424526409i</v>
      </c>
      <c r="Z62" s="23">
        <f t="shared" si="22"/>
        <v>-7.6186500476075043</v>
      </c>
      <c r="AA62" s="23">
        <f t="shared" si="23"/>
        <v>58.875077633626219</v>
      </c>
      <c r="AB62" s="23"/>
    </row>
    <row r="63" spans="1:28" x14ac:dyDescent="0.25">
      <c r="A63" s="23">
        <f t="shared" si="41"/>
        <v>39</v>
      </c>
      <c r="B63" s="23">
        <f>EXP(((A63)*((LN('FB analysis'!$B$26*1000)-LN('FB analysis'!$B$25))/50))+LN('FB analysis'!$B$25))</f>
        <v>2187.7616239495546</v>
      </c>
      <c r="C63" s="36" t="str">
        <f t="shared" si="24"/>
        <v>13746,1116912112i</v>
      </c>
      <c r="D63" s="23" t="str">
        <f t="shared" si="25"/>
        <v>1+0,0549844467648448i</v>
      </c>
      <c r="E63" s="23" t="str">
        <f t="shared" si="26"/>
        <v>1+6,71852966334858i</v>
      </c>
      <c r="F63" s="23" t="str">
        <f t="shared" si="27"/>
        <v>0,104287167363989i</v>
      </c>
      <c r="G63" s="23" t="str">
        <f t="shared" si="28"/>
        <v>0,0918584146137624-0,932189691844446i</v>
      </c>
      <c r="H63" s="23">
        <f t="shared" si="29"/>
        <v>-0.56794653320047694</v>
      </c>
      <c r="I63" s="23">
        <f t="shared" si="30"/>
        <v>-84.372215452336661</v>
      </c>
      <c r="J63" s="23" t="str">
        <f>IMPRODUCT(Sheet1!$B$12,IMDIV(IMSUM($L$21,IMDIV(C63,Sheet1!$C$12)),IMSUM($L$21,IMDIV(C63,Sheet1!$D$12))))</f>
        <v>0,503945710522155-0,185469599716568i</v>
      </c>
      <c r="K63" s="23">
        <f t="shared" si="31"/>
        <v>-5.4006460425892957</v>
      </c>
      <c r="L63" s="23">
        <f t="shared" si="32"/>
        <v>-20.205375325289975</v>
      </c>
      <c r="M63" s="23" t="str">
        <f t="shared" si="33"/>
        <v>-0,126601194986329-0,486809939986991i</v>
      </c>
      <c r="N63" s="23">
        <f t="shared" si="34"/>
        <v>-5.968592575789776</v>
      </c>
      <c r="O63" s="23">
        <f t="shared" si="35"/>
        <v>-104.5775907776266</v>
      </c>
      <c r="P63" s="23" t="str">
        <f>IMPRODUCT(-Sheet1!$D$6,IMDIV(IMSUM(COMPLEX(1,0),IMDIV(Sheet1!$B$6,C63)),IMSUM(COMPLEX(1,0),IMDIV(C63,Sheet1!$C$6))))</f>
        <v>-0,650872653812828+0,215183858913247i</v>
      </c>
      <c r="Q63" s="23">
        <f t="shared" si="36"/>
        <v>-3.2795823008894915</v>
      </c>
      <c r="R63" s="23">
        <f t="shared" si="37"/>
        <v>161.7056888698765</v>
      </c>
      <c r="S63" s="23" t="str">
        <f t="shared" si="38"/>
        <v>0,187154897200354+0,28960874386161i</v>
      </c>
      <c r="T63" s="23">
        <f t="shared" si="39"/>
        <v>-9.2481748766792631</v>
      </c>
      <c r="U63" s="23">
        <f t="shared" si="40"/>
        <v>57.12809809224995</v>
      </c>
      <c r="V63" s="23" t="str">
        <f>IMPRODUCT(-Sheet1!$J$6,IMDIV(IMSUM(COMPLEX(1,0),IMDIV(Sheet1!$H$6,C63)),IMSUM(COMPLEX(1,0),IMDIV(C63,Sheet1!$I$6))))</f>
        <v>-0,650724197057715+0,215782294093957i</v>
      </c>
      <c r="W63" s="23">
        <f t="shared" si="19"/>
        <v>-3.2789846528652733</v>
      </c>
      <c r="X63" s="23">
        <f t="shared" si="20"/>
        <v>161.65430844323322</v>
      </c>
      <c r="Y63" s="23" t="str">
        <f t="shared" si="21"/>
        <v>0,187427426592161+0,289460711028563i</v>
      </c>
      <c r="Z63" s="23">
        <f t="shared" si="22"/>
        <v>-9.2475772286550377</v>
      </c>
      <c r="AA63" s="23">
        <f t="shared" si="23"/>
        <v>57.076717665606573</v>
      </c>
      <c r="AB63" s="23"/>
    </row>
    <row r="64" spans="1:28" x14ac:dyDescent="0.25">
      <c r="A64" s="23">
        <f t="shared" si="41"/>
        <v>40</v>
      </c>
      <c r="B64" s="23">
        <f>EXP(((A64)*((LN('FB analysis'!$B$26*1000)-LN('FB analysis'!$B$25))/50))+LN('FB analysis'!$B$25))</f>
        <v>2511.8864315095811</v>
      </c>
      <c r="C64" s="36" t="str">
        <f t="shared" si="24"/>
        <v>15782,6479197648i</v>
      </c>
      <c r="D64" s="23" t="str">
        <f t="shared" si="25"/>
        <v>1+0,0631305916790592i</v>
      </c>
      <c r="E64" s="23" t="str">
        <f t="shared" si="26"/>
        <v>1+7,71390416410792i</v>
      </c>
      <c r="F64" s="23" t="str">
        <f t="shared" si="27"/>
        <v>0,119737688884616i</v>
      </c>
      <c r="G64" s="23" t="str">
        <f t="shared" si="28"/>
        <v>0,0588365673399175-0,81621315289779i</v>
      </c>
      <c r="H64" s="23">
        <f t="shared" si="29"/>
        <v>-1.7414197560506786</v>
      </c>
      <c r="I64" s="23">
        <f t="shared" si="30"/>
        <v>-85.876976319780468</v>
      </c>
      <c r="J64" s="23" t="str">
        <f>IMPRODUCT(Sheet1!$B$12,IMDIV(IMSUM($L$21,IMDIV(C64,Sheet1!$C$12)),IMSUM($L$21,IMDIV(C64,Sheet1!$D$12))))</f>
        <v>0,488782234571586-0,166486121680971i</v>
      </c>
      <c r="K64" s="23">
        <f t="shared" si="31"/>
        <v>-5.740979888259929</v>
      </c>
      <c r="L64" s="23">
        <f t="shared" si="32"/>
        <v>-18.809566782212382</v>
      </c>
      <c r="M64" s="23" t="str">
        <f t="shared" si="33"/>
        <v>-0,107129893432024-0,408745960669545i</v>
      </c>
      <c r="N64" s="23">
        <f t="shared" si="34"/>
        <v>-7.4823996443106155</v>
      </c>
      <c r="O64" s="23">
        <f t="shared" si="35"/>
        <v>-104.68654310199287</v>
      </c>
      <c r="P64" s="23" t="str">
        <f>IMPRODUCT(-Sheet1!$D$6,IMDIV(IMSUM(COMPLEX(1,0),IMDIV(Sheet1!$B$6,C64)),IMSUM(COMPLEX(1,0),IMDIV(C64,Sheet1!$C$6))))</f>
        <v>-0,637158357291488+0,231767250387535i</v>
      </c>
      <c r="Q64" s="23">
        <f t="shared" si="36"/>
        <v>-3.3753793799779501</v>
      </c>
      <c r="R64" s="23">
        <f t="shared" si="37"/>
        <v>160.01107188970684</v>
      </c>
      <c r="S64" s="23" t="str">
        <f t="shared" si="38"/>
        <v>0,162992634327353+0,235606704014689i</v>
      </c>
      <c r="T64" s="23">
        <f t="shared" si="39"/>
        <v>-10.857779024288551</v>
      </c>
      <c r="U64" s="23">
        <f t="shared" si="40"/>
        <v>55.324528787713952</v>
      </c>
      <c r="V64" s="23" t="str">
        <f>IMPRODUCT(-Sheet1!$J$6,IMDIV(IMSUM(COMPLEX(1,0),IMDIV(Sheet1!$H$6,C64)),IMSUM(COMPLEX(1,0),IMDIV(C64,Sheet1!$I$6))))</f>
        <v>-0,636921721067763+0,23241157561729i</v>
      </c>
      <c r="W64" s="23">
        <f t="shared" si="19"/>
        <v>-3.375402161734022</v>
      </c>
      <c r="X64" s="23">
        <f t="shared" si="20"/>
        <v>159.95306613053762</v>
      </c>
      <c r="Y64" s="23" t="str">
        <f t="shared" si="21"/>
        <v>0,163230648848943+0,235440953420894i</v>
      </c>
      <c r="Z64" s="23">
        <f t="shared" si="22"/>
        <v>-10.857801806044623</v>
      </c>
      <c r="AA64" s="23">
        <f t="shared" si="23"/>
        <v>55.266523028544746</v>
      </c>
      <c r="AB64" s="23"/>
    </row>
    <row r="65" spans="1:28" x14ac:dyDescent="0.25">
      <c r="A65" s="23">
        <f t="shared" si="41"/>
        <v>41</v>
      </c>
      <c r="B65" s="23">
        <f>EXP(((A65)*((LN('FB analysis'!$B$26*1000)-LN('FB analysis'!$B$25))/50))+LN('FB analysis'!$B$25))</f>
        <v>2884.0315031266077</v>
      </c>
      <c r="C65" s="36" t="str">
        <f t="shared" si="24"/>
        <v>18120,9043658882i</v>
      </c>
      <c r="D65" s="23" t="str">
        <f t="shared" si="25"/>
        <v>1+0,0724836174635528i</v>
      </c>
      <c r="E65" s="23" t="str">
        <f t="shared" si="26"/>
        <v>1+8,85674700190039i</v>
      </c>
      <c r="F65" s="23" t="str">
        <f t="shared" si="27"/>
        <v>0,137477261122538i</v>
      </c>
      <c r="G65" s="23" t="str">
        <f t="shared" si="28"/>
        <v>0,0335079170614587-0,713778820428996i</v>
      </c>
      <c r="H65" s="23">
        <f t="shared" si="29"/>
        <v>-2.9191665062710559</v>
      </c>
      <c r="I65" s="23">
        <f t="shared" si="30"/>
        <v>-87.312257356044327</v>
      </c>
      <c r="J65" s="23" t="str">
        <f>IMPRODUCT(Sheet1!$B$12,IMDIV(IMSUM($L$21,IMDIV(C65,Sheet1!$C$12)),IMSUM($L$21,IMDIV(C65,Sheet1!$D$12))))</f>
        <v>0,476645101862939-0,148453372598589i</v>
      </c>
      <c r="K65" s="23">
        <f t="shared" si="31"/>
        <v>-6.0340150005511166</v>
      </c>
      <c r="L65" s="23">
        <f t="shared" si="32"/>
        <v>-17.299447224098685</v>
      </c>
      <c r="M65" s="23" t="str">
        <f t="shared" si="33"/>
        <v>-0,0899914886411532-0,345193541867515i</v>
      </c>
      <c r="N65" s="23">
        <f t="shared" si="34"/>
        <v>-8.9531815068221636</v>
      </c>
      <c r="O65" s="23">
        <f t="shared" si="35"/>
        <v>-104.611704580143</v>
      </c>
      <c r="P65" s="23" t="str">
        <f>IMPRODUCT(-Sheet1!$D$6,IMDIV(IMSUM(COMPLEX(1,0),IMDIV(Sheet1!$B$6,C65)),IMSUM(COMPLEX(1,0),IMDIV(C65,Sheet1!$C$6))))</f>
        <v>-0,619938632313748+0,250361284708748i</v>
      </c>
      <c r="Q65" s="23">
        <f t="shared" si="36"/>
        <v>-3.4968792922038783</v>
      </c>
      <c r="R65" s="23">
        <f t="shared" si="37"/>
        <v>158.00875466994057</v>
      </c>
      <c r="S65" s="23" t="str">
        <f t="shared" si="38"/>
        <v>0,142212299003189+0,191468427519834i</v>
      </c>
      <c r="T65" s="23">
        <f t="shared" si="39"/>
        <v>-12.450060799026035</v>
      </c>
      <c r="U65" s="23">
        <f t="shared" si="40"/>
        <v>53.39705008979756</v>
      </c>
      <c r="V65" s="23" t="str">
        <f>IMPRODUCT(-Sheet1!$J$6,IMDIV(IMSUM(COMPLEX(1,0),IMDIV(Sheet1!$H$6,C65)),IMSUM(COMPLEX(1,0),IMDIV(C65,Sheet1!$I$6))))</f>
        <v>-0,619596879724409+0,25104137833522i</v>
      </c>
      <c r="W65" s="23">
        <f t="shared" si="19"/>
        <v>-3.4976820130289292</v>
      </c>
      <c r="X65" s="23">
        <f t="shared" si="20"/>
        <v>157.94374003359991</v>
      </c>
      <c r="Y65" s="23" t="str">
        <f t="shared" si="21"/>
        <v>0,14241630810665+0,191289254095216i</v>
      </c>
      <c r="Z65" s="23">
        <f t="shared" si="22"/>
        <v>-12.450863519851108</v>
      </c>
      <c r="AA65" s="23">
        <f t="shared" si="23"/>
        <v>53.33203545345701</v>
      </c>
      <c r="AB65" s="23"/>
    </row>
    <row r="66" spans="1:28" x14ac:dyDescent="0.25">
      <c r="A66" s="23">
        <f t="shared" si="41"/>
        <v>42</v>
      </c>
      <c r="B66" s="23">
        <f>EXP(((A66)*((LN('FB analysis'!$B$26*1000)-LN('FB analysis'!$B$25))/50))+LN('FB analysis'!$B$25))</f>
        <v>3311.3112148259174</v>
      </c>
      <c r="C66" s="36" t="str">
        <f t="shared" si="24"/>
        <v>20805,5819724932i</v>
      </c>
      <c r="D66" s="23" t="str">
        <f t="shared" si="25"/>
        <v>1+0,0832223278899728i</v>
      </c>
      <c r="E66" s="23" t="str">
        <f t="shared" si="26"/>
        <v>1+10,1689061449136i</v>
      </c>
      <c r="F66" s="23" t="str">
        <f t="shared" si="27"/>
        <v>0,157845015231315i</v>
      </c>
      <c r="G66" s="23" t="str">
        <f t="shared" si="28"/>
        <v>0,014097504153075-0,623605731380789i</v>
      </c>
      <c r="H66" s="23">
        <f t="shared" si="29"/>
        <v>-4.0995791403074406</v>
      </c>
      <c r="I66" s="23">
        <f t="shared" si="30"/>
        <v>-88.704967105782629</v>
      </c>
      <c r="J66" s="23" t="str">
        <f>IMPRODUCT(Sheet1!$B$12,IMDIV(IMSUM($L$21,IMDIV(C66,Sheet1!$C$12)),IMSUM($L$21,IMDIV(C66,Sheet1!$D$12))))</f>
        <v>0,467045833230185-0,131674015931499i</v>
      </c>
      <c r="K66" s="23">
        <f t="shared" si="31"/>
        <v>-6.280646802943334</v>
      </c>
      <c r="L66" s="23">
        <f t="shared" si="32"/>
        <v>-15.744712054334924</v>
      </c>
      <c r="M66" s="23" t="str">
        <f t="shared" si="33"/>
        <v>-0,0755284904351692-0,293108733406306i</v>
      </c>
      <c r="N66" s="23">
        <f t="shared" si="34"/>
        <v>-10.380225943250769</v>
      </c>
      <c r="O66" s="23">
        <f t="shared" si="35"/>
        <v>-104.44967916011754</v>
      </c>
      <c r="P66" s="23" t="str">
        <f>IMPRODUCT(-Sheet1!$D$6,IMDIV(IMSUM(COMPLEX(1,0),IMDIV(Sheet1!$B$6,C66)),IMSUM(COMPLEX(1,0),IMDIV(C66,Sheet1!$C$6))))</f>
        <v>-0,598611906865549+0,27037267022104i</v>
      </c>
      <c r="Q66" s="23">
        <f t="shared" si="36"/>
        <v>-3.6508201278928838</v>
      </c>
      <c r="R66" s="23">
        <f t="shared" si="37"/>
        <v>155.69292196346498</v>
      </c>
      <c r="S66" s="23" t="str">
        <f t="shared" si="38"/>
        <v>0,124460844598243+0,155037538186574i</v>
      </c>
      <c r="T66" s="23">
        <f t="shared" si="39"/>
        <v>-14.03104607114364</v>
      </c>
      <c r="U66" s="23">
        <f t="shared" si="40"/>
        <v>51.243242803347485</v>
      </c>
      <c r="V66" s="23" t="str">
        <f>IMPRODUCT(-Sheet1!$J$6,IMDIV(IMSUM(COMPLEX(1,0),IMDIV(Sheet1!$H$6,C66)),IMSUM(COMPLEX(1,0),IMDIV(C66,Sheet1!$I$6))))</f>
        <v>-0,598148608021431+0,271072153852591i</v>
      </c>
      <c r="W66" s="23">
        <f t="shared" si="19"/>
        <v>-3.6525893841355703</v>
      </c>
      <c r="X66" s="23">
        <f t="shared" si="20"/>
        <v>155.62066524861589</v>
      </c>
      <c r="Y66" s="23" t="str">
        <f t="shared" si="21"/>
        <v>0,124630877097209+0,15484891030641i</v>
      </c>
      <c r="Z66" s="23">
        <f t="shared" si="22"/>
        <v>-14.03281532738635</v>
      </c>
      <c r="AA66" s="23">
        <f t="shared" si="23"/>
        <v>51.170986088498168</v>
      </c>
      <c r="AB66" s="23"/>
    </row>
    <row r="67" spans="1:28" x14ac:dyDescent="0.25">
      <c r="A67" s="23">
        <f t="shared" si="41"/>
        <v>43</v>
      </c>
      <c r="B67" s="23">
        <f>EXP(((A67)*((LN('FB analysis'!$B$26*1000)-LN('FB analysis'!$B$25))/50))+LN('FB analysis'!$B$25))</f>
        <v>3801.8939632056172</v>
      </c>
      <c r="C67" s="36" t="str">
        <f t="shared" si="24"/>
        <v>23888,0042890683i</v>
      </c>
      <c r="D67" s="23" t="str">
        <f t="shared" si="25"/>
        <v>1+0,0955520171562732i</v>
      </c>
      <c r="E67" s="23" t="str">
        <f t="shared" si="26"/>
        <v>1+11,6754664169444i</v>
      </c>
      <c r="F67" s="23" t="str">
        <f t="shared" si="27"/>
        <v>0,181230325873065i</v>
      </c>
      <c r="G67" s="23" t="str">
        <f t="shared" si="28"/>
        <v>-0,000785615296171258-0,544422993985791i</v>
      </c>
      <c r="H67" s="23">
        <f t="shared" si="29"/>
        <v>-5.2812617652200053</v>
      </c>
      <c r="I67" s="23">
        <f t="shared" si="30"/>
        <v>-90.082679111730073</v>
      </c>
      <c r="J67" s="23" t="str">
        <f>IMPRODUCT(Sheet1!$B$12,IMDIV(IMSUM($L$21,IMDIV(C67,Sheet1!$C$12)),IMSUM($L$21,IMDIV(C67,Sheet1!$D$12))))</f>
        <v>0,459525343807407-0,116304904166749i</v>
      </c>
      <c r="K67" s="23">
        <f t="shared" si="31"/>
        <v>-6.4841553608802025</v>
      </c>
      <c r="L67" s="23">
        <f t="shared" si="32"/>
        <v>-14.203177478789137</v>
      </c>
      <c r="M67" s="23" t="str">
        <f t="shared" si="33"/>
        <v>-0,0636800742807654-0,250084792576245i</v>
      </c>
      <c r="N67" s="23">
        <f t="shared" si="34"/>
        <v>-11.765417126100219</v>
      </c>
      <c r="O67" s="23">
        <f t="shared" si="35"/>
        <v>-104.28585659051923</v>
      </c>
      <c r="P67" s="23" t="str">
        <f>IMPRODUCT(-Sheet1!$D$6,IMDIV(IMSUM(COMPLEX(1,0),IMDIV(Sheet1!$B$6,C67)),IMSUM(COMPLEX(1,0),IMDIV(C67,Sheet1!$C$6))))</f>
        <v>-0,572642670251817+0,290970151982302i</v>
      </c>
      <c r="Q67" s="23">
        <f t="shared" si="36"/>
        <v>-3.844883999213458</v>
      </c>
      <c r="R67" s="23">
        <f t="shared" si="37"/>
        <v>153.06404842757823</v>
      </c>
      <c r="S67" s="23" t="str">
        <f t="shared" si="38"/>
        <v>0,109233137882344+0,124680222518514i</v>
      </c>
      <c r="T67" s="23">
        <f t="shared" si="39"/>
        <v>-15.610301125313686</v>
      </c>
      <c r="U67" s="23">
        <f t="shared" si="40"/>
        <v>48.778191837058998</v>
      </c>
      <c r="V67" s="23" t="str">
        <f>IMPRODUCT(-Sheet1!$J$6,IMDIV(IMSUM(COMPLEX(1,0),IMDIV(Sheet1!$H$6,C67)),IMSUM(COMPLEX(1,0),IMDIV(C67,Sheet1!$I$6))))</f>
        <v>-0,572044267936002+0,291665547112712i</v>
      </c>
      <c r="W67" s="23">
        <f t="shared" si="19"/>
        <v>-3.8478304607443587</v>
      </c>
      <c r="X67" s="23">
        <f t="shared" si="20"/>
        <v>152.98454147459762</v>
      </c>
      <c r="Y67" s="23" t="str">
        <f t="shared" si="21"/>
        <v>0,10936893932537+0,124486288385928i</v>
      </c>
      <c r="Z67" s="23">
        <f t="shared" si="22"/>
        <v>-15.613247586844563</v>
      </c>
      <c r="AA67" s="23">
        <f t="shared" si="23"/>
        <v>48.698684884078574</v>
      </c>
      <c r="AB67" s="23"/>
    </row>
    <row r="68" spans="1:28" x14ac:dyDescent="0.25">
      <c r="A68" s="23">
        <f t="shared" si="41"/>
        <v>44</v>
      </c>
      <c r="B68" s="23">
        <f>EXP(((A68)*((LN('FB analysis'!$B$26*1000)-LN('FB analysis'!$B$25))/50))+LN('FB analysis'!$B$25))</f>
        <v>4365.1583224016631</v>
      </c>
      <c r="C68" s="36" t="str">
        <f t="shared" si="24"/>
        <v>27427,0986348268i</v>
      </c>
      <c r="D68" s="23" t="str">
        <f t="shared" si="25"/>
        <v>1+0,109708394539307i</v>
      </c>
      <c r="E68" s="23" t="str">
        <f t="shared" si="26"/>
        <v>1+13,40522904928i</v>
      </c>
      <c r="F68" s="23" t="str">
        <f t="shared" si="27"/>
        <v>0,208080254976219i</v>
      </c>
      <c r="G68" s="23" t="str">
        <f t="shared" si="28"/>
        <v>-0,0122256370235415-0,475016154313522i</v>
      </c>
      <c r="H68" s="23">
        <f t="shared" si="29"/>
        <v>-6.4629565599773464</v>
      </c>
      <c r="I68" s="23">
        <f t="shared" si="30"/>
        <v>-91.474313643598876</v>
      </c>
      <c r="J68" s="23" t="str">
        <f>IMPRODUCT(Sheet1!$B$12,IMDIV(IMSUM($L$21,IMDIV(C68,Sheet1!$C$12)),IMSUM($L$21,IMDIV(C68,Sheet1!$D$12))))</f>
        <v>0,453677071199868-0,102395668314426i</v>
      </c>
      <c r="K68" s="23">
        <f t="shared" si="31"/>
        <v>-6.6492790442180105</v>
      </c>
      <c r="L68" s="23">
        <f t="shared" si="32"/>
        <v>-12.718642757442479</v>
      </c>
      <c r="M68" s="23" t="str">
        <f t="shared" si="33"/>
        <v>-0,0541860877794746-0,214252085387988i</v>
      </c>
      <c r="N68" s="23">
        <f t="shared" si="34"/>
        <v>-13.112235604195359</v>
      </c>
      <c r="O68" s="23">
        <f t="shared" si="35"/>
        <v>-104.19295640104139</v>
      </c>
      <c r="P68" s="23" t="str">
        <f>IMPRODUCT(-Sheet1!$D$6,IMDIV(IMSUM(COMPLEX(1,0),IMDIV(Sheet1!$B$6,C68)),IMSUM(COMPLEX(1,0),IMDIV(C68,Sheet1!$C$6))))</f>
        <v>-0,541665279721913+0,311069770392586i</v>
      </c>
      <c r="Q68" s="23">
        <f t="shared" si="36"/>
        <v>-4.0875093794310926</v>
      </c>
      <c r="R68" s="23">
        <f t="shared" si="37"/>
        <v>150.13193283749303</v>
      </c>
      <c r="S68" s="23" t="str">
        <f t="shared" si="38"/>
        <v>0,0959980694018794+0,0991972618786541i</v>
      </c>
      <c r="T68" s="23">
        <f t="shared" si="39"/>
        <v>-17.199744983626449</v>
      </c>
      <c r="U68" s="23">
        <f t="shared" si="40"/>
        <v>45.938976436451661</v>
      </c>
      <c r="V68" s="23" t="str">
        <f>IMPRODUCT(-Sheet1!$J$6,IMDIV(IMSUM(COMPLEX(1,0),IMDIV(Sheet1!$H$6,C68)),IMSUM(COMPLEX(1,0),IMDIV(C68,Sheet1!$I$6))))</f>
        <v>-0,540924234053884+0,311730630323658i</v>
      </c>
      <c r="W68" s="23">
        <f t="shared" si="19"/>
        <v>-4.0918600544682437</v>
      </c>
      <c r="X68" s="23">
        <f t="shared" si="20"/>
        <v>150.04547103324279</v>
      </c>
      <c r="Y68" s="23" t="str">
        <f t="shared" si="21"/>
        <v>0,0960995056546445+0,0990026818846761i</v>
      </c>
      <c r="Z68" s="23">
        <f t="shared" si="22"/>
        <v>-17.204095658663604</v>
      </c>
      <c r="AA68" s="23">
        <f t="shared" si="23"/>
        <v>45.852514632201434</v>
      </c>
      <c r="AB68" s="23"/>
    </row>
    <row r="69" spans="1:28" x14ac:dyDescent="0.25">
      <c r="A69" s="23">
        <f t="shared" si="41"/>
        <v>45</v>
      </c>
      <c r="B69" s="23">
        <f>EXP(((A69)*((LN('FB analysis'!$B$26*1000)-LN('FB analysis'!$B$25))/50))+LN('FB analysis'!$B$25))</f>
        <v>5011.8723362727242</v>
      </c>
      <c r="C69" s="36" t="str">
        <f t="shared" si="24"/>
        <v>31490,5226247286i</v>
      </c>
      <c r="D69" s="23" t="str">
        <f t="shared" si="25"/>
        <v>1+0,125962090498914i</v>
      </c>
      <c r="E69" s="23" t="str">
        <f t="shared" si="26"/>
        <v>1+15,391262279926i</v>
      </c>
      <c r="F69" s="23" t="str">
        <f t="shared" si="27"/>
        <v>0,238908098312941i</v>
      </c>
      <c r="G69" s="23" t="str">
        <f t="shared" si="28"/>
        <v>-0,0210655283508495-0,414251919389831i</v>
      </c>
      <c r="H69" s="23">
        <f t="shared" si="29"/>
        <v>-7.6434933860604986</v>
      </c>
      <c r="I69" s="23">
        <f t="shared" si="30"/>
        <v>-92.911095999166264</v>
      </c>
      <c r="J69" s="23" t="str">
        <f>IMPRODUCT(Sheet1!$B$12,IMDIV(IMSUM($L$21,IMDIV(C69,Sheet1!$C$12)),IMSUM($L$21,IMDIV(C69,Sheet1!$D$12))))</f>
        <v>0,449155410143724-0,0899225106455378i</v>
      </c>
      <c r="K69" s="23">
        <f t="shared" si="31"/>
        <v>-6.781393729752927</v>
      </c>
      <c r="L69" s="23">
        <f t="shared" si="32"/>
        <v>-11.321146403004748</v>
      </c>
      <c r="M69" s="23" t="str">
        <f t="shared" si="33"/>
        <v>-0,0467122686575866-0,184169225558981i</v>
      </c>
      <c r="N69" s="23">
        <f t="shared" si="34"/>
        <v>-14.424887115813439</v>
      </c>
      <c r="O69" s="23">
        <f t="shared" si="35"/>
        <v>-104.23224240217102</v>
      </c>
      <c r="P69" s="23" t="str">
        <f>IMPRODUCT(-Sheet1!$D$6,IMDIV(IMSUM(COMPLEX(1,0),IMDIV(Sheet1!$B$6,C69)),IMSUM(COMPLEX(1,0),IMDIV(C69,Sheet1!$C$6))))</f>
        <v>-0,505609386986655+0,329368504600943i</v>
      </c>
      <c r="Q69" s="23">
        <f t="shared" si="36"/>
        <v>-4.3875014161750068</v>
      </c>
      <c r="R69" s="23">
        <f t="shared" si="37"/>
        <v>146.91862140498779</v>
      </c>
      <c r="S69" s="23" t="str">
        <f t="shared" si="38"/>
        <v>0,0842777039365937+0,0777321391624167i</v>
      </c>
      <c r="T69" s="23">
        <f t="shared" si="39"/>
        <v>-18.812388531988439</v>
      </c>
      <c r="U69" s="23">
        <f t="shared" si="40"/>
        <v>42.686379002816771</v>
      </c>
      <c r="V69" s="23" t="str">
        <f>IMPRODUCT(-Sheet1!$J$6,IMDIV(IMSUM(COMPLEX(1,0),IMDIV(Sheet1!$H$6,C69)),IMSUM(COMPLEX(1,0),IMDIV(C69,Sheet1!$I$6))))</f>
        <v>-0,504727655235591+0,32995911952058i</v>
      </c>
      <c r="W69" s="23">
        <f t="shared" si="19"/>
        <v>-4.3934862277816276</v>
      </c>
      <c r="X69" s="23">
        <f t="shared" si="20"/>
        <v>146.82587151767584</v>
      </c>
      <c r="Y69" s="23" t="str">
        <f t="shared" si="21"/>
        <v>0,0843452893385072+0,0775421623458732i</v>
      </c>
      <c r="Z69" s="23">
        <f t="shared" si="22"/>
        <v>-18.818373343595059</v>
      </c>
      <c r="AA69" s="23">
        <f t="shared" si="23"/>
        <v>42.593629115504825</v>
      </c>
      <c r="AB69" s="23"/>
    </row>
    <row r="70" spans="1:28" x14ac:dyDescent="0.25">
      <c r="A70" s="23">
        <f t="shared" si="41"/>
        <v>46</v>
      </c>
      <c r="B70" s="23">
        <f>EXP(((A70)*((LN('FB analysis'!$B$26*1000)-LN('FB analysis'!$B$25))/50))+LN('FB analysis'!$B$25))</f>
        <v>5754.399373371567</v>
      </c>
      <c r="C70" s="36" t="str">
        <f t="shared" si="24"/>
        <v>36155,9575944116i</v>
      </c>
      <c r="D70" s="23" t="str">
        <f t="shared" si="25"/>
        <v>1+0,144623830377646i</v>
      </c>
      <c r="E70" s="23" t="str">
        <f t="shared" si="26"/>
        <v>1+17,6715335261054i</v>
      </c>
      <c r="F70" s="23" t="str">
        <f t="shared" si="27"/>
        <v>0,274303198282936i</v>
      </c>
      <c r="G70" s="23" t="str">
        <f t="shared" si="28"/>
        <v>-0,0279608218623213-0,361088118079881i</v>
      </c>
      <c r="H70" s="23">
        <f t="shared" si="29"/>
        <v>-8.8217727985275225</v>
      </c>
      <c r="I70" s="23">
        <f t="shared" si="30"/>
        <v>-94.427856940534795</v>
      </c>
      <c r="J70" s="23" t="str">
        <f>IMPRODUCT(Sheet1!$B$12,IMDIV(IMSUM($L$21,IMDIV(C70,Sheet1!$C$12)),IMSUM($L$21,IMDIV(C70,Sheet1!$D$12))))</f>
        <v>0,445675038381029-0,0788150611464839i</v>
      </c>
      <c r="K70" s="23">
        <f t="shared" si="31"/>
        <v>-6.8858935933443055</v>
      </c>
      <c r="L70" s="23">
        <f t="shared" si="32"/>
        <v>-10.028740284430988</v>
      </c>
      <c r="M70" s="23" t="str">
        <f t="shared" si="33"/>
        <v>-0,0409206224623898-0,1587242269994i</v>
      </c>
      <c r="N70" s="23">
        <f t="shared" si="34"/>
        <v>-15.707666391871811</v>
      </c>
      <c r="O70" s="23">
        <f t="shared" si="35"/>
        <v>-104.45659722496575</v>
      </c>
      <c r="P70" s="23" t="str">
        <f>IMPRODUCT(-Sheet1!$D$6,IMDIV(IMSUM(COMPLEX(1,0),IMDIV(Sheet1!$B$6,C70)),IMSUM(COMPLEX(1,0),IMDIV(C70,Sheet1!$C$6))))</f>
        <v>-0,464821477981852+0,344445233834615i</v>
      </c>
      <c r="Q70" s="23">
        <f t="shared" si="36"/>
        <v>-4.7534230820772327</v>
      </c>
      <c r="R70" s="23">
        <f t="shared" si="37"/>
        <v>143.46055810893404</v>
      </c>
      <c r="S70" s="23" t="str">
        <f t="shared" si="38"/>
        <v>0,0736925876969322+0,0596835164126721i</v>
      </c>
      <c r="T70" s="23">
        <f t="shared" si="39"/>
        <v>-20.461089473949055</v>
      </c>
      <c r="U70" s="23">
        <f t="shared" si="40"/>
        <v>39.003960883968226</v>
      </c>
      <c r="V70" s="23" t="str">
        <f>IMPRODUCT(-Sheet1!$J$6,IMDIV(IMSUM(COMPLEX(1,0),IMDIV(Sheet1!$H$6,C70)),IMSUM(COMPLEX(1,0),IMDIV(C70,Sheet1!$I$6))))</f>
        <v>-0,463813423621078+0,344928274928149i</v>
      </c>
      <c r="W70" s="23">
        <f t="shared" si="19"/>
        <v>-4.7612559538861285</v>
      </c>
      <c r="X70" s="23">
        <f t="shared" si="20"/>
        <v>143.36259535390673</v>
      </c>
      <c r="Y70" s="23" t="str">
        <f t="shared" si="21"/>
        <v>0,0737280078091935+0,0595037474212626i</v>
      </c>
      <c r="Z70" s="23">
        <f t="shared" si="22"/>
        <v>-20.468922345757949</v>
      </c>
      <c r="AA70" s="23">
        <f t="shared" si="23"/>
        <v>38.905998128940944</v>
      </c>
      <c r="AB70" s="23"/>
    </row>
    <row r="71" spans="1:28" x14ac:dyDescent="0.25">
      <c r="A71" s="23">
        <f t="shared" si="41"/>
        <v>47</v>
      </c>
      <c r="B71" s="23">
        <f>EXP(((A71)*((LN('FB analysis'!$B$26*1000)-LN('FB analysis'!$B$25))/50))+LN('FB analysis'!$B$25))</f>
        <v>6606.9344800759654</v>
      </c>
      <c r="C71" s="36" t="str">
        <f t="shared" si="24"/>
        <v>41512,5936507115i</v>
      </c>
      <c r="D71" s="23" t="str">
        <f t="shared" si="25"/>
        <v>1+0,166050374602846i</v>
      </c>
      <c r="E71" s="23" t="str">
        <f t="shared" si="26"/>
        <v>1+20,2896352154015i</v>
      </c>
      <c r="F71" s="23" t="str">
        <f t="shared" si="27"/>
        <v>0,314942210496731i</v>
      </c>
      <c r="G71" s="23" t="str">
        <f t="shared" si="28"/>
        <v>-0,0334225988181234-0,314573634339263i</v>
      </c>
      <c r="H71" s="23">
        <f t="shared" si="29"/>
        <v>-9.9968029658785991</v>
      </c>
      <c r="I71" s="23">
        <f t="shared" si="30"/>
        <v>-96.064769386966546</v>
      </c>
      <c r="J71" s="23" t="str">
        <f>IMPRODUCT(Sheet1!$B$12,IMDIV(IMSUM($L$21,IMDIV(C71,Sheet1!$C$12)),IMSUM($L$21,IMDIV(C71,Sheet1!$D$12))))</f>
        <v>0,443005371142557-0,0689763039813344i</v>
      </c>
      <c r="K71" s="23">
        <f t="shared" si="31"/>
        <v>-6.9677911855816728</v>
      </c>
      <c r="L71" s="23">
        <f t="shared" si="32"/>
        <v>-8.8499413409908581</v>
      </c>
      <c r="M71" s="23" t="str">
        <f t="shared" si="33"/>
        <v>-0,0365045174206697-0,137052442296203i</v>
      </c>
      <c r="N71" s="23">
        <f t="shared" si="34"/>
        <v>-16.964594151460282</v>
      </c>
      <c r="O71" s="23">
        <f t="shared" si="35"/>
        <v>-104.91471072795743</v>
      </c>
      <c r="P71" s="23" t="str">
        <f>IMPRODUCT(-Sheet1!$D$6,IMDIV(IMSUM(COMPLEX(1,0),IMDIV(Sheet1!$B$6,C71)),IMSUM(COMPLEX(1,0),IMDIV(C71,Sheet1!$C$6))))</f>
        <v>-0,420141598138812+0,354932032374662i</v>
      </c>
      <c r="Q71" s="23">
        <f t="shared" si="36"/>
        <v>-5.1928078000813214</v>
      </c>
      <c r="R71" s="23">
        <f t="shared" si="37"/>
        <v>139.80916194020338</v>
      </c>
      <c r="S71" s="23" t="str">
        <f t="shared" si="38"/>
        <v>0,0639813681745087+0,0446248095761796i</v>
      </c>
      <c r="T71" s="23">
        <f t="shared" si="39"/>
        <v>-22.157401951541598</v>
      </c>
      <c r="U71" s="23">
        <f t="shared" si="40"/>
        <v>34.894451212245997</v>
      </c>
      <c r="V71" s="23" t="str">
        <f>IMPRODUCT(-Sheet1!$J$6,IMDIV(IMSUM(COMPLEX(1,0),IMDIV(Sheet1!$H$6,C71)),IMSUM(COMPLEX(1,0),IMDIV(C71,Sheet1!$I$6))))</f>
        <v>-0,419035112120768+0,35527388846761i</v>
      </c>
      <c r="W71" s="23">
        <f t="shared" si="19"/>
        <v>-5.2026643075224213</v>
      </c>
      <c r="X71" s="23">
        <f t="shared" si="20"/>
        <v>139.70745536289385</v>
      </c>
      <c r="Y71" s="23" t="str">
        <f t="shared" si="21"/>
        <v>0,0639878286488397+0,0444606836733396i</v>
      </c>
      <c r="Z71" s="23">
        <f t="shared" si="22"/>
        <v>-22.167258458982694</v>
      </c>
      <c r="AA71" s="23">
        <f t="shared" si="23"/>
        <v>34.79274463493639</v>
      </c>
      <c r="AB71" s="23"/>
    </row>
    <row r="72" spans="1:28" x14ac:dyDescent="0.25">
      <c r="A72" s="23">
        <f t="shared" si="41"/>
        <v>48</v>
      </c>
      <c r="B72" s="23">
        <f>EXP(((A72)*((LN('FB analysis'!$B$26*1000)-LN('FB analysis'!$B$25))/50))+LN('FB analysis'!$B$25))</f>
        <v>7585.775750291853</v>
      </c>
      <c r="C72" s="36" t="str">
        <f t="shared" si="24"/>
        <v>47662,834737793i</v>
      </c>
      <c r="D72" s="23" t="str">
        <f t="shared" si="25"/>
        <v>1+0,190651338951172i</v>
      </c>
      <c r="E72" s="23" t="str">
        <f t="shared" si="26"/>
        <v>1+23,295618151414i</v>
      </c>
      <c r="F72" s="23" t="str">
        <f t="shared" si="27"/>
        <v>0,361602039544056i</v>
      </c>
      <c r="G72" s="23" t="str">
        <f t="shared" si="28"/>
        <v>-0,0378506919550021-0,273841378203718i</v>
      </c>
      <c r="H72" s="23">
        <f t="shared" si="29"/>
        <v>-11.167828777551353</v>
      </c>
      <c r="I72" s="23">
        <f t="shared" si="30"/>
        <v>-97.869629183105928</v>
      </c>
      <c r="J72" s="23" t="str">
        <f>IMPRODUCT(Sheet1!$B$12,IMDIV(IMSUM($L$21,IMDIV(C72,Sheet1!$C$12)),IMSUM($L$21,IMDIV(C72,Sheet1!$D$12))))</f>
        <v>0,44096297239626-0,0602965717056552i</v>
      </c>
      <c r="K72" s="23">
        <f t="shared" si="31"/>
        <v>-7.0315055972864213</v>
      </c>
      <c r="L72" s="23">
        <f t="shared" si="32"/>
        <v>-7.7862453951051771</v>
      </c>
      <c r="M72" s="23" t="str">
        <f t="shared" si="33"/>
        <v>-0,0332024499285689-0,118471641136226i</v>
      </c>
      <c r="N72" s="23">
        <f t="shared" si="34"/>
        <v>-18.199334374837804</v>
      </c>
      <c r="O72" s="23">
        <f t="shared" si="35"/>
        <v>-105.65587457821117</v>
      </c>
      <c r="P72" s="23" t="str">
        <f>IMPRODUCT(-Sheet1!$D$6,IMDIV(IMSUM(COMPLEX(1,0),IMDIV(Sheet1!$B$6,C72)),IMSUM(COMPLEX(1,0),IMDIV(C72,Sheet1!$C$6))))</f>
        <v>-0,372890961360434+0,359730161389123i</v>
      </c>
      <c r="Q72" s="23">
        <f t="shared" si="36"/>
        <v>-5.7113099730983405</v>
      </c>
      <c r="R72" s="23">
        <f t="shared" si="37"/>
        <v>136.02915022904088</v>
      </c>
      <c r="S72" s="23" t="str">
        <f t="shared" si="38"/>
        <v>0,0549987160593547+0,0322330814859175i</v>
      </c>
      <c r="T72" s="23">
        <f t="shared" si="39"/>
        <v>-23.91064434793612</v>
      </c>
      <c r="U72" s="23">
        <f t="shared" si="40"/>
        <v>30.373275650829811</v>
      </c>
      <c r="V72" s="23" t="str">
        <f>IMPRODUCT(-Sheet1!$J$6,IMDIV(IMSUM(COMPLEX(1,0),IMDIV(Sheet1!$H$6,C72)),IMSUM(COMPLEX(1,0),IMDIV(C72,Sheet1!$I$6))))</f>
        <v>-0,371725754508098+0,35990686235378i</v>
      </c>
      <c r="W72" s="23">
        <f t="shared" si="19"/>
        <v>-5.7233056168744225</v>
      </c>
      <c r="X72" s="23">
        <f t="shared" si="20"/>
        <v>135.92548326642674</v>
      </c>
      <c r="Y72" s="23" t="str">
        <f t="shared" si="21"/>
        <v>0,0549809623904569+0,0320891706129267i</v>
      </c>
      <c r="Z72" s="23">
        <f t="shared" si="22"/>
        <v>-23.922639991712195</v>
      </c>
      <c r="AA72" s="23">
        <f t="shared" si="23"/>
        <v>30.269608688215627</v>
      </c>
      <c r="AB72" s="23"/>
    </row>
    <row r="73" spans="1:28" x14ac:dyDescent="0.25">
      <c r="A73" s="23">
        <f t="shared" si="41"/>
        <v>49</v>
      </c>
      <c r="B73" s="23">
        <f>EXP(((A73)*((LN('FB analysis'!$B$26*1000)-LN('FB analysis'!$B$25))/50))+LN('FB analysis'!$B$25))</f>
        <v>8709.6358995608189</v>
      </c>
      <c r="C73" s="36" t="str">
        <f t="shared" si="24"/>
        <v>54724,2563150044i</v>
      </c>
      <c r="D73" s="23" t="str">
        <f t="shared" si="25"/>
        <v>1+0,218897025260018i</v>
      </c>
      <c r="E73" s="23" t="str">
        <f t="shared" si="26"/>
        <v>1+26,7469483455544i</v>
      </c>
      <c r="F73" s="23" t="str">
        <f t="shared" si="27"/>
        <v>0,415174691243166i</v>
      </c>
      <c r="G73" s="23" t="str">
        <f t="shared" si="28"/>
        <v>-0,0415576721879874-0,238096167460832i</v>
      </c>
      <c r="H73" s="23">
        <f t="shared" si="29"/>
        <v>-12.334620503907594</v>
      </c>
      <c r="I73" s="23">
        <f t="shared" si="30"/>
        <v>-99.900756354199501</v>
      </c>
      <c r="J73" s="23" t="str">
        <f>IMPRODUCT(Sheet1!$B$12,IMDIV(IMSUM($L$21,IMDIV(C73,Sheet1!$C$12)),IMSUM($L$21,IMDIV(C73,Sheet1!$D$12))))</f>
        <v>0,43940361619839-0,0526628932349675i</v>
      </c>
      <c r="K73" s="23">
        <f t="shared" si="31"/>
        <v>-7.0807882288272941</v>
      </c>
      <c r="L73" s="23">
        <f t="shared" si="32"/>
        <v>-6.8343484388261446</v>
      </c>
      <c r="M73" s="23" t="str">
        <f t="shared" si="33"/>
        <v>-0,0307994244868337-0,102431769731737i</v>
      </c>
      <c r="N73" s="23">
        <f t="shared" si="34"/>
        <v>-19.415408732734907</v>
      </c>
      <c r="O73" s="23">
        <f t="shared" si="35"/>
        <v>-106.73510479302571</v>
      </c>
      <c r="P73" s="23" t="str">
        <f>IMPRODUCT(-Sheet1!$D$6,IMDIV(IMSUM(COMPLEX(1,0),IMDIV(Sheet1!$B$6,C73)),IMSUM(COMPLEX(1,0),IMDIV(C73,Sheet1!$C$6))))</f>
        <v>-0,324745522047126+0,358214804351175i</v>
      </c>
      <c r="Q73" s="23">
        <f t="shared" si="36"/>
        <v>-6.3119728972099951</v>
      </c>
      <c r="R73" s="23">
        <f t="shared" si="37"/>
        <v>132.19439679318606</v>
      </c>
      <c r="S73" s="23" t="str">
        <f t="shared" si="38"/>
        <v>0,0466945515375267+0,0222314487190641i</v>
      </c>
      <c r="T73" s="23">
        <f t="shared" si="39"/>
        <v>-25.727381629944883</v>
      </c>
      <c r="U73" s="23">
        <f t="shared" si="40"/>
        <v>25.459292000160417</v>
      </c>
      <c r="V73" s="23" t="str">
        <f>IMPRODUCT(-Sheet1!$J$6,IMDIV(IMSUM(COMPLEX(1,0),IMDIV(Sheet1!$H$6,C73)),IMSUM(COMPLEX(1,0),IMDIV(C73,Sheet1!$I$6))))</f>
        <v>-0,323568388805893+0,358216765902655i</v>
      </c>
      <c r="W73" s="23">
        <f t="shared" si="19"/>
        <v>-6.3261471642535225</v>
      </c>
      <c r="X73" s="23">
        <f t="shared" si="20"/>
        <v>132.09072667021056</v>
      </c>
      <c r="Y73" s="23" t="str">
        <f t="shared" si="21"/>
        <v>0,0466584974363419+0,0221108124632979i</v>
      </c>
      <c r="Z73" s="23">
        <f t="shared" si="22"/>
        <v>-25.741555896988416</v>
      </c>
      <c r="AA73" s="23">
        <f t="shared" si="23"/>
        <v>25.355621877184941</v>
      </c>
      <c r="AB73" s="23"/>
    </row>
    <row r="74" spans="1:28" x14ac:dyDescent="0.25">
      <c r="A74" s="23">
        <f t="shared" si="41"/>
        <v>50</v>
      </c>
      <c r="B74" s="23">
        <f>EXP(((A74)*((LN('FB analysis'!$B$26*1000)-LN('FB analysis'!$B$25))/50))+LN('FB analysis'!$B$25))</f>
        <v>10000.000000000009</v>
      </c>
      <c r="C74" s="36" t="str">
        <f t="shared" si="24"/>
        <v>62831,8530717959i</v>
      </c>
      <c r="D74" s="23" t="str">
        <f t="shared" si="25"/>
        <v>1+0,251327412287184i</v>
      </c>
      <c r="E74" s="23" t="str">
        <f t="shared" si="26"/>
        <v>1+30,7096056069384i</v>
      </c>
      <c r="F74" s="23" t="str">
        <f t="shared" si="27"/>
        <v>0,476684325304691i</v>
      </c>
      <c r="G74" s="23" t="str">
        <f t="shared" si="28"/>
        <v>-0,044783165603248-0,206598767120139i</v>
      </c>
      <c r="H74" s="23">
        <f t="shared" si="29"/>
        <v>-13.498034207589813</v>
      </c>
      <c r="I74" s="23">
        <f t="shared" si="30"/>
        <v>-102.23044676693517</v>
      </c>
      <c r="J74" s="23" t="str">
        <f>IMPRODUCT(Sheet1!$B$12,IMDIV(IMSUM($L$21,IMDIV(C74,Sheet1!$C$12)),IMSUM($L$21,IMDIV(C74,Sheet1!$D$12))))</f>
        <v>0,438214897332061-0,0459649132503814i</v>
      </c>
      <c r="K74" s="23">
        <f t="shared" si="31"/>
        <v>-7.1187363431596502</v>
      </c>
      <c r="L74" s="23">
        <f t="shared" si="32"/>
        <v>-5.9879305440111965</v>
      </c>
      <c r="M74" s="23" t="str">
        <f t="shared" si="33"/>
        <v>-0,0291209447253449-0,0884762032004513i</v>
      </c>
      <c r="N74" s="23">
        <f t="shared" si="34"/>
        <v>-20.616770550749468</v>
      </c>
      <c r="O74" s="23">
        <f t="shared" si="35"/>
        <v>-108.21837731094635</v>
      </c>
      <c r="P74" s="23" t="str">
        <f>IMPRODUCT(-Sheet1!$D$6,IMDIV(IMSUM(COMPLEX(1,0),IMDIV(Sheet1!$B$6,C74)),IMSUM(COMPLEX(1,0),IMDIV(C74,Sheet1!$C$6))))</f>
        <v>-0,277511560011287+0,350360472196883i</v>
      </c>
      <c r="Q74" s="23">
        <f t="shared" si="36"/>
        <v>-6.994803255503415</v>
      </c>
      <c r="R74" s="23">
        <f t="shared" si="37"/>
        <v>128.38184335916435</v>
      </c>
      <c r="S74" s="23" t="str">
        <f t="shared" si="38"/>
        <v>0,0390799631312304+0,0143503412292417i</v>
      </c>
      <c r="T74" s="23">
        <f t="shared" si="39"/>
        <v>-27.611573806252885</v>
      </c>
      <c r="U74" s="23">
        <f t="shared" si="40"/>
        <v>20.163466048218023</v>
      </c>
      <c r="V74" s="23" t="str">
        <f>IMPRODUCT(-Sheet1!$J$6,IMDIV(IMSUM(COMPLEX(1,0),IMDIV(Sheet1!$H$6,C74)),IMSUM(COMPLEX(1,0),IMDIV(C74,Sheet1!$I$6))))</f>
        <v>-0,276369647674964+0,350194376746785i</v>
      </c>
      <c r="W74" s="23">
        <f t="shared" si="19"/>
        <v>-7.0111138783743732</v>
      </c>
      <c r="X74" s="23">
        <f t="shared" si="20"/>
        <v>128.28012327982779</v>
      </c>
      <c r="Y74" s="23" t="str">
        <f t="shared" si="21"/>
        <v>0,0390320140704096+0,0142541460177575i</v>
      </c>
      <c r="Z74" s="23">
        <f t="shared" si="22"/>
        <v>-27.627884429123846</v>
      </c>
      <c r="AA74" s="23">
        <f t="shared" si="23"/>
        <v>20.061745968881436</v>
      </c>
      <c r="AB74" s="23"/>
    </row>
    <row r="75" spans="1:28" x14ac:dyDescent="0.25">
      <c r="A75" s="23"/>
      <c r="B75" s="23">
        <f>'FB analysis'!B28</f>
        <v>1000</v>
      </c>
      <c r="C75" s="36" t="str">
        <f t="shared" ref="C75" si="42">COMPLEX(0,(2*PI()*B75))</f>
        <v>6283,18530717959i</v>
      </c>
      <c r="D75" s="23" t="str">
        <f t="shared" ref="D75" si="43">IMSUM(L$21,IMDIV(C75,H$21))</f>
        <v>1+0,0251327412287184i</v>
      </c>
      <c r="E75" s="23" t="str">
        <f t="shared" ref="E75" si="44">IMSUM(L$21,IMDIV(C75,I$21))</f>
        <v>1+3,07096056069384i</v>
      </c>
      <c r="F75" s="23" t="str">
        <f t="shared" ref="F75" si="45">IMDIV(C75,IMPRODUCT(J$21,K$21))</f>
        <v>0,0476684325304691i</v>
      </c>
      <c r="G75" s="23" t="str">
        <f t="shared" ref="G75" si="46">IMPRODUCT(IMPRODUCT(F$21,IMDIV(D75,E75)),IMDIV(L$21,IMSUM(L$21,F75,IMPOWER(IMDIV(C75,J$21),2))))</f>
        <v>0,566959320846541-1,88446844839594i</v>
      </c>
      <c r="H75" s="23">
        <f t="shared" ref="H75" si="47">20*LOG((IMABS(G75)))</f>
        <v>5.8800984130380787</v>
      </c>
      <c r="I75" s="23">
        <f t="shared" ref="I75" si="48">IMARGUMENT(G75)*180/PI()</f>
        <v>-73.255612389881733</v>
      </c>
      <c r="J75" s="23" t="str">
        <f>IMPRODUCT(Sheet1!$B$12,IMDIV(IMSUM($L$21,IMDIV(C75,Sheet1!$C$12)),IMSUM($L$21,IMDIV(C75,Sheet1!$D$12))))</f>
        <v>0,661322390421904-0,276746494955053i</v>
      </c>
      <c r="K75" s="23">
        <f t="shared" ref="K75" si="49">20*LOG((IMABS(J75)))</f>
        <v>-2.8909102202270254</v>
      </c>
      <c r="L75" s="23">
        <f t="shared" ref="L75" si="50">IMARGUMENT(J75)*180/PI()</f>
        <v>-22.708062271599818</v>
      </c>
      <c r="M75" s="23" t="str">
        <f t="shared" ref="M75" si="51">IMPRODUCT(G75,J75)</f>
        <v>-0,14657714461275-1,40314518379424i</v>
      </c>
      <c r="N75" s="30">
        <f t="shared" ref="N75" si="52">20*LOG((IMABS(M75)))</f>
        <v>2.9891881928110706</v>
      </c>
      <c r="O75" s="23">
        <f t="shared" ref="O75" si="53">IMARGUMENT(M75)*180/PI()</f>
        <v>-95.963674661481548</v>
      </c>
      <c r="P75" s="23" t="str">
        <f>IMPRODUCT(-Sheet1!$D$6,IMDIV(IMSUM(COMPLEX(1,0),IMDIV(Sheet1!$B$6,C75)),IMSUM(COMPLEX(1,0),IMDIV(C75,Sheet1!$C$6))))</f>
        <v>-0,687663488138268+0,171916916058268i</v>
      </c>
      <c r="Q75" s="23">
        <f t="shared" ref="Q75" si="54">20*LOG((IMABS(P75)))</f>
        <v>-2.9891881928110804</v>
      </c>
      <c r="R75" s="23">
        <f t="shared" ref="R75" si="55">IMARGUMENT(P75)*180/PI()</f>
        <v>165.96367466148155</v>
      </c>
      <c r="S75" s="23" t="str">
        <f t="shared" ref="S75" si="56">IMPRODUCT(J75,G75,P75)</f>
        <v>0,342020143325668+0,939692620785905i</v>
      </c>
      <c r="T75" s="23">
        <f t="shared" ref="T75" si="57">20*LOG((IMABS(S75)))</f>
        <v>-2.9894151463151953E-14</v>
      </c>
      <c r="U75" s="23">
        <f t="shared" ref="U75" si="58">IMARGUMENT(S75)*180/PI()</f>
        <v>69.999999999999972</v>
      </c>
      <c r="V75" s="23"/>
      <c r="W75" s="23"/>
      <c r="X75" s="23"/>
      <c r="Y75" s="23"/>
      <c r="Z75" s="23"/>
      <c r="AA75" s="23"/>
      <c r="AB75" s="23"/>
    </row>
    <row r="76" spans="1:28" x14ac:dyDescent="0.2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</row>
    <row r="77" spans="1:28" x14ac:dyDescent="0.2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</row>
    <row r="78" spans="1:28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</row>
    <row r="79" spans="1:28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</row>
  </sheetData>
  <sheetProtection algorithmName="SHA-512" hashValue="45XqrkqEOiLNP02gbvXrxsM+dI2PmLF36CJ4k7sxJIiusNOS+3OFV5nzTIXpFdZBZiDIv9ttclnXKip5606jAg==" saltValue="0nnIYjvDcjhdKe3EB8UXLQ==" spinCount="100000" sheet="1" objects="1" scenarios="1" selectLockedCells="1" selectUnlockedCells="1"/>
  <mergeCells count="2">
    <mergeCell ref="P22:U22"/>
    <mergeCell ref="V22:AA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FB analysis</vt:lpstr>
      <vt:lpstr>Sheet1</vt:lpstr>
      <vt:lpstr>fmax</vt:lpstr>
      <vt:lpstr>fmin</vt:lpstr>
    </vt:vector>
  </TitlesOfParts>
  <Company>ON Semiconductor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fftcpy</dc:creator>
  <cp:lastModifiedBy>Petr CDC Valek</cp:lastModifiedBy>
  <dcterms:created xsi:type="dcterms:W3CDTF">2013-07-29T07:54:01Z</dcterms:created>
  <dcterms:modified xsi:type="dcterms:W3CDTF">2022-05-10T10:56:04Z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2af334af-4663-47d0-81fa-389fde6394fb</vt:lpwstr>
  </property>
</Properties>
</file>