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0" yWindow="-15" windowWidth="18105" windowHeight="12930"/>
  </bookViews>
  <sheets>
    <sheet name="Design tool" sheetId="1" r:id="rId1"/>
    <sheet name="Minimum input voltage" sheetId="2" r:id="rId2"/>
  </sheets>
  <externalReferences>
    <externalReference r:id="rId3"/>
  </externalReferences>
  <definedNames>
    <definedName name="Cesr">'Design tool'!$T$14</definedName>
    <definedName name="com_c1">'Design tool'!$W$18</definedName>
    <definedName name="comp_C1">'Design tool'!$T$24</definedName>
    <definedName name="comp_C2">'Design tool'!$T$25</definedName>
    <definedName name="comp_R2">'Design tool'!$B$8</definedName>
    <definedName name="Cout">'Design tool'!$T$13</definedName>
    <definedName name="D">'Design tool'!$S$18</definedName>
    <definedName name="D_">'Design tool'!$T$1</definedName>
    <definedName name="Dmax">'Design tool'!$T$11</definedName>
    <definedName name="Enter_Values">'Design tool'!$B$2:$B$13</definedName>
    <definedName name="Fsw">'Design tool'!$S$9</definedName>
    <definedName name="gm">'Design tool'!$T$19</definedName>
    <definedName name="L">'Design tool'!$T$29</definedName>
    <definedName name="mc">'Design tool'!$T$8</definedName>
    <definedName name="R0">'Design tool'!$T$17</definedName>
    <definedName name="Rout">'Design tool'!$T$9</definedName>
    <definedName name="Rout_">'Design tool'!$S$24</definedName>
    <definedName name="sssss">'Design tool'!$U$9</definedName>
    <definedName name="Tsw_">'Design tool'!$T$3</definedName>
    <definedName name="Vout_">'Design tool'!$T$30</definedName>
    <definedName name="wp1e">'Design tool'!$T$22</definedName>
    <definedName name="wp2e">'Design tool'!$T$23</definedName>
    <definedName name="wz2e">'Design tool'!$T$21</definedName>
  </definedNames>
  <calcPr calcId="125725"/>
</workbook>
</file>

<file path=xl/calcChain.xml><?xml version="1.0" encoding="utf-8"?>
<calcChain xmlns="http://schemas.openxmlformats.org/spreadsheetml/2006/main">
  <c r="B7" i="2"/>
  <c r="C13" s="1"/>
  <c r="B43" i="1"/>
  <c r="B41"/>
  <c r="B37"/>
  <c r="B16"/>
  <c r="B25" s="1"/>
  <c r="B7"/>
  <c r="B29"/>
  <c r="B30" s="1"/>
  <c r="B48"/>
  <c r="C10" i="2" l="1"/>
  <c r="C11"/>
  <c r="C14"/>
  <c r="C15"/>
  <c r="C12"/>
  <c r="B38" i="1"/>
  <c r="B39" s="1"/>
  <c r="B23"/>
  <c r="B32"/>
  <c r="B33"/>
  <c r="D7"/>
  <c r="G12"/>
  <c r="G4"/>
  <c r="B40" l="1"/>
  <c r="B42" s="1"/>
  <c r="B44" s="1"/>
  <c r="B46" s="1"/>
  <c r="T19"/>
  <c r="T17"/>
  <c r="T14"/>
  <c r="T13"/>
  <c r="T30"/>
  <c r="T29"/>
  <c r="Z3"/>
  <c r="AA3" s="1"/>
  <c r="Z4"/>
  <c r="Z5"/>
  <c r="AA5" s="1"/>
  <c r="Z6"/>
  <c r="AA6" s="1"/>
  <c r="Z7"/>
  <c r="AA7" s="1"/>
  <c r="Z8"/>
  <c r="Z9"/>
  <c r="AA9" s="1"/>
  <c r="Z10"/>
  <c r="AA10" s="1"/>
  <c r="Z11"/>
  <c r="AA11" s="1"/>
  <c r="Z12"/>
  <c r="Z13"/>
  <c r="AA13" s="1"/>
  <c r="Z14"/>
  <c r="AA14" s="1"/>
  <c r="Z15"/>
  <c r="AA15" s="1"/>
  <c r="Z16"/>
  <c r="Z17"/>
  <c r="AA17" s="1"/>
  <c r="Z18"/>
  <c r="AA18" s="1"/>
  <c r="Z19"/>
  <c r="AA19" s="1"/>
  <c r="Z20"/>
  <c r="Z21"/>
  <c r="AA21" s="1"/>
  <c r="Z22"/>
  <c r="AA22" s="1"/>
  <c r="Z23"/>
  <c r="AA23" s="1"/>
  <c r="Z24"/>
  <c r="Z25"/>
  <c r="AA25" s="1"/>
  <c r="Z26"/>
  <c r="AA26" s="1"/>
  <c r="Z27"/>
  <c r="AA27" s="1"/>
  <c r="Z28"/>
  <c r="Z29"/>
  <c r="AA29" s="1"/>
  <c r="Z30"/>
  <c r="AA30" s="1"/>
  <c r="Z31"/>
  <c r="AA31" s="1"/>
  <c r="Z32"/>
  <c r="Z33"/>
  <c r="AA33" s="1"/>
  <c r="Z34"/>
  <c r="AA34" s="1"/>
  <c r="Z35"/>
  <c r="AA35" s="1"/>
  <c r="Z36"/>
  <c r="AA36" s="1"/>
  <c r="Z37"/>
  <c r="AA37" s="1"/>
  <c r="Z38"/>
  <c r="AA38" s="1"/>
  <c r="Z39"/>
  <c r="AA39" s="1"/>
  <c r="Z40"/>
  <c r="AA40" s="1"/>
  <c r="Z41"/>
  <c r="AA41" s="1"/>
  <c r="Z42"/>
  <c r="AA42" s="1"/>
  <c r="Z43"/>
  <c r="AA43" s="1"/>
  <c r="Z44"/>
  <c r="AA44" s="1"/>
  <c r="Z45"/>
  <c r="AA45" s="1"/>
  <c r="Z46"/>
  <c r="AA46" s="1"/>
  <c r="Z47"/>
  <c r="AA47" s="1"/>
  <c r="Z48"/>
  <c r="AA48" s="1"/>
  <c r="Z49"/>
  <c r="AA49" s="1"/>
  <c r="Z50"/>
  <c r="AA50" s="1"/>
  <c r="Z51"/>
  <c r="AA51" s="1"/>
  <c r="Z52"/>
  <c r="AA52" s="1"/>
  <c r="Z53"/>
  <c r="AA53" s="1"/>
  <c r="Z54"/>
  <c r="AA54" s="1"/>
  <c r="Z55"/>
  <c r="AA55" s="1"/>
  <c r="Z56"/>
  <c r="AA56" s="1"/>
  <c r="Z57"/>
  <c r="AA57" s="1"/>
  <c r="Z58"/>
  <c r="AA58" s="1"/>
  <c r="Z59"/>
  <c r="AA59" s="1"/>
  <c r="Z60"/>
  <c r="AA60" s="1"/>
  <c r="Z61"/>
  <c r="AA61" s="1"/>
  <c r="Z62"/>
  <c r="AA62" s="1"/>
  <c r="Z63"/>
  <c r="AA63" s="1"/>
  <c r="Z64"/>
  <c r="AA64" s="1"/>
  <c r="Z65"/>
  <c r="AA65" s="1"/>
  <c r="Z66"/>
  <c r="AA66" s="1"/>
  <c r="Z67"/>
  <c r="AA67" s="1"/>
  <c r="Z68"/>
  <c r="AA68" s="1"/>
  <c r="Z69"/>
  <c r="AA69" s="1"/>
  <c r="Z70"/>
  <c r="AA70" s="1"/>
  <c r="Z71"/>
  <c r="AA71" s="1"/>
  <c r="Z72"/>
  <c r="AA72" s="1"/>
  <c r="Z73"/>
  <c r="AA73" s="1"/>
  <c r="Z74"/>
  <c r="AA74" s="1"/>
  <c r="Z75"/>
  <c r="AA75" s="1"/>
  <c r="Z76"/>
  <c r="AA76" s="1"/>
  <c r="Z77"/>
  <c r="AA77" s="1"/>
  <c r="Z78"/>
  <c r="AA78" s="1"/>
  <c r="Z79"/>
  <c r="AA79" s="1"/>
  <c r="Z80"/>
  <c r="AA80" s="1"/>
  <c r="Z81"/>
  <c r="AA81" s="1"/>
  <c r="Z82"/>
  <c r="AA82" s="1"/>
  <c r="Z83"/>
  <c r="AA83" s="1"/>
  <c r="Z84"/>
  <c r="AA84" s="1"/>
  <c r="Z85"/>
  <c r="AA85" s="1"/>
  <c r="Z86"/>
  <c r="AA86" s="1"/>
  <c r="Z87"/>
  <c r="AA87" s="1"/>
  <c r="Z88"/>
  <c r="AA88" s="1"/>
  <c r="Z89"/>
  <c r="AA89" s="1"/>
  <c r="Z90"/>
  <c r="AA90" s="1"/>
  <c r="Z91"/>
  <c r="AA91" s="1"/>
  <c r="Z92"/>
  <c r="AA92" s="1"/>
  <c r="Z93"/>
  <c r="AA93" s="1"/>
  <c r="Z94"/>
  <c r="AA94" s="1"/>
  <c r="Z95"/>
  <c r="AA95" s="1"/>
  <c r="Z96"/>
  <c r="AA96" s="1"/>
  <c r="Z97"/>
  <c r="AA97" s="1"/>
  <c r="Z98"/>
  <c r="AA98" s="1"/>
  <c r="Z99"/>
  <c r="AA99" s="1"/>
  <c r="Z100"/>
  <c r="AA100" s="1"/>
  <c r="Z101"/>
  <c r="AA101" s="1"/>
  <c r="Z102"/>
  <c r="AA102" s="1"/>
  <c r="Z103"/>
  <c r="AA103" s="1"/>
  <c r="Z104"/>
  <c r="AA104" s="1"/>
  <c r="Z105"/>
  <c r="AA105" s="1"/>
  <c r="Z106"/>
  <c r="AA106" s="1"/>
  <c r="Z107"/>
  <c r="AA107" s="1"/>
  <c r="Z108"/>
  <c r="AA108" s="1"/>
  <c r="Z109"/>
  <c r="AA109" s="1"/>
  <c r="Z110"/>
  <c r="AA110" s="1"/>
  <c r="Z111"/>
  <c r="AA111" s="1"/>
  <c r="Z112"/>
  <c r="AA112" s="1"/>
  <c r="Z113"/>
  <c r="AA113" s="1"/>
  <c r="Z114"/>
  <c r="AA114" s="1"/>
  <c r="Z115"/>
  <c r="AA115" s="1"/>
  <c r="Z116"/>
  <c r="AA116" s="1"/>
  <c r="Z117"/>
  <c r="AA117" s="1"/>
  <c r="Z118"/>
  <c r="AA118" s="1"/>
  <c r="Z119"/>
  <c r="AA119" s="1"/>
  <c r="Z120"/>
  <c r="AA120" s="1"/>
  <c r="Z121"/>
  <c r="AA121" s="1"/>
  <c r="Z122"/>
  <c r="AA122" s="1"/>
  <c r="Z123"/>
  <c r="AA123" s="1"/>
  <c r="Z124"/>
  <c r="AA124" s="1"/>
  <c r="Z125"/>
  <c r="AA125" s="1"/>
  <c r="Z126"/>
  <c r="AA126" s="1"/>
  <c r="Z127"/>
  <c r="AA127" s="1"/>
  <c r="Z128"/>
  <c r="AA128" s="1"/>
  <c r="Z129"/>
  <c r="AA129" s="1"/>
  <c r="Z130"/>
  <c r="AA130" s="1"/>
  <c r="Z131"/>
  <c r="AA131" s="1"/>
  <c r="Z132"/>
  <c r="AA132" s="1"/>
  <c r="Z133"/>
  <c r="AA133" s="1"/>
  <c r="Z134"/>
  <c r="AA134" s="1"/>
  <c r="Z135"/>
  <c r="AA135" s="1"/>
  <c r="Z136"/>
  <c r="AA136" s="1"/>
  <c r="Z137"/>
  <c r="AA137" s="1"/>
  <c r="Z138"/>
  <c r="AA138" s="1"/>
  <c r="Z139"/>
  <c r="AA139" s="1"/>
  <c r="Z140"/>
  <c r="AA140" s="1"/>
  <c r="Z141"/>
  <c r="AA141" s="1"/>
  <c r="Z142"/>
  <c r="AA142" s="1"/>
  <c r="Z143"/>
  <c r="AA143" s="1"/>
  <c r="Z144"/>
  <c r="AA144" s="1"/>
  <c r="Z145"/>
  <c r="AA145" s="1"/>
  <c r="Z146"/>
  <c r="AA146" s="1"/>
  <c r="Z147"/>
  <c r="AA147" s="1"/>
  <c r="Z148"/>
  <c r="AA148" s="1"/>
  <c r="Z149"/>
  <c r="AA149" s="1"/>
  <c r="Z150"/>
  <c r="AA150" s="1"/>
  <c r="Z151"/>
  <c r="AA151" s="1"/>
  <c r="Z152"/>
  <c r="AA152" s="1"/>
  <c r="Z153"/>
  <c r="AA153" s="1"/>
  <c r="Z154"/>
  <c r="AA154" s="1"/>
  <c r="Z155"/>
  <c r="AA155" s="1"/>
  <c r="Z156"/>
  <c r="AA156" s="1"/>
  <c r="Z157"/>
  <c r="AA157" s="1"/>
  <c r="Z158"/>
  <c r="AA158" s="1"/>
  <c r="Z159"/>
  <c r="AA159" s="1"/>
  <c r="Z160"/>
  <c r="AA160" s="1"/>
  <c r="Z161"/>
  <c r="AA161" s="1"/>
  <c r="Z162"/>
  <c r="AA162" s="1"/>
  <c r="Z163"/>
  <c r="AA163" s="1"/>
  <c r="Z164"/>
  <c r="AA164" s="1"/>
  <c r="Z165"/>
  <c r="AA165" s="1"/>
  <c r="Z166"/>
  <c r="AA166" s="1"/>
  <c r="Z167"/>
  <c r="AA167" s="1"/>
  <c r="Z168"/>
  <c r="AA168" s="1"/>
  <c r="Z169"/>
  <c r="AA169" s="1"/>
  <c r="Z170"/>
  <c r="AA170" s="1"/>
  <c r="Z171"/>
  <c r="AA171" s="1"/>
  <c r="Z172"/>
  <c r="AA172" s="1"/>
  <c r="Z173"/>
  <c r="AA173" s="1"/>
  <c r="Z174"/>
  <c r="AA174" s="1"/>
  <c r="Z175"/>
  <c r="AA175" s="1"/>
  <c r="Z176"/>
  <c r="AA176" s="1"/>
  <c r="Z177"/>
  <c r="AA177" s="1"/>
  <c r="Z178"/>
  <c r="AA178" s="1"/>
  <c r="Z179"/>
  <c r="AA179" s="1"/>
  <c r="Z180"/>
  <c r="AA180" s="1"/>
  <c r="Z181"/>
  <c r="AA181" s="1"/>
  <c r="Z182"/>
  <c r="AA182" s="1"/>
  <c r="Z183"/>
  <c r="AA183" s="1"/>
  <c r="Z184"/>
  <c r="AA184" s="1"/>
  <c r="Z185"/>
  <c r="AA185" s="1"/>
  <c r="Z186"/>
  <c r="AA186" s="1"/>
  <c r="Z187"/>
  <c r="AA187" s="1"/>
  <c r="Z188"/>
  <c r="AA188" s="1"/>
  <c r="Z189"/>
  <c r="AA189" s="1"/>
  <c r="Z190"/>
  <c r="AA190" s="1"/>
  <c r="Z191"/>
  <c r="Z192"/>
  <c r="AA192" s="1"/>
  <c r="Z193"/>
  <c r="AA193" s="1"/>
  <c r="Z194"/>
  <c r="AA194" s="1"/>
  <c r="Z195"/>
  <c r="AA195" s="1"/>
  <c r="Z196"/>
  <c r="AA196" s="1"/>
  <c r="Z197"/>
  <c r="AA197" s="1"/>
  <c r="Z198"/>
  <c r="AA198" s="1"/>
  <c r="Z199"/>
  <c r="Z200"/>
  <c r="AA200" s="1"/>
  <c r="Z201"/>
  <c r="AA201" s="1"/>
  <c r="Z202"/>
  <c r="AA202" s="1"/>
  <c r="Z2"/>
  <c r="AA2" s="1"/>
  <c r="W5"/>
  <c r="T7"/>
  <c r="T8" s="1"/>
  <c r="B17"/>
  <c r="B18" s="1"/>
  <c r="AK2"/>
  <c r="B22"/>
  <c r="T3"/>
  <c r="AA199"/>
  <c r="AA191"/>
  <c r="AA32"/>
  <c r="AA28"/>
  <c r="AA24"/>
  <c r="AA20"/>
  <c r="AA16"/>
  <c r="T16"/>
  <c r="AA12"/>
  <c r="AA8"/>
  <c r="AA4"/>
  <c r="AB3" l="1"/>
  <c r="AB7"/>
  <c r="AB11"/>
  <c r="AB15"/>
  <c r="AB19"/>
  <c r="AB23"/>
  <c r="AB27"/>
  <c r="AB31"/>
  <c r="AB35"/>
  <c r="AB39"/>
  <c r="AB43"/>
  <c r="AB47"/>
  <c r="AB51"/>
  <c r="AB55"/>
  <c r="AB59"/>
  <c r="AB63"/>
  <c r="AB67"/>
  <c r="AB71"/>
  <c r="AB75"/>
  <c r="AB79"/>
  <c r="AB83"/>
  <c r="AB87"/>
  <c r="AB91"/>
  <c r="AB95"/>
  <c r="AB99"/>
  <c r="AB103"/>
  <c r="AB107"/>
  <c r="AB111"/>
  <c r="AB115"/>
  <c r="AB119"/>
  <c r="AB123"/>
  <c r="AB127"/>
  <c r="AB131"/>
  <c r="AB135"/>
  <c r="AB139"/>
  <c r="AB143"/>
  <c r="AB147"/>
  <c r="AB151"/>
  <c r="AB155"/>
  <c r="AB159"/>
  <c r="AB163"/>
  <c r="AB167"/>
  <c r="AB171"/>
  <c r="AB175"/>
  <c r="AB179"/>
  <c r="AB183"/>
  <c r="AB187"/>
  <c r="AB191"/>
  <c r="AB195"/>
  <c r="AB199"/>
  <c r="AB2"/>
  <c r="AB21"/>
  <c r="AB57"/>
  <c r="AB65"/>
  <c r="AB77"/>
  <c r="AB85"/>
  <c r="AB93"/>
  <c r="AB101"/>
  <c r="AB109"/>
  <c r="AB117"/>
  <c r="AB125"/>
  <c r="AB133"/>
  <c r="AB141"/>
  <c r="AB149"/>
  <c r="AB157"/>
  <c r="AB165"/>
  <c r="AB173"/>
  <c r="AB181"/>
  <c r="AB189"/>
  <c r="AB197"/>
  <c r="AB6"/>
  <c r="AB18"/>
  <c r="AB26"/>
  <c r="AB34"/>
  <c r="AB38"/>
  <c r="AB4"/>
  <c r="AB8"/>
  <c r="AB12"/>
  <c r="AB16"/>
  <c r="AB20"/>
  <c r="AB24"/>
  <c r="AB28"/>
  <c r="AB32"/>
  <c r="AB36"/>
  <c r="AB40"/>
  <c r="AB44"/>
  <c r="AB48"/>
  <c r="AB52"/>
  <c r="AB56"/>
  <c r="AB60"/>
  <c r="AB64"/>
  <c r="AB68"/>
  <c r="AB72"/>
  <c r="AB76"/>
  <c r="AB80"/>
  <c r="AB84"/>
  <c r="AB88"/>
  <c r="AB92"/>
  <c r="AB96"/>
  <c r="AB100"/>
  <c r="AB104"/>
  <c r="AB108"/>
  <c r="AB112"/>
  <c r="AB116"/>
  <c r="AB120"/>
  <c r="AB124"/>
  <c r="AB128"/>
  <c r="AB132"/>
  <c r="AB136"/>
  <c r="AB140"/>
  <c r="AB144"/>
  <c r="AB148"/>
  <c r="AB152"/>
  <c r="AB156"/>
  <c r="AB160"/>
  <c r="AB164"/>
  <c r="AB168"/>
  <c r="AB172"/>
  <c r="AB176"/>
  <c r="AB180"/>
  <c r="AB184"/>
  <c r="AB188"/>
  <c r="AB192"/>
  <c r="AB196"/>
  <c r="AB200"/>
  <c r="AB5"/>
  <c r="AB9"/>
  <c r="AB13"/>
  <c r="AB17"/>
  <c r="AB25"/>
  <c r="AB29"/>
  <c r="AB33"/>
  <c r="AB37"/>
  <c r="AB41"/>
  <c r="AB45"/>
  <c r="AB49"/>
  <c r="AB53"/>
  <c r="AB61"/>
  <c r="AB69"/>
  <c r="AB73"/>
  <c r="AB81"/>
  <c r="AB89"/>
  <c r="AB97"/>
  <c r="AB105"/>
  <c r="AB113"/>
  <c r="AB121"/>
  <c r="AB129"/>
  <c r="AB137"/>
  <c r="AB145"/>
  <c r="AB153"/>
  <c r="AB161"/>
  <c r="AB169"/>
  <c r="AB177"/>
  <c r="AB185"/>
  <c r="AB193"/>
  <c r="AB201"/>
  <c r="AB10"/>
  <c r="AB14"/>
  <c r="AB22"/>
  <c r="AB30"/>
  <c r="AB58"/>
  <c r="AB186"/>
  <c r="AB46"/>
  <c r="AB62"/>
  <c r="AB78"/>
  <c r="AB94"/>
  <c r="AB110"/>
  <c r="AB126"/>
  <c r="AB142"/>
  <c r="AB158"/>
  <c r="AB174"/>
  <c r="AB190"/>
  <c r="AB50"/>
  <c r="AB66"/>
  <c r="AB82"/>
  <c r="AB98"/>
  <c r="AB114"/>
  <c r="AB130"/>
  <c r="AB146"/>
  <c r="AB162"/>
  <c r="AB178"/>
  <c r="AB194"/>
  <c r="AB54"/>
  <c r="AB70"/>
  <c r="AB86"/>
  <c r="AB102"/>
  <c r="AB118"/>
  <c r="AB134"/>
  <c r="AB150"/>
  <c r="AB166"/>
  <c r="AB182"/>
  <c r="AB198"/>
  <c r="AB42"/>
  <c r="AB74"/>
  <c r="AB90"/>
  <c r="AB106"/>
  <c r="AB122"/>
  <c r="AB138"/>
  <c r="AB154"/>
  <c r="AB170"/>
  <c r="AB202"/>
  <c r="G8"/>
  <c r="G10"/>
  <c r="W2" s="1"/>
  <c r="T9"/>
  <c r="G14" l="1"/>
  <c r="AC2"/>
  <c r="T1"/>
  <c r="G11"/>
  <c r="B19"/>
  <c r="AD5" l="1"/>
  <c r="AD9"/>
  <c r="AD13"/>
  <c r="AD17"/>
  <c r="AD21"/>
  <c r="AD25"/>
  <c r="AD29"/>
  <c r="AD33"/>
  <c r="AD37"/>
  <c r="AD41"/>
  <c r="AD45"/>
  <c r="AD49"/>
  <c r="AD53"/>
  <c r="AD57"/>
  <c r="AD61"/>
  <c r="AD65"/>
  <c r="AD69"/>
  <c r="AD73"/>
  <c r="AD77"/>
  <c r="AD81"/>
  <c r="AD85"/>
  <c r="AD89"/>
  <c r="AD93"/>
  <c r="AD97"/>
  <c r="AD101"/>
  <c r="AD105"/>
  <c r="AD109"/>
  <c r="AD113"/>
  <c r="AD6"/>
  <c r="AD10"/>
  <c r="AD14"/>
  <c r="AD18"/>
  <c r="AD22"/>
  <c r="AD26"/>
  <c r="AD30"/>
  <c r="AD34"/>
  <c r="AD38"/>
  <c r="AD42"/>
  <c r="AD46"/>
  <c r="AD50"/>
  <c r="AD54"/>
  <c r="AD58"/>
  <c r="AD62"/>
  <c r="AD66"/>
  <c r="W7"/>
  <c r="AD4"/>
  <c r="AD8"/>
  <c r="AD12"/>
  <c r="AD16"/>
  <c r="AD20"/>
  <c r="AD24"/>
  <c r="AD28"/>
  <c r="AD32"/>
  <c r="AD36"/>
  <c r="AD40"/>
  <c r="AD44"/>
  <c r="AD48"/>
  <c r="AD52"/>
  <c r="AD56"/>
  <c r="AD60"/>
  <c r="AD64"/>
  <c r="AD3"/>
  <c r="AD19"/>
  <c r="AD35"/>
  <c r="AD51"/>
  <c r="AD67"/>
  <c r="AD72"/>
  <c r="AD78"/>
  <c r="AD83"/>
  <c r="AD88"/>
  <c r="AD94"/>
  <c r="AD99"/>
  <c r="AD104"/>
  <c r="AD110"/>
  <c r="AD115"/>
  <c r="AD119"/>
  <c r="AD123"/>
  <c r="AD127"/>
  <c r="AD131"/>
  <c r="AD135"/>
  <c r="AD139"/>
  <c r="AD143"/>
  <c r="AD147"/>
  <c r="AD151"/>
  <c r="AD155"/>
  <c r="AD159"/>
  <c r="AD163"/>
  <c r="AD167"/>
  <c r="AD171"/>
  <c r="AD175"/>
  <c r="AD179"/>
  <c r="AD183"/>
  <c r="AD187"/>
  <c r="AD191"/>
  <c r="AD195"/>
  <c r="AD199"/>
  <c r="AD2"/>
  <c r="AD7"/>
  <c r="AD23"/>
  <c r="AD39"/>
  <c r="AD55"/>
  <c r="AD68"/>
  <c r="AD74"/>
  <c r="AD79"/>
  <c r="AD84"/>
  <c r="AD90"/>
  <c r="AD95"/>
  <c r="AD100"/>
  <c r="AD106"/>
  <c r="AD111"/>
  <c r="AD116"/>
  <c r="AD120"/>
  <c r="AD124"/>
  <c r="AD128"/>
  <c r="AD132"/>
  <c r="AD136"/>
  <c r="AD140"/>
  <c r="AD144"/>
  <c r="AD148"/>
  <c r="AD152"/>
  <c r="AD156"/>
  <c r="AD160"/>
  <c r="AD164"/>
  <c r="AD168"/>
  <c r="AD172"/>
  <c r="AD176"/>
  <c r="AD180"/>
  <c r="AD184"/>
  <c r="AD188"/>
  <c r="AD192"/>
  <c r="AD196"/>
  <c r="AD200"/>
  <c r="AD15"/>
  <c r="AD31"/>
  <c r="AD47"/>
  <c r="AD63"/>
  <c r="AD71"/>
  <c r="AD76"/>
  <c r="AD82"/>
  <c r="AD87"/>
  <c r="AD92"/>
  <c r="AD98"/>
  <c r="AD103"/>
  <c r="AD108"/>
  <c r="AD114"/>
  <c r="AD118"/>
  <c r="AD122"/>
  <c r="AD126"/>
  <c r="AD130"/>
  <c r="AD134"/>
  <c r="AD138"/>
  <c r="AD142"/>
  <c r="AD146"/>
  <c r="AD150"/>
  <c r="AD154"/>
  <c r="AD158"/>
  <c r="AD162"/>
  <c r="AD166"/>
  <c r="AD170"/>
  <c r="AD174"/>
  <c r="AD178"/>
  <c r="AD182"/>
  <c r="AD186"/>
  <c r="AD190"/>
  <c r="AD194"/>
  <c r="AD198"/>
  <c r="AD202"/>
  <c r="AD43"/>
  <c r="AD80"/>
  <c r="AD102"/>
  <c r="AD121"/>
  <c r="AD137"/>
  <c r="AD153"/>
  <c r="AD169"/>
  <c r="AD185"/>
  <c r="AD201"/>
  <c r="AD149"/>
  <c r="AD59"/>
  <c r="AD86"/>
  <c r="AD107"/>
  <c r="AD125"/>
  <c r="AD141"/>
  <c r="AD157"/>
  <c r="AD173"/>
  <c r="AD189"/>
  <c r="AD133"/>
  <c r="AD11"/>
  <c r="AD70"/>
  <c r="AD91"/>
  <c r="AD112"/>
  <c r="AD129"/>
  <c r="AD145"/>
  <c r="AD161"/>
  <c r="AD177"/>
  <c r="AD193"/>
  <c r="AD27"/>
  <c r="AD75"/>
  <c r="AD96"/>
  <c r="AD117"/>
  <c r="AD165"/>
  <c r="AD181"/>
  <c r="AD197"/>
  <c r="AE5"/>
  <c r="AE9"/>
  <c r="AE13"/>
  <c r="AE17"/>
  <c r="AE21"/>
  <c r="AE25"/>
  <c r="AE29"/>
  <c r="AE33"/>
  <c r="AE37"/>
  <c r="AE41"/>
  <c r="AE45"/>
  <c r="AE49"/>
  <c r="AE53"/>
  <c r="AE57"/>
  <c r="AE61"/>
  <c r="AE65"/>
  <c r="AE69"/>
  <c r="AE73"/>
  <c r="AE77"/>
  <c r="AE81"/>
  <c r="AE85"/>
  <c r="AE89"/>
  <c r="AE93"/>
  <c r="AE97"/>
  <c r="AE101"/>
  <c r="AE105"/>
  <c r="AE109"/>
  <c r="AE113"/>
  <c r="AE117"/>
  <c r="AE121"/>
  <c r="AE125"/>
  <c r="AE129"/>
  <c r="AE133"/>
  <c r="AE137"/>
  <c r="AE141"/>
  <c r="AE145"/>
  <c r="W3"/>
  <c r="AE3"/>
  <c r="AE8"/>
  <c r="AE14"/>
  <c r="AE19"/>
  <c r="AE24"/>
  <c r="AE30"/>
  <c r="AE35"/>
  <c r="AE40"/>
  <c r="AE46"/>
  <c r="AE51"/>
  <c r="AE56"/>
  <c r="AE62"/>
  <c r="AE67"/>
  <c r="AE72"/>
  <c r="AE78"/>
  <c r="AE83"/>
  <c r="AE88"/>
  <c r="AE94"/>
  <c r="AE99"/>
  <c r="AE104"/>
  <c r="AE110"/>
  <c r="AE115"/>
  <c r="AE120"/>
  <c r="AE126"/>
  <c r="AE131"/>
  <c r="AE136"/>
  <c r="AE142"/>
  <c r="AE147"/>
  <c r="AE151"/>
  <c r="AE155"/>
  <c r="AE159"/>
  <c r="AE163"/>
  <c r="AE167"/>
  <c r="AE171"/>
  <c r="AE175"/>
  <c r="AE179"/>
  <c r="AE183"/>
  <c r="AE187"/>
  <c r="AE191"/>
  <c r="AE195"/>
  <c r="AE199"/>
  <c r="AE2"/>
  <c r="AF2" s="1"/>
  <c r="AH2" s="1"/>
  <c r="AI2" s="1"/>
  <c r="AE4"/>
  <c r="AE10"/>
  <c r="AE15"/>
  <c r="AE20"/>
  <c r="AE26"/>
  <c r="AE31"/>
  <c r="AE36"/>
  <c r="AE42"/>
  <c r="AE47"/>
  <c r="AE52"/>
  <c r="AE58"/>
  <c r="AE63"/>
  <c r="AE68"/>
  <c r="AE74"/>
  <c r="AE79"/>
  <c r="AE84"/>
  <c r="AE90"/>
  <c r="AE95"/>
  <c r="AE100"/>
  <c r="AE106"/>
  <c r="AE111"/>
  <c r="AE116"/>
  <c r="AE122"/>
  <c r="AE127"/>
  <c r="AE132"/>
  <c r="AE138"/>
  <c r="AE143"/>
  <c r="AE148"/>
  <c r="AE152"/>
  <c r="AE156"/>
  <c r="AE160"/>
  <c r="AE164"/>
  <c r="AE168"/>
  <c r="AE172"/>
  <c r="AE176"/>
  <c r="AE180"/>
  <c r="AE184"/>
  <c r="AE188"/>
  <c r="AE192"/>
  <c r="AE196"/>
  <c r="AE200"/>
  <c r="AE7"/>
  <c r="AE12"/>
  <c r="AE18"/>
  <c r="AE23"/>
  <c r="AE28"/>
  <c r="AE34"/>
  <c r="AE39"/>
  <c r="AE44"/>
  <c r="AE50"/>
  <c r="AE55"/>
  <c r="AE60"/>
  <c r="AE66"/>
  <c r="AE71"/>
  <c r="AE76"/>
  <c r="AE82"/>
  <c r="AE87"/>
  <c r="AE92"/>
  <c r="AE98"/>
  <c r="AE103"/>
  <c r="AE108"/>
  <c r="AE114"/>
  <c r="AE119"/>
  <c r="AE124"/>
  <c r="AE130"/>
  <c r="AE135"/>
  <c r="AE140"/>
  <c r="AE146"/>
  <c r="AE150"/>
  <c r="AE154"/>
  <c r="AE158"/>
  <c r="AE162"/>
  <c r="AE166"/>
  <c r="AE170"/>
  <c r="AF170" s="1"/>
  <c r="AE174"/>
  <c r="AE178"/>
  <c r="AE182"/>
  <c r="AE186"/>
  <c r="AE190"/>
  <c r="AE194"/>
  <c r="AE198"/>
  <c r="AE202"/>
  <c r="AE16"/>
  <c r="AE38"/>
  <c r="AE59"/>
  <c r="AE80"/>
  <c r="AE102"/>
  <c r="AE123"/>
  <c r="AE144"/>
  <c r="AE161"/>
  <c r="AE177"/>
  <c r="AE193"/>
  <c r="AE22"/>
  <c r="AE43"/>
  <c r="AE64"/>
  <c r="AE86"/>
  <c r="AE107"/>
  <c r="AE128"/>
  <c r="AE149"/>
  <c r="AE165"/>
  <c r="AE181"/>
  <c r="AE197"/>
  <c r="AE11"/>
  <c r="AE32"/>
  <c r="AE54"/>
  <c r="AE75"/>
  <c r="AE96"/>
  <c r="AE118"/>
  <c r="AE139"/>
  <c r="AE157"/>
  <c r="AF157" s="1"/>
  <c r="AG157" s="1"/>
  <c r="AJ157" s="1"/>
  <c r="AE173"/>
  <c r="AE189"/>
  <c r="AE48"/>
  <c r="AE134"/>
  <c r="AE201"/>
  <c r="AE70"/>
  <c r="AE153"/>
  <c r="AE6"/>
  <c r="AE91"/>
  <c r="AE169"/>
  <c r="AE27"/>
  <c r="AE112"/>
  <c r="AE185"/>
  <c r="T2"/>
  <c r="T6"/>
  <c r="AF43" l="1"/>
  <c r="AH43" s="1"/>
  <c r="AI43" s="1"/>
  <c r="AF28"/>
  <c r="AH28" s="1"/>
  <c r="AI28" s="1"/>
  <c r="AF50"/>
  <c r="AG50" s="1"/>
  <c r="AJ50" s="1"/>
  <c r="AF5"/>
  <c r="AG5" s="1"/>
  <c r="AJ5" s="1"/>
  <c r="AF197"/>
  <c r="AH197" s="1"/>
  <c r="AI197" s="1"/>
  <c r="AF133"/>
  <c r="AG133" s="1"/>
  <c r="AJ133" s="1"/>
  <c r="AF31"/>
  <c r="AG31" s="1"/>
  <c r="AJ31" s="1"/>
  <c r="AH157"/>
  <c r="AI157" s="1"/>
  <c r="AF103"/>
  <c r="AG103" s="1"/>
  <c r="AJ103" s="1"/>
  <c r="AF94"/>
  <c r="AG94" s="1"/>
  <c r="AJ94" s="1"/>
  <c r="AF93"/>
  <c r="AH93" s="1"/>
  <c r="AI93" s="1"/>
  <c r="AF27"/>
  <c r="AG27" s="1"/>
  <c r="AJ27" s="1"/>
  <c r="AF87"/>
  <c r="AG87" s="1"/>
  <c r="AJ87" s="1"/>
  <c r="AF200"/>
  <c r="AG200" s="1"/>
  <c r="AJ200" s="1"/>
  <c r="AF184"/>
  <c r="AF120"/>
  <c r="AF100"/>
  <c r="AG100" s="1"/>
  <c r="AJ100" s="1"/>
  <c r="AF151"/>
  <c r="AG151" s="1"/>
  <c r="AJ151" s="1"/>
  <c r="AF99"/>
  <c r="AH99" s="1"/>
  <c r="AI99" s="1"/>
  <c r="AF44"/>
  <c r="AG44" s="1"/>
  <c r="AJ44" s="1"/>
  <c r="AF97"/>
  <c r="AH97" s="1"/>
  <c r="AI97" s="1"/>
  <c r="AF81"/>
  <c r="AG81" s="1"/>
  <c r="AJ81" s="1"/>
  <c r="AF33"/>
  <c r="AF17"/>
  <c r="AG17" s="1"/>
  <c r="AJ17" s="1"/>
  <c r="AF132"/>
  <c r="AH132" s="1"/>
  <c r="AI132" s="1"/>
  <c r="AF182"/>
  <c r="AH182" s="1"/>
  <c r="AI182" s="1"/>
  <c r="AF166"/>
  <c r="AH166" s="1"/>
  <c r="AI166" s="1"/>
  <c r="AF176"/>
  <c r="AG176" s="1"/>
  <c r="AJ176" s="1"/>
  <c r="AF68"/>
  <c r="AG68" s="1"/>
  <c r="AJ68" s="1"/>
  <c r="AF159"/>
  <c r="AH159" s="1"/>
  <c r="AI159" s="1"/>
  <c r="AF110"/>
  <c r="AH110" s="1"/>
  <c r="AI110" s="1"/>
  <c r="AF3"/>
  <c r="AF105"/>
  <c r="AG105" s="1"/>
  <c r="AJ105" s="1"/>
  <c r="AF89"/>
  <c r="AG89" s="1"/>
  <c r="AJ89" s="1"/>
  <c r="AF41"/>
  <c r="AG41" s="1"/>
  <c r="AJ41" s="1"/>
  <c r="AF25"/>
  <c r="AG25" s="1"/>
  <c r="AJ25" s="1"/>
  <c r="AF71"/>
  <c r="AH71" s="1"/>
  <c r="AI71" s="1"/>
  <c r="AH170"/>
  <c r="AI170" s="1"/>
  <c r="AG170"/>
  <c r="AJ170" s="1"/>
  <c r="AF165"/>
  <c r="AG165" s="1"/>
  <c r="AJ165" s="1"/>
  <c r="AF186"/>
  <c r="AF196"/>
  <c r="AF179"/>
  <c r="AF77"/>
  <c r="AF60"/>
  <c r="AG60" s="1"/>
  <c r="AJ60" s="1"/>
  <c r="AF18"/>
  <c r="AF112"/>
  <c r="AG112" s="1"/>
  <c r="AJ112" s="1"/>
  <c r="AF141"/>
  <c r="AF169"/>
  <c r="AG169" s="1"/>
  <c r="AJ169" s="1"/>
  <c r="AF118"/>
  <c r="AF52"/>
  <c r="AF42"/>
  <c r="AF10"/>
  <c r="AF119"/>
  <c r="AG119" s="1"/>
  <c r="AJ119" s="1"/>
  <c r="AF34"/>
  <c r="AH34" s="1"/>
  <c r="AI34" s="1"/>
  <c r="AF12"/>
  <c r="AH12" s="1"/>
  <c r="AI12" s="1"/>
  <c r="AF58"/>
  <c r="AH58" s="1"/>
  <c r="AI58" s="1"/>
  <c r="AF9"/>
  <c r="AG9" s="1"/>
  <c r="AJ9" s="1"/>
  <c r="AF75"/>
  <c r="AF161"/>
  <c r="AF91"/>
  <c r="AH91" s="1"/>
  <c r="AI91" s="1"/>
  <c r="AF189"/>
  <c r="AF125"/>
  <c r="AF149"/>
  <c r="AG149" s="1"/>
  <c r="AJ149" s="1"/>
  <c r="AF80"/>
  <c r="AG80" s="1"/>
  <c r="AJ80" s="1"/>
  <c r="AF194"/>
  <c r="AF178"/>
  <c r="AF162"/>
  <c r="AF146"/>
  <c r="AF114"/>
  <c r="AF92"/>
  <c r="AF188"/>
  <c r="AF172"/>
  <c r="AF156"/>
  <c r="AF124"/>
  <c r="AF106"/>
  <c r="AF84"/>
  <c r="AF187"/>
  <c r="AF171"/>
  <c r="AF155"/>
  <c r="AF123"/>
  <c r="AF104"/>
  <c r="AF83"/>
  <c r="AF51"/>
  <c r="AG51" s="1"/>
  <c r="AJ51" s="1"/>
  <c r="AF64"/>
  <c r="AH64" s="1"/>
  <c r="AI64" s="1"/>
  <c r="AF32"/>
  <c r="AF54"/>
  <c r="AH54" s="1"/>
  <c r="AI54" s="1"/>
  <c r="AF38"/>
  <c r="AG38" s="1"/>
  <c r="AJ38" s="1"/>
  <c r="AF6"/>
  <c r="AF101"/>
  <c r="AF85"/>
  <c r="AF69"/>
  <c r="AF53"/>
  <c r="AF37"/>
  <c r="AF21"/>
  <c r="AF107"/>
  <c r="AG107" s="1"/>
  <c r="AJ107" s="1"/>
  <c r="AF144"/>
  <c r="AH144" s="1"/>
  <c r="AI144" s="1"/>
  <c r="AF111"/>
  <c r="AH111" s="1"/>
  <c r="AI111" s="1"/>
  <c r="AF191"/>
  <c r="AH191" s="1"/>
  <c r="AI191" s="1"/>
  <c r="AF35"/>
  <c r="AG35" s="1"/>
  <c r="AJ35" s="1"/>
  <c r="AF117"/>
  <c r="AF193"/>
  <c r="AF86"/>
  <c r="AF185"/>
  <c r="AH185" s="1"/>
  <c r="AI185" s="1"/>
  <c r="AF202"/>
  <c r="AF154"/>
  <c r="AF138"/>
  <c r="AF82"/>
  <c r="AF180"/>
  <c r="AF164"/>
  <c r="AF148"/>
  <c r="AF116"/>
  <c r="AF95"/>
  <c r="AG95" s="1"/>
  <c r="AJ95" s="1"/>
  <c r="AF74"/>
  <c r="AF195"/>
  <c r="AF163"/>
  <c r="AF147"/>
  <c r="AF115"/>
  <c r="AF72"/>
  <c r="AF19"/>
  <c r="AF40"/>
  <c r="AF8"/>
  <c r="AF62"/>
  <c r="AF30"/>
  <c r="AF109"/>
  <c r="AG109" s="1"/>
  <c r="AJ109" s="1"/>
  <c r="AF61"/>
  <c r="AF45"/>
  <c r="AF29"/>
  <c r="AF13"/>
  <c r="AF96"/>
  <c r="AF102"/>
  <c r="AF181"/>
  <c r="AF153"/>
  <c r="AF130"/>
  <c r="AF15"/>
  <c r="AF140"/>
  <c r="AF55"/>
  <c r="AF139"/>
  <c r="AF48"/>
  <c r="AF16"/>
  <c r="AF22"/>
  <c r="AF173"/>
  <c r="AF174"/>
  <c r="AF158"/>
  <c r="AF129"/>
  <c r="AF11"/>
  <c r="AF121"/>
  <c r="AF122"/>
  <c r="AF47"/>
  <c r="AF23"/>
  <c r="AF131"/>
  <c r="AF56"/>
  <c r="AF24"/>
  <c r="AF46"/>
  <c r="AF14"/>
  <c r="AF177"/>
  <c r="AF59"/>
  <c r="AF198"/>
  <c r="AF150"/>
  <c r="AF134"/>
  <c r="AF98"/>
  <c r="AF76"/>
  <c r="AF192"/>
  <c r="AF160"/>
  <c r="AF128"/>
  <c r="AF90"/>
  <c r="AF7"/>
  <c r="AF175"/>
  <c r="AF143"/>
  <c r="AF127"/>
  <c r="AF88"/>
  <c r="AF67"/>
  <c r="AF36"/>
  <c r="AF20"/>
  <c r="AF4"/>
  <c r="AF26"/>
  <c r="AF73"/>
  <c r="AF57"/>
  <c r="AF145"/>
  <c r="AF70"/>
  <c r="AF201"/>
  <c r="AF137"/>
  <c r="AF190"/>
  <c r="AF142"/>
  <c r="AF126"/>
  <c r="AF108"/>
  <c r="AF63"/>
  <c r="AF168"/>
  <c r="AF152"/>
  <c r="AF136"/>
  <c r="AF79"/>
  <c r="AF39"/>
  <c r="AF199"/>
  <c r="AF183"/>
  <c r="AF167"/>
  <c r="AF135"/>
  <c r="AF78"/>
  <c r="AF66"/>
  <c r="AF113"/>
  <c r="AF65"/>
  <c r="AF49"/>
  <c r="AG2"/>
  <c r="AJ2" s="1"/>
  <c r="AH103" l="1"/>
  <c r="AI103" s="1"/>
  <c r="AG43"/>
  <c r="AJ43" s="1"/>
  <c r="AG197"/>
  <c r="AJ197" s="1"/>
  <c r="AG28"/>
  <c r="AJ28" s="1"/>
  <c r="AH5"/>
  <c r="AI5" s="1"/>
  <c r="AH50"/>
  <c r="AI50" s="1"/>
  <c r="AH149"/>
  <c r="AI149" s="1"/>
  <c r="AG97"/>
  <c r="AJ97" s="1"/>
  <c r="AH133"/>
  <c r="AI133" s="1"/>
  <c r="AH89"/>
  <c r="AI89" s="1"/>
  <c r="AG185"/>
  <c r="AJ185" s="1"/>
  <c r="AH68"/>
  <c r="AI68" s="1"/>
  <c r="AG71"/>
  <c r="AJ71" s="1"/>
  <c r="AH107"/>
  <c r="AI107" s="1"/>
  <c r="AH27"/>
  <c r="AI27" s="1"/>
  <c r="AH17"/>
  <c r="AI17" s="1"/>
  <c r="AH25"/>
  <c r="AI25" s="1"/>
  <c r="AH60"/>
  <c r="AI60" s="1"/>
  <c r="AH44"/>
  <c r="AI44" s="1"/>
  <c r="AH94"/>
  <c r="AI94" s="1"/>
  <c r="AG34"/>
  <c r="AJ34" s="1"/>
  <c r="AH80"/>
  <c r="AI80" s="1"/>
  <c r="AH200"/>
  <c r="AI200" s="1"/>
  <c r="AG54"/>
  <c r="AJ54" s="1"/>
  <c r="AH81"/>
  <c r="AI81" s="1"/>
  <c r="AG191"/>
  <c r="AJ191" s="1"/>
  <c r="AH151"/>
  <c r="AI151" s="1"/>
  <c r="AH31"/>
  <c r="AI31" s="1"/>
  <c r="AG182"/>
  <c r="AJ182" s="1"/>
  <c r="AG93"/>
  <c r="AJ93" s="1"/>
  <c r="AG159"/>
  <c r="AJ159" s="1"/>
  <c r="AH100"/>
  <c r="AI100" s="1"/>
  <c r="AH38"/>
  <c r="AI38" s="1"/>
  <c r="AG12"/>
  <c r="AJ12" s="1"/>
  <c r="AH105"/>
  <c r="AI105" s="1"/>
  <c r="AG110"/>
  <c r="AJ110" s="1"/>
  <c r="AG99"/>
  <c r="AJ99" s="1"/>
  <c r="AH35"/>
  <c r="AI35" s="1"/>
  <c r="AH51"/>
  <c r="AI51" s="1"/>
  <c r="AG132"/>
  <c r="AJ132" s="1"/>
  <c r="AG33"/>
  <c r="AJ33" s="1"/>
  <c r="AH33"/>
  <c r="AI33" s="1"/>
  <c r="AH184"/>
  <c r="AI184" s="1"/>
  <c r="AG184"/>
  <c r="AJ184" s="1"/>
  <c r="AH41"/>
  <c r="AI41" s="1"/>
  <c r="AG64"/>
  <c r="AJ64" s="1"/>
  <c r="AH169"/>
  <c r="AI169" s="1"/>
  <c r="AH176"/>
  <c r="AI176" s="1"/>
  <c r="AG58"/>
  <c r="AJ58" s="1"/>
  <c r="AH87"/>
  <c r="AI87" s="1"/>
  <c r="AG166"/>
  <c r="AJ166" s="1"/>
  <c r="AG3"/>
  <c r="AJ3" s="1"/>
  <c r="AH3"/>
  <c r="AI3" s="1"/>
  <c r="AG120"/>
  <c r="AJ120" s="1"/>
  <c r="AH120"/>
  <c r="AI120" s="1"/>
  <c r="AH95"/>
  <c r="AI95" s="1"/>
  <c r="AG91"/>
  <c r="AJ91" s="1"/>
  <c r="AH109"/>
  <c r="AI109" s="1"/>
  <c r="AG144"/>
  <c r="AJ144" s="1"/>
  <c r="AH61"/>
  <c r="AI61" s="1"/>
  <c r="AG61"/>
  <c r="AJ61" s="1"/>
  <c r="AH115"/>
  <c r="AI115" s="1"/>
  <c r="AG115"/>
  <c r="AJ115" s="1"/>
  <c r="AG164"/>
  <c r="AJ164" s="1"/>
  <c r="AH164"/>
  <c r="AI164" s="1"/>
  <c r="AH193"/>
  <c r="AI193" s="1"/>
  <c r="AG193"/>
  <c r="AJ193" s="1"/>
  <c r="AH37"/>
  <c r="AI37" s="1"/>
  <c r="AG37"/>
  <c r="AJ37" s="1"/>
  <c r="AH32"/>
  <c r="AI32" s="1"/>
  <c r="AG32"/>
  <c r="AJ32" s="1"/>
  <c r="AG187"/>
  <c r="AJ187" s="1"/>
  <c r="AH187"/>
  <c r="AI187" s="1"/>
  <c r="AG114"/>
  <c r="AJ114" s="1"/>
  <c r="AH114"/>
  <c r="AI114" s="1"/>
  <c r="AH189"/>
  <c r="AI189" s="1"/>
  <c r="AG189"/>
  <c r="AJ189" s="1"/>
  <c r="AG141"/>
  <c r="AJ141" s="1"/>
  <c r="AH141"/>
  <c r="AI141" s="1"/>
  <c r="AG179"/>
  <c r="AJ179" s="1"/>
  <c r="AH179"/>
  <c r="AI179" s="1"/>
  <c r="AG111"/>
  <c r="AJ111" s="1"/>
  <c r="AH9"/>
  <c r="AI9" s="1"/>
  <c r="AH147"/>
  <c r="AI147" s="1"/>
  <c r="AG147"/>
  <c r="AJ147" s="1"/>
  <c r="AG180"/>
  <c r="AJ180" s="1"/>
  <c r="AH180"/>
  <c r="AI180" s="1"/>
  <c r="AG117"/>
  <c r="AJ117" s="1"/>
  <c r="AH117"/>
  <c r="AI117" s="1"/>
  <c r="AH6"/>
  <c r="AI6" s="1"/>
  <c r="AG6"/>
  <c r="AJ6" s="1"/>
  <c r="AH123"/>
  <c r="AI123" s="1"/>
  <c r="AG123"/>
  <c r="AJ123" s="1"/>
  <c r="AG172"/>
  <c r="AJ172" s="1"/>
  <c r="AH172"/>
  <c r="AI172" s="1"/>
  <c r="AH18"/>
  <c r="AI18" s="1"/>
  <c r="AG18"/>
  <c r="AJ18" s="1"/>
  <c r="AH119"/>
  <c r="AI119" s="1"/>
  <c r="AH112"/>
  <c r="AI112" s="1"/>
  <c r="AG29"/>
  <c r="AJ29" s="1"/>
  <c r="AH29"/>
  <c r="AI29" s="1"/>
  <c r="AH30"/>
  <c r="AI30" s="1"/>
  <c r="AG30"/>
  <c r="AJ30" s="1"/>
  <c r="AH19"/>
  <c r="AI19" s="1"/>
  <c r="AG19"/>
  <c r="AJ19" s="1"/>
  <c r="AG163"/>
  <c r="AJ163" s="1"/>
  <c r="AH163"/>
  <c r="AI163" s="1"/>
  <c r="AG116"/>
  <c r="AJ116" s="1"/>
  <c r="AH116"/>
  <c r="AI116" s="1"/>
  <c r="AG82"/>
  <c r="AJ82" s="1"/>
  <c r="AH82"/>
  <c r="AI82" s="1"/>
  <c r="AH69"/>
  <c r="AI69" s="1"/>
  <c r="AG69"/>
  <c r="AJ69" s="1"/>
  <c r="AG155"/>
  <c r="AJ155" s="1"/>
  <c r="AH155"/>
  <c r="AI155" s="1"/>
  <c r="AH106"/>
  <c r="AI106" s="1"/>
  <c r="AG106"/>
  <c r="AJ106" s="1"/>
  <c r="AG188"/>
  <c r="AJ188" s="1"/>
  <c r="AH188"/>
  <c r="AI188" s="1"/>
  <c r="AH162"/>
  <c r="AI162" s="1"/>
  <c r="AG162"/>
  <c r="AJ162" s="1"/>
  <c r="AG161"/>
  <c r="AJ161" s="1"/>
  <c r="AH161"/>
  <c r="AI161" s="1"/>
  <c r="AG118"/>
  <c r="AJ118" s="1"/>
  <c r="AH118"/>
  <c r="AI118" s="1"/>
  <c r="AH8"/>
  <c r="AI8" s="1"/>
  <c r="AG8"/>
  <c r="AJ8" s="1"/>
  <c r="AH74"/>
  <c r="AI74" s="1"/>
  <c r="AG74"/>
  <c r="AJ74" s="1"/>
  <c r="AH154"/>
  <c r="AI154" s="1"/>
  <c r="AG154"/>
  <c r="AJ154" s="1"/>
  <c r="AG101"/>
  <c r="AJ101" s="1"/>
  <c r="AH101"/>
  <c r="AI101" s="1"/>
  <c r="AH104"/>
  <c r="AI104" s="1"/>
  <c r="AG104"/>
  <c r="AJ104" s="1"/>
  <c r="AG156"/>
  <c r="AJ156" s="1"/>
  <c r="AH156"/>
  <c r="AI156" s="1"/>
  <c r="AG194"/>
  <c r="AJ194" s="1"/>
  <c r="AH194"/>
  <c r="AI194" s="1"/>
  <c r="AG42"/>
  <c r="AJ42" s="1"/>
  <c r="AH42"/>
  <c r="AI42" s="1"/>
  <c r="AH186"/>
  <c r="AI186" s="1"/>
  <c r="AG186"/>
  <c r="AJ186" s="1"/>
  <c r="AH13"/>
  <c r="AI13" s="1"/>
  <c r="AG13"/>
  <c r="AJ13" s="1"/>
  <c r="AG40"/>
  <c r="AJ40" s="1"/>
  <c r="AH40"/>
  <c r="AI40" s="1"/>
  <c r="AG202"/>
  <c r="AJ202" s="1"/>
  <c r="AH202"/>
  <c r="AI202" s="1"/>
  <c r="AG53"/>
  <c r="AJ53" s="1"/>
  <c r="AH53"/>
  <c r="AI53" s="1"/>
  <c r="AH84"/>
  <c r="AI84" s="1"/>
  <c r="AG84"/>
  <c r="AJ84" s="1"/>
  <c r="AG146"/>
  <c r="AJ146" s="1"/>
  <c r="AH146"/>
  <c r="AI146" s="1"/>
  <c r="AH52"/>
  <c r="AI52" s="1"/>
  <c r="AG52"/>
  <c r="AJ52" s="1"/>
  <c r="AH165"/>
  <c r="AI165" s="1"/>
  <c r="AH45"/>
  <c r="AI45" s="1"/>
  <c r="AG45"/>
  <c r="AJ45" s="1"/>
  <c r="AH62"/>
  <c r="AI62" s="1"/>
  <c r="AG62"/>
  <c r="AJ62" s="1"/>
  <c r="AH72"/>
  <c r="AI72" s="1"/>
  <c r="AG72"/>
  <c r="AJ72" s="1"/>
  <c r="AH195"/>
  <c r="AI195" s="1"/>
  <c r="AG195"/>
  <c r="AJ195" s="1"/>
  <c r="AH148"/>
  <c r="AI148" s="1"/>
  <c r="AG148"/>
  <c r="AJ148" s="1"/>
  <c r="AH138"/>
  <c r="AI138" s="1"/>
  <c r="AG138"/>
  <c r="AJ138" s="1"/>
  <c r="AH86"/>
  <c r="AI86" s="1"/>
  <c r="AG86"/>
  <c r="AJ86" s="1"/>
  <c r="AH21"/>
  <c r="AI21" s="1"/>
  <c r="AG21"/>
  <c r="AJ21" s="1"/>
  <c r="AH85"/>
  <c r="AI85" s="1"/>
  <c r="AG85"/>
  <c r="AJ85" s="1"/>
  <c r="AH83"/>
  <c r="AI83" s="1"/>
  <c r="AG83"/>
  <c r="AJ83" s="1"/>
  <c r="AG171"/>
  <c r="AJ171" s="1"/>
  <c r="AH171"/>
  <c r="AI171" s="1"/>
  <c r="AG124"/>
  <c r="AJ124" s="1"/>
  <c r="AH124"/>
  <c r="AI124" s="1"/>
  <c r="AH92"/>
  <c r="AI92" s="1"/>
  <c r="AG92"/>
  <c r="AJ92" s="1"/>
  <c r="AG178"/>
  <c r="AJ178" s="1"/>
  <c r="AH178"/>
  <c r="AI178" s="1"/>
  <c r="AH125"/>
  <c r="AI125" s="1"/>
  <c r="AG125"/>
  <c r="AJ125" s="1"/>
  <c r="AG75"/>
  <c r="AJ75" s="1"/>
  <c r="AH75"/>
  <c r="AI75" s="1"/>
  <c r="AG10"/>
  <c r="AJ10" s="1"/>
  <c r="AH10"/>
  <c r="AI10" s="1"/>
  <c r="AG77"/>
  <c r="AJ77" s="1"/>
  <c r="AH77"/>
  <c r="AI77" s="1"/>
  <c r="AG196"/>
  <c r="AJ196" s="1"/>
  <c r="AH196"/>
  <c r="AI196" s="1"/>
  <c r="AH49"/>
  <c r="AI49" s="1"/>
  <c r="AG49"/>
  <c r="AJ49" s="1"/>
  <c r="AH199"/>
  <c r="AI199" s="1"/>
  <c r="AG199"/>
  <c r="AJ199" s="1"/>
  <c r="AG126"/>
  <c r="AJ126" s="1"/>
  <c r="AH126"/>
  <c r="AI126" s="1"/>
  <c r="AH73"/>
  <c r="AI73" s="1"/>
  <c r="AG73"/>
  <c r="AJ73" s="1"/>
  <c r="AG143"/>
  <c r="AJ143" s="1"/>
  <c r="AH143"/>
  <c r="AI143" s="1"/>
  <c r="AG98"/>
  <c r="AJ98" s="1"/>
  <c r="AH98"/>
  <c r="AI98" s="1"/>
  <c r="AG113"/>
  <c r="AJ113" s="1"/>
  <c r="AH113"/>
  <c r="AI113" s="1"/>
  <c r="AG167"/>
  <c r="AJ167" s="1"/>
  <c r="AH167"/>
  <c r="AI167" s="1"/>
  <c r="AG79"/>
  <c r="AJ79" s="1"/>
  <c r="AH79"/>
  <c r="AI79" s="1"/>
  <c r="AH63"/>
  <c r="AI63" s="1"/>
  <c r="AG63"/>
  <c r="AJ63" s="1"/>
  <c r="AH190"/>
  <c r="AI190" s="1"/>
  <c r="AG190"/>
  <c r="AJ190" s="1"/>
  <c r="AG145"/>
  <c r="AJ145" s="1"/>
  <c r="AH145"/>
  <c r="AI145" s="1"/>
  <c r="AG4"/>
  <c r="AJ4" s="1"/>
  <c r="AH4"/>
  <c r="AI4" s="1"/>
  <c r="AH88"/>
  <c r="AI88" s="1"/>
  <c r="AG88"/>
  <c r="AJ88" s="1"/>
  <c r="AG7"/>
  <c r="AJ7" s="1"/>
  <c r="AH7"/>
  <c r="AI7" s="1"/>
  <c r="AG192"/>
  <c r="AJ192" s="1"/>
  <c r="AH192"/>
  <c r="AI192" s="1"/>
  <c r="AH150"/>
  <c r="AI150" s="1"/>
  <c r="AG150"/>
  <c r="AJ150" s="1"/>
  <c r="AG14"/>
  <c r="AJ14" s="1"/>
  <c r="AH14"/>
  <c r="AI14" s="1"/>
  <c r="AH131"/>
  <c r="AI131" s="1"/>
  <c r="AG131"/>
  <c r="AJ131" s="1"/>
  <c r="AH121"/>
  <c r="AI121" s="1"/>
  <c r="AG121"/>
  <c r="AJ121" s="1"/>
  <c r="AG173"/>
  <c r="AJ173" s="1"/>
  <c r="AH173"/>
  <c r="AI173" s="1"/>
  <c r="AH22"/>
  <c r="AI22" s="1"/>
  <c r="AG22"/>
  <c r="AJ22" s="1"/>
  <c r="AH55"/>
  <c r="AI55" s="1"/>
  <c r="AG55"/>
  <c r="AJ55" s="1"/>
  <c r="AH153"/>
  <c r="AI153" s="1"/>
  <c r="AG153"/>
  <c r="AJ153" s="1"/>
  <c r="AH66"/>
  <c r="AI66" s="1"/>
  <c r="AG66"/>
  <c r="AJ66" s="1"/>
  <c r="AG183"/>
  <c r="AH183"/>
  <c r="AI183" s="1"/>
  <c r="AH136"/>
  <c r="AI136" s="1"/>
  <c r="AG136"/>
  <c r="AJ136" s="1"/>
  <c r="AG108"/>
  <c r="AJ108" s="1"/>
  <c r="AH108"/>
  <c r="AI108" s="1"/>
  <c r="AG137"/>
  <c r="AJ137" s="1"/>
  <c r="AH137"/>
  <c r="AI137" s="1"/>
  <c r="AG57"/>
  <c r="AJ57" s="1"/>
  <c r="AH57"/>
  <c r="AI57" s="1"/>
  <c r="AG20"/>
  <c r="AJ20" s="1"/>
  <c r="AH20"/>
  <c r="AI20" s="1"/>
  <c r="AH127"/>
  <c r="AI127" s="1"/>
  <c r="AG127"/>
  <c r="AJ127" s="1"/>
  <c r="AG90"/>
  <c r="AJ90" s="1"/>
  <c r="AH90"/>
  <c r="AI90" s="1"/>
  <c r="AH76"/>
  <c r="AI76" s="1"/>
  <c r="AG76"/>
  <c r="AJ76" s="1"/>
  <c r="AG198"/>
  <c r="AJ198" s="1"/>
  <c r="AH198"/>
  <c r="AI198" s="1"/>
  <c r="AG46"/>
  <c r="AJ46" s="1"/>
  <c r="AH46"/>
  <c r="AI46" s="1"/>
  <c r="AH23"/>
  <c r="AI23" s="1"/>
  <c r="AG23"/>
  <c r="AJ23" s="1"/>
  <c r="AG11"/>
  <c r="AJ11" s="1"/>
  <c r="AH11"/>
  <c r="AI11" s="1"/>
  <c r="AG16"/>
  <c r="AJ16" s="1"/>
  <c r="AH16"/>
  <c r="AI16" s="1"/>
  <c r="AH140"/>
  <c r="AI140" s="1"/>
  <c r="AG140"/>
  <c r="AJ140" s="1"/>
  <c r="AH181"/>
  <c r="AI181" s="1"/>
  <c r="AG181"/>
  <c r="AJ181" s="1"/>
  <c r="AH78"/>
  <c r="AI78" s="1"/>
  <c r="AG78"/>
  <c r="AJ78" s="1"/>
  <c r="AG152"/>
  <c r="AJ152" s="1"/>
  <c r="AH152"/>
  <c r="AI152" s="1"/>
  <c r="AH201"/>
  <c r="AI201" s="1"/>
  <c r="AG201"/>
  <c r="AJ201" s="1"/>
  <c r="AH36"/>
  <c r="AI36" s="1"/>
  <c r="AG36"/>
  <c r="AJ36" s="1"/>
  <c r="AG128"/>
  <c r="AJ128" s="1"/>
  <c r="AH128"/>
  <c r="AI128" s="1"/>
  <c r="AH59"/>
  <c r="AI59" s="1"/>
  <c r="AG59"/>
  <c r="AJ59" s="1"/>
  <c r="AH47"/>
  <c r="AI47" s="1"/>
  <c r="AG47"/>
  <c r="AJ47" s="1"/>
  <c r="AH129"/>
  <c r="AI129" s="1"/>
  <c r="AG129"/>
  <c r="AJ129" s="1"/>
  <c r="AH158"/>
  <c r="AI158" s="1"/>
  <c r="AG158"/>
  <c r="AJ158" s="1"/>
  <c r="AG48"/>
  <c r="AJ48" s="1"/>
  <c r="AH48"/>
  <c r="AI48" s="1"/>
  <c r="AG15"/>
  <c r="AJ15" s="1"/>
  <c r="AH15"/>
  <c r="AI15" s="1"/>
  <c r="AH102"/>
  <c r="AI102" s="1"/>
  <c r="AG102"/>
  <c r="AJ102" s="1"/>
  <c r="AH65"/>
  <c r="AI65" s="1"/>
  <c r="AG65"/>
  <c r="AJ65" s="1"/>
  <c r="AG135"/>
  <c r="AJ135" s="1"/>
  <c r="AH135"/>
  <c r="AI135" s="1"/>
  <c r="AG39"/>
  <c r="AJ39" s="1"/>
  <c r="AH39"/>
  <c r="AI39" s="1"/>
  <c r="AH168"/>
  <c r="AI168" s="1"/>
  <c r="AG168"/>
  <c r="AJ168" s="1"/>
  <c r="AH142"/>
  <c r="AI142" s="1"/>
  <c r="AG142"/>
  <c r="AJ142" s="1"/>
  <c r="AH70"/>
  <c r="AI70" s="1"/>
  <c r="AG70"/>
  <c r="AJ70" s="1"/>
  <c r="AH26"/>
  <c r="AI26" s="1"/>
  <c r="AG26"/>
  <c r="AJ26" s="1"/>
  <c r="AH67"/>
  <c r="AI67" s="1"/>
  <c r="AG67"/>
  <c r="AJ67" s="1"/>
  <c r="AH175"/>
  <c r="AI175" s="1"/>
  <c r="AG175"/>
  <c r="AJ175" s="1"/>
  <c r="AH160"/>
  <c r="AI160" s="1"/>
  <c r="AG160"/>
  <c r="AJ160" s="1"/>
  <c r="AH134"/>
  <c r="AI134" s="1"/>
  <c r="AG134"/>
  <c r="AJ134" s="1"/>
  <c r="AH177"/>
  <c r="AI177" s="1"/>
  <c r="AG177"/>
  <c r="AJ177" s="1"/>
  <c r="AH56"/>
  <c r="AI56" s="1"/>
  <c r="AG56"/>
  <c r="AJ56" s="1"/>
  <c r="AH122"/>
  <c r="AI122" s="1"/>
  <c r="AG122"/>
  <c r="AJ122" s="1"/>
  <c r="AH174"/>
  <c r="AI174" s="1"/>
  <c r="AG174"/>
  <c r="AJ174" s="1"/>
  <c r="AH139"/>
  <c r="AI139" s="1"/>
  <c r="AG139"/>
  <c r="AJ139" s="1"/>
  <c r="AH130"/>
  <c r="AI130" s="1"/>
  <c r="AG130"/>
  <c r="AJ130" s="1"/>
  <c r="AH96"/>
  <c r="AI96" s="1"/>
  <c r="AG96"/>
  <c r="AJ96" s="1"/>
  <c r="AH24"/>
  <c r="AI24" s="1"/>
  <c r="AG24"/>
  <c r="AJ24" s="1"/>
  <c r="AJ183" l="1"/>
  <c r="G19" l="1"/>
  <c r="G18" l="1"/>
  <c r="G17" s="1"/>
  <c r="T23" s="1"/>
  <c r="AL2" s="1"/>
  <c r="G20"/>
  <c r="T22" s="1"/>
  <c r="T24"/>
  <c r="T25"/>
  <c r="G16"/>
  <c r="T21" s="1"/>
  <c r="AL177" l="1"/>
  <c r="AL155"/>
  <c r="AL9"/>
  <c r="AL109"/>
  <c r="AL110"/>
  <c r="AL78"/>
  <c r="AL4"/>
  <c r="AL129"/>
  <c r="AL5"/>
  <c r="AL61"/>
  <c r="AL47"/>
  <c r="AL160"/>
  <c r="AL14"/>
  <c r="AL57"/>
  <c r="AL132"/>
  <c r="AL46"/>
  <c r="AL187"/>
  <c r="AL102"/>
  <c r="AL97"/>
  <c r="AL130"/>
  <c r="AL143"/>
  <c r="AL16"/>
  <c r="AL77"/>
  <c r="AL131"/>
  <c r="AL191"/>
  <c r="AL133"/>
  <c r="AL170"/>
  <c r="AL141"/>
  <c r="AL67"/>
  <c r="AL140"/>
  <c r="AL44"/>
  <c r="AL36"/>
  <c r="AL60"/>
  <c r="AL171"/>
  <c r="AL70"/>
  <c r="AL124"/>
  <c r="AL19"/>
  <c r="AL101"/>
  <c r="AL192"/>
  <c r="AL71"/>
  <c r="AL166"/>
  <c r="AL108"/>
  <c r="AL182"/>
  <c r="AL100"/>
  <c r="AL198"/>
  <c r="AL136"/>
  <c r="AL121"/>
  <c r="AL144"/>
  <c r="AL8"/>
  <c r="AL64"/>
  <c r="AL68"/>
  <c r="AL123"/>
  <c r="AL99"/>
  <c r="AL74"/>
  <c r="AL13"/>
  <c r="AL146"/>
  <c r="AL12"/>
  <c r="AL50"/>
  <c r="AL83"/>
  <c r="AL85"/>
  <c r="AL94"/>
  <c r="AL185"/>
  <c r="AL95"/>
  <c r="AL117"/>
  <c r="AL28"/>
  <c r="AL75"/>
  <c r="AL178"/>
  <c r="AL154"/>
  <c r="AL20"/>
  <c r="AL51"/>
  <c r="AL112"/>
  <c r="AL194"/>
  <c r="AL52"/>
  <c r="AL120"/>
  <c r="AL186"/>
  <c r="AL179"/>
  <c r="AL164"/>
  <c r="AL21"/>
  <c r="AL49"/>
  <c r="AL119"/>
  <c r="AL39"/>
  <c r="AL62"/>
  <c r="AL150"/>
  <c r="AL165"/>
  <c r="AL169"/>
  <c r="AL31"/>
  <c r="AL73"/>
  <c r="AL195"/>
  <c r="AL202"/>
  <c r="AL91"/>
  <c r="AL153"/>
  <c r="AL34"/>
  <c r="AL156"/>
  <c r="AL11"/>
  <c r="AL41"/>
  <c r="AL114"/>
  <c r="AL135"/>
  <c r="AL176"/>
  <c r="AL172"/>
  <c r="AL42"/>
  <c r="AL32"/>
  <c r="AL81"/>
  <c r="AL76"/>
  <c r="AL200"/>
  <c r="AL148"/>
  <c r="AL54"/>
  <c r="AL196"/>
  <c r="AL149"/>
  <c r="AL167"/>
  <c r="AL199"/>
  <c r="AL82"/>
  <c r="AL151"/>
  <c r="AL188"/>
  <c r="AL55"/>
  <c r="AL125"/>
  <c r="AL162"/>
  <c r="AL72"/>
  <c r="AL115"/>
  <c r="AL90"/>
  <c r="AL201"/>
  <c r="AL80"/>
  <c r="AL93"/>
  <c r="AL189"/>
  <c r="AL122"/>
  <c r="AL17"/>
  <c r="AL197"/>
  <c r="AL128"/>
  <c r="AL15"/>
  <c r="AL3"/>
  <c r="AL152"/>
  <c r="AL87"/>
  <c r="AL137"/>
  <c r="AL159"/>
  <c r="AL29"/>
  <c r="AL127"/>
  <c r="AL107"/>
  <c r="AL10"/>
  <c r="AL105"/>
  <c r="AL6"/>
  <c r="AL183"/>
  <c r="AL98"/>
  <c r="AL113"/>
  <c r="AL65"/>
  <c r="AL134"/>
  <c r="AL43"/>
  <c r="AL25"/>
  <c r="AL142"/>
  <c r="AL180"/>
  <c r="AL163"/>
  <c r="AL24"/>
  <c r="AL23"/>
  <c r="AL84"/>
  <c r="AL158"/>
  <c r="AL56"/>
  <c r="AL86"/>
  <c r="AL173"/>
  <c r="AL193"/>
  <c r="AL79"/>
  <c r="AL118"/>
  <c r="AL7"/>
  <c r="AL58"/>
  <c r="AL181"/>
  <c r="AL35"/>
  <c r="AL96"/>
  <c r="AL22"/>
  <c r="AL53"/>
  <c r="AL147"/>
  <c r="AL37"/>
  <c r="AL26"/>
  <c r="AL30"/>
  <c r="AL145"/>
  <c r="AL111"/>
  <c r="AL45"/>
  <c r="AL48"/>
  <c r="AL168"/>
  <c r="AL106"/>
  <c r="AL59"/>
  <c r="AL174"/>
  <c r="AL126"/>
  <c r="AL38"/>
  <c r="AL27"/>
  <c r="AL66"/>
  <c r="AL104"/>
  <c r="AL18"/>
  <c r="AL33"/>
  <c r="AL138"/>
  <c r="AL103"/>
  <c r="AL89"/>
  <c r="AL92"/>
  <c r="AL175"/>
  <c r="AL40"/>
  <c r="AL88"/>
  <c r="AL116"/>
  <c r="AL161"/>
  <c r="AL190"/>
  <c r="AL63"/>
  <c r="AL157"/>
  <c r="AL184"/>
  <c r="AL139"/>
  <c r="AL69"/>
  <c r="AM3"/>
  <c r="AN3" s="1"/>
  <c r="AO3" s="1"/>
  <c r="AR3" s="1"/>
  <c r="AS3" s="1"/>
  <c r="AM118"/>
  <c r="AM98"/>
  <c r="AM41"/>
  <c r="AM143"/>
  <c r="AN143" s="1"/>
  <c r="AO143" s="1"/>
  <c r="AR143" s="1"/>
  <c r="AS143" s="1"/>
  <c r="AM58"/>
  <c r="AM24"/>
  <c r="AM113"/>
  <c r="AM181"/>
  <c r="AM147"/>
  <c r="AM173"/>
  <c r="AM200"/>
  <c r="AN200" s="1"/>
  <c r="AP200" s="1"/>
  <c r="AQ200" s="1"/>
  <c r="AT200" s="1"/>
  <c r="AM73"/>
  <c r="AM106"/>
  <c r="AM191"/>
  <c r="AM187"/>
  <c r="AM197"/>
  <c r="AM139"/>
  <c r="AM25"/>
  <c r="AM87"/>
  <c r="AM15"/>
  <c r="AM31"/>
  <c r="AN31" s="1"/>
  <c r="AP31" s="1"/>
  <c r="AQ31" s="1"/>
  <c r="AT31" s="1"/>
  <c r="AM126"/>
  <c r="AN126" s="1"/>
  <c r="AP126" s="1"/>
  <c r="AQ126" s="1"/>
  <c r="AT126" s="1"/>
  <c r="AM94"/>
  <c r="AM149"/>
  <c r="AM107"/>
  <c r="AM5"/>
  <c r="AM104"/>
  <c r="AM186"/>
  <c r="AM179"/>
  <c r="AM18"/>
  <c r="AM55"/>
  <c r="AM109"/>
  <c r="AM101"/>
  <c r="AN101" s="1"/>
  <c r="AO101" s="1"/>
  <c r="AR101" s="1"/>
  <c r="AS101" s="1"/>
  <c r="AM148"/>
  <c r="AM172"/>
  <c r="AM81"/>
  <c r="AM127"/>
  <c r="AM132"/>
  <c r="AN132" s="1"/>
  <c r="AP132" s="1"/>
  <c r="AQ132" s="1"/>
  <c r="AT132" s="1"/>
  <c r="AM63"/>
  <c r="AN63" s="1"/>
  <c r="AP63" s="1"/>
  <c r="AQ63" s="1"/>
  <c r="AT63" s="1"/>
  <c r="AM177"/>
  <c r="AN177" s="1"/>
  <c r="AP177" s="1"/>
  <c r="AQ177" s="1"/>
  <c r="AT177" s="1"/>
  <c r="AM116"/>
  <c r="AM168"/>
  <c r="AN168" s="1"/>
  <c r="AP168" s="1"/>
  <c r="AQ168" s="1"/>
  <c r="AT168" s="1"/>
  <c r="AM152"/>
  <c r="AM201"/>
  <c r="AM110"/>
  <c r="AM65"/>
  <c r="AN65" s="1"/>
  <c r="AO65" s="1"/>
  <c r="AR65" s="1"/>
  <c r="AS65" s="1"/>
  <c r="AM133"/>
  <c r="AM193"/>
  <c r="AN193" s="1"/>
  <c r="AP193" s="1"/>
  <c r="AQ193" s="1"/>
  <c r="AT193" s="1"/>
  <c r="AM60"/>
  <c r="AM121"/>
  <c r="AN121" s="1"/>
  <c r="AO121" s="1"/>
  <c r="AR121" s="1"/>
  <c r="AS121" s="1"/>
  <c r="AM67"/>
  <c r="AM54"/>
  <c r="AM76"/>
  <c r="AM75"/>
  <c r="AM7"/>
  <c r="AN7" s="1"/>
  <c r="AO7" s="1"/>
  <c r="AR7" s="1"/>
  <c r="AS7" s="1"/>
  <c r="AM51"/>
  <c r="AM195"/>
  <c r="AM174"/>
  <c r="AM175"/>
  <c r="AM86"/>
  <c r="AM14"/>
  <c r="AM137"/>
  <c r="AM26"/>
  <c r="AM97"/>
  <c r="AM36"/>
  <c r="AM95"/>
  <c r="AN95" s="1"/>
  <c r="AP95" s="1"/>
  <c r="AQ95" s="1"/>
  <c r="AT95" s="1"/>
  <c r="AM11"/>
  <c r="AM62"/>
  <c r="AM153"/>
  <c r="AM48"/>
  <c r="AM42"/>
  <c r="AN42" s="1"/>
  <c r="AO42" s="1"/>
  <c r="AR42" s="1"/>
  <c r="AS42" s="1"/>
  <c r="AM140"/>
  <c r="AM27"/>
  <c r="AM125"/>
  <c r="AN125" s="1"/>
  <c r="AP125" s="1"/>
  <c r="AQ125" s="1"/>
  <c r="AT125" s="1"/>
  <c r="AM180"/>
  <c r="AN180" s="1"/>
  <c r="AO180" s="1"/>
  <c r="AR180" s="1"/>
  <c r="AS180" s="1"/>
  <c r="AM53"/>
  <c r="AM176"/>
  <c r="AN176" s="1"/>
  <c r="AP176" s="1"/>
  <c r="AQ176" s="1"/>
  <c r="AT176" s="1"/>
  <c r="AM50"/>
  <c r="AM49"/>
  <c r="AM150"/>
  <c r="AM146"/>
  <c r="AM39"/>
  <c r="AM79"/>
  <c r="AM198"/>
  <c r="AN198" s="1"/>
  <c r="AP198" s="1"/>
  <c r="AQ198" s="1"/>
  <c r="AT198" s="1"/>
  <c r="AM189"/>
  <c r="AM162"/>
  <c r="AM72"/>
  <c r="AM30"/>
  <c r="AM196"/>
  <c r="AM33"/>
  <c r="AM102"/>
  <c r="AM142"/>
  <c r="AM145"/>
  <c r="AM34"/>
  <c r="AM96"/>
  <c r="AN96" s="1"/>
  <c r="AP96" s="1"/>
  <c r="AQ96" s="1"/>
  <c r="AT96" s="1"/>
  <c r="AM190"/>
  <c r="AM188"/>
  <c r="AM160"/>
  <c r="AM69"/>
  <c r="AN69" s="1"/>
  <c r="AP69" s="1"/>
  <c r="AQ69" s="1"/>
  <c r="AT69" s="1"/>
  <c r="AM89"/>
  <c r="AM170"/>
  <c r="AM52"/>
  <c r="AM163"/>
  <c r="AM45"/>
  <c r="AN45" s="1"/>
  <c r="AO45" s="1"/>
  <c r="AR45" s="1"/>
  <c r="AS45" s="1"/>
  <c r="AM141"/>
  <c r="AM9"/>
  <c r="AM64"/>
  <c r="AM8"/>
  <c r="AN8" s="1"/>
  <c r="AM103"/>
  <c r="AM114"/>
  <c r="AM20"/>
  <c r="AM183"/>
  <c r="AM155"/>
  <c r="AM194"/>
  <c r="AM4"/>
  <c r="AM157"/>
  <c r="AN157" s="1"/>
  <c r="AM77"/>
  <c r="AM37"/>
  <c r="AM159"/>
  <c r="AM28"/>
  <c r="AN28" s="1"/>
  <c r="AM192"/>
  <c r="AM119"/>
  <c r="AM12"/>
  <c r="AM131"/>
  <c r="AM10"/>
  <c r="AM167"/>
  <c r="AM21"/>
  <c r="AM99"/>
  <c r="AN99" s="1"/>
  <c r="AO99" s="1"/>
  <c r="AR99" s="1"/>
  <c r="AS99" s="1"/>
  <c r="AM35"/>
  <c r="AM91"/>
  <c r="AM129"/>
  <c r="AN129" s="1"/>
  <c r="AP129" s="1"/>
  <c r="AQ129" s="1"/>
  <c r="AT129" s="1"/>
  <c r="AM161"/>
  <c r="AM13"/>
  <c r="AM184"/>
  <c r="AM124"/>
  <c r="AN124" s="1"/>
  <c r="AP124" s="1"/>
  <c r="AQ124" s="1"/>
  <c r="AT124" s="1"/>
  <c r="AM115"/>
  <c r="AM158"/>
  <c r="AM68"/>
  <c r="AM169"/>
  <c r="AM92"/>
  <c r="AN92" s="1"/>
  <c r="AM74"/>
  <c r="AN74" s="1"/>
  <c r="AO74" s="1"/>
  <c r="AR74" s="1"/>
  <c r="AS74" s="1"/>
  <c r="AM182"/>
  <c r="AN182" s="1"/>
  <c r="AO182" s="1"/>
  <c r="AR182" s="1"/>
  <c r="AS182" s="1"/>
  <c r="AM123"/>
  <c r="AN123" s="1"/>
  <c r="AP123" s="1"/>
  <c r="AQ123" s="1"/>
  <c r="AT123" s="1"/>
  <c r="AM156"/>
  <c r="AN156" s="1"/>
  <c r="AM40"/>
  <c r="AM80"/>
  <c r="AM105"/>
  <c r="AM122"/>
  <c r="AM29"/>
  <c r="AN29" s="1"/>
  <c r="AP29" s="1"/>
  <c r="AQ29" s="1"/>
  <c r="AT29" s="1"/>
  <c r="AM90"/>
  <c r="AN90" s="1"/>
  <c r="AO90" s="1"/>
  <c r="AR90" s="1"/>
  <c r="AS90" s="1"/>
  <c r="AM85"/>
  <c r="AN85" s="1"/>
  <c r="AO85" s="1"/>
  <c r="AR85" s="1"/>
  <c r="AS85" s="1"/>
  <c r="AM57"/>
  <c r="AM84"/>
  <c r="AM154"/>
  <c r="AM171"/>
  <c r="AM144"/>
  <c r="AM2"/>
  <c r="AN2" s="1"/>
  <c r="AM199"/>
  <c r="AM202"/>
  <c r="AM130"/>
  <c r="AM22"/>
  <c r="AM117"/>
  <c r="AM100"/>
  <c r="AN100" s="1"/>
  <c r="AO100" s="1"/>
  <c r="AR100" s="1"/>
  <c r="AS100" s="1"/>
  <c r="AM23"/>
  <c r="AM78"/>
  <c r="AN78" s="1"/>
  <c r="AO78" s="1"/>
  <c r="AR78" s="1"/>
  <c r="AS78" s="1"/>
  <c r="AM178"/>
  <c r="AN178" s="1"/>
  <c r="AP178" s="1"/>
  <c r="AQ178" s="1"/>
  <c r="AT178" s="1"/>
  <c r="AM164"/>
  <c r="AM136"/>
  <c r="AM43"/>
  <c r="AM44"/>
  <c r="AN44" s="1"/>
  <c r="AM70"/>
  <c r="AM185"/>
  <c r="AM93"/>
  <c r="AN93" s="1"/>
  <c r="AO93" s="1"/>
  <c r="AR93" s="1"/>
  <c r="AS93" s="1"/>
  <c r="AM128"/>
  <c r="AN128" s="1"/>
  <c r="AO128" s="1"/>
  <c r="AR128" s="1"/>
  <c r="AS128" s="1"/>
  <c r="AM32"/>
  <c r="AM47"/>
  <c r="AM46"/>
  <c r="AM66"/>
  <c r="AM71"/>
  <c r="AN71" s="1"/>
  <c r="AO71" s="1"/>
  <c r="AR71" s="1"/>
  <c r="AS71" s="1"/>
  <c r="AM61"/>
  <c r="AM56"/>
  <c r="AN56" s="1"/>
  <c r="AO56" s="1"/>
  <c r="AR56" s="1"/>
  <c r="AS56" s="1"/>
  <c r="AM138"/>
  <c r="AM166"/>
  <c r="AM88"/>
  <c r="AM112"/>
  <c r="AM108"/>
  <c r="AM111"/>
  <c r="AN111" s="1"/>
  <c r="AP111" s="1"/>
  <c r="AQ111" s="1"/>
  <c r="AT111" s="1"/>
  <c r="AM6"/>
  <c r="AM16"/>
  <c r="AN16" s="1"/>
  <c r="AO16" s="1"/>
  <c r="AR16" s="1"/>
  <c r="AS16" s="1"/>
  <c r="AM135"/>
  <c r="AM59"/>
  <c r="AM120"/>
  <c r="AM17"/>
  <c r="AM83"/>
  <c r="AN83" s="1"/>
  <c r="AM151"/>
  <c r="AN151" s="1"/>
  <c r="AP151" s="1"/>
  <c r="AQ151" s="1"/>
  <c r="AT151" s="1"/>
  <c r="AM38"/>
  <c r="AM19"/>
  <c r="AM134"/>
  <c r="AM82"/>
  <c r="AM165"/>
  <c r="AN155"/>
  <c r="AO155" s="1"/>
  <c r="AR155" s="1"/>
  <c r="AS155" s="1"/>
  <c r="AN135" l="1"/>
  <c r="AP135" s="1"/>
  <c r="AQ135" s="1"/>
  <c r="AT135" s="1"/>
  <c r="AN80"/>
  <c r="AO80" s="1"/>
  <c r="AR80" s="1"/>
  <c r="AS80" s="1"/>
  <c r="AN167"/>
  <c r="AO167" s="1"/>
  <c r="AR167" s="1"/>
  <c r="AS167" s="1"/>
  <c r="AN52"/>
  <c r="AP52" s="1"/>
  <c r="AQ52" s="1"/>
  <c r="AT52" s="1"/>
  <c r="AN33"/>
  <c r="AP33" s="1"/>
  <c r="AQ33" s="1"/>
  <c r="AT33" s="1"/>
  <c r="AN39"/>
  <c r="AO39" s="1"/>
  <c r="AR39" s="1"/>
  <c r="AS39" s="1"/>
  <c r="AN148"/>
  <c r="AO148" s="1"/>
  <c r="AR148" s="1"/>
  <c r="AS148" s="1"/>
  <c r="AN5"/>
  <c r="AP5" s="1"/>
  <c r="AQ5" s="1"/>
  <c r="AT5" s="1"/>
  <c r="AN9"/>
  <c r="AO9" s="1"/>
  <c r="AR9" s="1"/>
  <c r="AS9" s="1"/>
  <c r="AN68"/>
  <c r="AP68" s="1"/>
  <c r="AQ68" s="1"/>
  <c r="AT68" s="1"/>
  <c r="AN191"/>
  <c r="AO191" s="1"/>
  <c r="AR191" s="1"/>
  <c r="AS191" s="1"/>
  <c r="AN47"/>
  <c r="AO47" s="1"/>
  <c r="AR47" s="1"/>
  <c r="AS47" s="1"/>
  <c r="AN97"/>
  <c r="AP97" s="1"/>
  <c r="AQ97" s="1"/>
  <c r="AT97" s="1"/>
  <c r="AN109"/>
  <c r="AO109" s="1"/>
  <c r="AR109" s="1"/>
  <c r="AS109" s="1"/>
  <c r="AN46"/>
  <c r="AO46" s="1"/>
  <c r="AR46" s="1"/>
  <c r="AS46" s="1"/>
  <c r="AN141"/>
  <c r="AO141" s="1"/>
  <c r="AR141" s="1"/>
  <c r="AS141" s="1"/>
  <c r="AN36"/>
  <c r="AO36" s="1"/>
  <c r="AR36" s="1"/>
  <c r="AS36" s="1"/>
  <c r="AN82"/>
  <c r="AP82" s="1"/>
  <c r="AQ82" s="1"/>
  <c r="AT82" s="1"/>
  <c r="AN59"/>
  <c r="AP59" s="1"/>
  <c r="AQ59" s="1"/>
  <c r="AT59" s="1"/>
  <c r="AN166"/>
  <c r="AO166" s="1"/>
  <c r="AR166" s="1"/>
  <c r="AS166" s="1"/>
  <c r="AN32"/>
  <c r="AO32" s="1"/>
  <c r="AR32" s="1"/>
  <c r="AS32" s="1"/>
  <c r="AN70"/>
  <c r="AP70" s="1"/>
  <c r="AQ70" s="1"/>
  <c r="AT70" s="1"/>
  <c r="AN164"/>
  <c r="AP164" s="1"/>
  <c r="AQ164" s="1"/>
  <c r="AT164" s="1"/>
  <c r="AN202"/>
  <c r="AP202" s="1"/>
  <c r="AQ202" s="1"/>
  <c r="AT202" s="1"/>
  <c r="AN169"/>
  <c r="AO169" s="1"/>
  <c r="AR169" s="1"/>
  <c r="AS169" s="1"/>
  <c r="AN12"/>
  <c r="AO12" s="1"/>
  <c r="AR12" s="1"/>
  <c r="AS12" s="1"/>
  <c r="AN159"/>
  <c r="AO159" s="1"/>
  <c r="AR159" s="1"/>
  <c r="AS159" s="1"/>
  <c r="AN4"/>
  <c r="AP4" s="1"/>
  <c r="AQ4" s="1"/>
  <c r="AT4" s="1"/>
  <c r="AN20"/>
  <c r="AP20" s="1"/>
  <c r="AQ20" s="1"/>
  <c r="AT20" s="1"/>
  <c r="AN163"/>
  <c r="AP163" s="1"/>
  <c r="AQ163" s="1"/>
  <c r="AT163" s="1"/>
  <c r="AN72"/>
  <c r="AP72" s="1"/>
  <c r="AQ72" s="1"/>
  <c r="AT72" s="1"/>
  <c r="AN49"/>
  <c r="AP49" s="1"/>
  <c r="AQ49" s="1"/>
  <c r="AT49" s="1"/>
  <c r="AN26"/>
  <c r="AO26" s="1"/>
  <c r="AR26" s="1"/>
  <c r="AS26" s="1"/>
  <c r="AN67"/>
  <c r="AP67" s="1"/>
  <c r="AQ67" s="1"/>
  <c r="AT67" s="1"/>
  <c r="AN172"/>
  <c r="AO172" s="1"/>
  <c r="AR172" s="1"/>
  <c r="AS172" s="1"/>
  <c r="AN104"/>
  <c r="AO104" s="1"/>
  <c r="AR104" s="1"/>
  <c r="AS104" s="1"/>
  <c r="AN94"/>
  <c r="AO94" s="1"/>
  <c r="AR94" s="1"/>
  <c r="AS94" s="1"/>
  <c r="AN87"/>
  <c r="AO87" s="1"/>
  <c r="AR87" s="1"/>
  <c r="AS87" s="1"/>
  <c r="AN187"/>
  <c r="AP187" s="1"/>
  <c r="AQ187" s="1"/>
  <c r="AT187" s="1"/>
  <c r="AN41"/>
  <c r="AO41" s="1"/>
  <c r="AR41" s="1"/>
  <c r="AS41" s="1"/>
  <c r="AN19"/>
  <c r="AO19" s="1"/>
  <c r="AR19" s="1"/>
  <c r="AS19" s="1"/>
  <c r="AN17"/>
  <c r="AP17" s="1"/>
  <c r="AQ17" s="1"/>
  <c r="AT17" s="1"/>
  <c r="AN43"/>
  <c r="AP43" s="1"/>
  <c r="AQ43" s="1"/>
  <c r="AT43" s="1"/>
  <c r="AN22"/>
  <c r="AP22" s="1"/>
  <c r="AQ22" s="1"/>
  <c r="AT22" s="1"/>
  <c r="AN158"/>
  <c r="AO158" s="1"/>
  <c r="AR158" s="1"/>
  <c r="AS158" s="1"/>
  <c r="AN10"/>
  <c r="AO10" s="1"/>
  <c r="AR10" s="1"/>
  <c r="AS10" s="1"/>
  <c r="AN77"/>
  <c r="AO77" s="1"/>
  <c r="AR77" s="1"/>
  <c r="AS77" s="1"/>
  <c r="AN170"/>
  <c r="AP170" s="1"/>
  <c r="AQ170" s="1"/>
  <c r="AT170" s="1"/>
  <c r="AN188"/>
  <c r="AO188" s="1"/>
  <c r="AR188" s="1"/>
  <c r="AS188" s="1"/>
  <c r="AN27"/>
  <c r="AP27" s="1"/>
  <c r="AQ27" s="1"/>
  <c r="AT27" s="1"/>
  <c r="AN14"/>
  <c r="AO14" s="1"/>
  <c r="AR14" s="1"/>
  <c r="AS14" s="1"/>
  <c r="AN60"/>
  <c r="AP60" s="1"/>
  <c r="AQ60" s="1"/>
  <c r="AT60" s="1"/>
  <c r="AN110"/>
  <c r="AO110" s="1"/>
  <c r="AR110" s="1"/>
  <c r="AS110" s="1"/>
  <c r="AN116"/>
  <c r="AP116" s="1"/>
  <c r="AQ116" s="1"/>
  <c r="AT116" s="1"/>
  <c r="AN58"/>
  <c r="AO58" s="1"/>
  <c r="AR58" s="1"/>
  <c r="AS58" s="1"/>
  <c r="AN171"/>
  <c r="AO171" s="1"/>
  <c r="AR171" s="1"/>
  <c r="AS171" s="1"/>
  <c r="AN105"/>
  <c r="AP105" s="1"/>
  <c r="AQ105" s="1"/>
  <c r="AT105" s="1"/>
  <c r="AN21"/>
  <c r="AO21" s="1"/>
  <c r="AR21" s="1"/>
  <c r="AS21" s="1"/>
  <c r="AN64"/>
  <c r="AP64" s="1"/>
  <c r="AQ64" s="1"/>
  <c r="AT64" s="1"/>
  <c r="AN102"/>
  <c r="AP102" s="1"/>
  <c r="AQ102" s="1"/>
  <c r="AT102" s="1"/>
  <c r="AN79"/>
  <c r="AP79" s="1"/>
  <c r="AQ79" s="1"/>
  <c r="AT79" s="1"/>
  <c r="AN11"/>
  <c r="AO11" s="1"/>
  <c r="AR11" s="1"/>
  <c r="AS11" s="1"/>
  <c r="AN175"/>
  <c r="AP175" s="1"/>
  <c r="AQ175" s="1"/>
  <c r="AT175" s="1"/>
  <c r="AN133"/>
  <c r="AP133" s="1"/>
  <c r="AQ133" s="1"/>
  <c r="AT133" s="1"/>
  <c r="AN152"/>
  <c r="AO152" s="1"/>
  <c r="AR152" s="1"/>
  <c r="AS152" s="1"/>
  <c r="AN55"/>
  <c r="AO55" s="1"/>
  <c r="AR55" s="1"/>
  <c r="AS55" s="1"/>
  <c r="AN113"/>
  <c r="AO113" s="1"/>
  <c r="AR113" s="1"/>
  <c r="AS113" s="1"/>
  <c r="AN98"/>
  <c r="AO98" s="1"/>
  <c r="AR98" s="1"/>
  <c r="AS98" s="1"/>
  <c r="AN160"/>
  <c r="AO160" s="1"/>
  <c r="AR160" s="1"/>
  <c r="AS160" s="1"/>
  <c r="AN61"/>
  <c r="AP61" s="1"/>
  <c r="AQ61" s="1"/>
  <c r="AT61" s="1"/>
  <c r="AN130"/>
  <c r="AO130" s="1"/>
  <c r="AR130" s="1"/>
  <c r="AS130" s="1"/>
  <c r="AN57"/>
  <c r="AO57" s="1"/>
  <c r="AR57" s="1"/>
  <c r="AS57" s="1"/>
  <c r="AN131"/>
  <c r="AP131" s="1"/>
  <c r="AQ131" s="1"/>
  <c r="AT131" s="1"/>
  <c r="AN140"/>
  <c r="AO140" s="1"/>
  <c r="AR140" s="1"/>
  <c r="AS140" s="1"/>
  <c r="AN112"/>
  <c r="AO112" s="1"/>
  <c r="AR112" s="1"/>
  <c r="AS112" s="1"/>
  <c r="AN6"/>
  <c r="AP6" s="1"/>
  <c r="AQ6" s="1"/>
  <c r="AT6" s="1"/>
  <c r="AN23"/>
  <c r="AO23" s="1"/>
  <c r="AR23" s="1"/>
  <c r="AS23" s="1"/>
  <c r="AN190"/>
  <c r="AP190" s="1"/>
  <c r="AQ190" s="1"/>
  <c r="AT190" s="1"/>
  <c r="AN142"/>
  <c r="AO142" s="1"/>
  <c r="AR142" s="1"/>
  <c r="AS142" s="1"/>
  <c r="AN150"/>
  <c r="AO150" s="1"/>
  <c r="AR150" s="1"/>
  <c r="AS150" s="1"/>
  <c r="AN86"/>
  <c r="AP86" s="1"/>
  <c r="AQ86" s="1"/>
  <c r="AT86" s="1"/>
  <c r="AN186"/>
  <c r="AP186" s="1"/>
  <c r="AQ186" s="1"/>
  <c r="AT186" s="1"/>
  <c r="AN73"/>
  <c r="AP73" s="1"/>
  <c r="AQ73" s="1"/>
  <c r="AT73" s="1"/>
  <c r="AN84"/>
  <c r="AO84" s="1"/>
  <c r="AR84" s="1"/>
  <c r="AS84" s="1"/>
  <c r="AN40"/>
  <c r="AP40" s="1"/>
  <c r="AQ40" s="1"/>
  <c r="AT40" s="1"/>
  <c r="AN13"/>
  <c r="AO13" s="1"/>
  <c r="AR13" s="1"/>
  <c r="AS13" s="1"/>
  <c r="AN35"/>
  <c r="AO35" s="1"/>
  <c r="AR35" s="1"/>
  <c r="AS35" s="1"/>
  <c r="AN192"/>
  <c r="AP192" s="1"/>
  <c r="AQ192" s="1"/>
  <c r="AT192" s="1"/>
  <c r="AN103"/>
  <c r="AO103" s="1"/>
  <c r="AR103" s="1"/>
  <c r="AS103" s="1"/>
  <c r="AN145"/>
  <c r="AO145" s="1"/>
  <c r="AR145" s="1"/>
  <c r="AS145" s="1"/>
  <c r="AN196"/>
  <c r="AO196" s="1"/>
  <c r="AR196" s="1"/>
  <c r="AS196" s="1"/>
  <c r="AN189"/>
  <c r="AO189" s="1"/>
  <c r="AR189" s="1"/>
  <c r="AS189" s="1"/>
  <c r="AN146"/>
  <c r="AP146" s="1"/>
  <c r="AQ146" s="1"/>
  <c r="AT146" s="1"/>
  <c r="AN153"/>
  <c r="AP153" s="1"/>
  <c r="AQ153" s="1"/>
  <c r="AT153" s="1"/>
  <c r="AN195"/>
  <c r="AO195" s="1"/>
  <c r="AR195" s="1"/>
  <c r="AS195" s="1"/>
  <c r="AN76"/>
  <c r="AP76" s="1"/>
  <c r="AQ76" s="1"/>
  <c r="AT76" s="1"/>
  <c r="AN127"/>
  <c r="AO127" s="1"/>
  <c r="AR127" s="1"/>
  <c r="AS127" s="1"/>
  <c r="AN179"/>
  <c r="AP179" s="1"/>
  <c r="AQ179" s="1"/>
  <c r="AT179" s="1"/>
  <c r="AN107"/>
  <c r="AO107" s="1"/>
  <c r="AR107" s="1"/>
  <c r="AS107" s="1"/>
  <c r="AN139"/>
  <c r="AO139" s="1"/>
  <c r="AR139" s="1"/>
  <c r="AS139" s="1"/>
  <c r="AN106"/>
  <c r="AP106" s="1"/>
  <c r="AQ106" s="1"/>
  <c r="AT106" s="1"/>
  <c r="AN147"/>
  <c r="AP147" s="1"/>
  <c r="AQ147" s="1"/>
  <c r="AT147" s="1"/>
  <c r="AN118"/>
  <c r="AP118" s="1"/>
  <c r="AQ118" s="1"/>
  <c r="AT118" s="1"/>
  <c r="AN165"/>
  <c r="AP165" s="1"/>
  <c r="AQ165" s="1"/>
  <c r="AT165" s="1"/>
  <c r="AN38"/>
  <c r="AP38" s="1"/>
  <c r="AQ38" s="1"/>
  <c r="AT38" s="1"/>
  <c r="AN120"/>
  <c r="AO120" s="1"/>
  <c r="AR120" s="1"/>
  <c r="AS120" s="1"/>
  <c r="AN88"/>
  <c r="AO88" s="1"/>
  <c r="AR88" s="1"/>
  <c r="AS88" s="1"/>
  <c r="AN185"/>
  <c r="AP185" s="1"/>
  <c r="AQ185" s="1"/>
  <c r="AT185" s="1"/>
  <c r="AN136"/>
  <c r="AP136" s="1"/>
  <c r="AQ136" s="1"/>
  <c r="AT136" s="1"/>
  <c r="AN144"/>
  <c r="AP144" s="1"/>
  <c r="AQ144" s="1"/>
  <c r="AT144" s="1"/>
  <c r="AN122"/>
  <c r="AO122" s="1"/>
  <c r="AR122" s="1"/>
  <c r="AS122" s="1"/>
  <c r="AN115"/>
  <c r="AO115" s="1"/>
  <c r="AR115" s="1"/>
  <c r="AS115" s="1"/>
  <c r="AN161"/>
  <c r="AO161" s="1"/>
  <c r="AR161" s="1"/>
  <c r="AS161" s="1"/>
  <c r="AN183"/>
  <c r="AO183" s="1"/>
  <c r="AR183" s="1"/>
  <c r="AS183" s="1"/>
  <c r="AN89"/>
  <c r="AO89" s="1"/>
  <c r="AR89" s="1"/>
  <c r="AS89" s="1"/>
  <c r="AN30"/>
  <c r="AP30" s="1"/>
  <c r="AQ30" s="1"/>
  <c r="AT30" s="1"/>
  <c r="AN53"/>
  <c r="AO53" s="1"/>
  <c r="AR53" s="1"/>
  <c r="AS53" s="1"/>
  <c r="AN62"/>
  <c r="AO62" s="1"/>
  <c r="AR62" s="1"/>
  <c r="AS62" s="1"/>
  <c r="AN51"/>
  <c r="AO51" s="1"/>
  <c r="AR51" s="1"/>
  <c r="AS51" s="1"/>
  <c r="AN54"/>
  <c r="AO54" s="1"/>
  <c r="AR54" s="1"/>
  <c r="AS54" s="1"/>
  <c r="AN201"/>
  <c r="AP201" s="1"/>
  <c r="AQ201" s="1"/>
  <c r="AT201" s="1"/>
  <c r="AN81"/>
  <c r="AP81" s="1"/>
  <c r="AQ81" s="1"/>
  <c r="AT81" s="1"/>
  <c r="AN149"/>
  <c r="AO149" s="1"/>
  <c r="AR149" s="1"/>
  <c r="AS149" s="1"/>
  <c r="AN15"/>
  <c r="AP15" s="1"/>
  <c r="AQ15" s="1"/>
  <c r="AT15" s="1"/>
  <c r="AN197"/>
  <c r="AP197" s="1"/>
  <c r="AQ197" s="1"/>
  <c r="AT197" s="1"/>
  <c r="AN181"/>
  <c r="AO181" s="1"/>
  <c r="AR181" s="1"/>
  <c r="AS181" s="1"/>
  <c r="AN134"/>
  <c r="AP134" s="1"/>
  <c r="AQ134" s="1"/>
  <c r="AT134" s="1"/>
  <c r="AN108"/>
  <c r="AO108" s="1"/>
  <c r="AR108" s="1"/>
  <c r="AS108" s="1"/>
  <c r="AN138"/>
  <c r="AO138" s="1"/>
  <c r="AR138" s="1"/>
  <c r="AS138" s="1"/>
  <c r="AN66"/>
  <c r="AO66" s="1"/>
  <c r="AR66" s="1"/>
  <c r="AS66" s="1"/>
  <c r="AN117"/>
  <c r="AO117" s="1"/>
  <c r="AR117" s="1"/>
  <c r="AS117" s="1"/>
  <c r="AN199"/>
  <c r="AP199" s="1"/>
  <c r="AQ199" s="1"/>
  <c r="AT199" s="1"/>
  <c r="AN154"/>
  <c r="AO154" s="1"/>
  <c r="AR154" s="1"/>
  <c r="AS154" s="1"/>
  <c r="AN184"/>
  <c r="AP184" s="1"/>
  <c r="AQ184" s="1"/>
  <c r="AT184" s="1"/>
  <c r="AN91"/>
  <c r="AO91" s="1"/>
  <c r="AR91" s="1"/>
  <c r="AS91" s="1"/>
  <c r="AN119"/>
  <c r="AP119" s="1"/>
  <c r="AQ119" s="1"/>
  <c r="AT119" s="1"/>
  <c r="AN37"/>
  <c r="AO37" s="1"/>
  <c r="AR37" s="1"/>
  <c r="AS37" s="1"/>
  <c r="AN194"/>
  <c r="AP194" s="1"/>
  <c r="AQ194" s="1"/>
  <c r="AT194" s="1"/>
  <c r="AN114"/>
  <c r="AP114" s="1"/>
  <c r="AQ114" s="1"/>
  <c r="AT114" s="1"/>
  <c r="AN34"/>
  <c r="AO34" s="1"/>
  <c r="AR34" s="1"/>
  <c r="AS34" s="1"/>
  <c r="AN162"/>
  <c r="AP162" s="1"/>
  <c r="AQ162" s="1"/>
  <c r="AT162" s="1"/>
  <c r="AN50"/>
  <c r="AO50" s="1"/>
  <c r="AR50" s="1"/>
  <c r="AS50" s="1"/>
  <c r="AN48"/>
  <c r="AO48" s="1"/>
  <c r="AR48" s="1"/>
  <c r="AS48" s="1"/>
  <c r="AN137"/>
  <c r="AO137" s="1"/>
  <c r="AR137" s="1"/>
  <c r="AS137" s="1"/>
  <c r="AN174"/>
  <c r="AO174" s="1"/>
  <c r="AR174" s="1"/>
  <c r="AS174" s="1"/>
  <c r="AN75"/>
  <c r="AO75" s="1"/>
  <c r="AR75" s="1"/>
  <c r="AS75" s="1"/>
  <c r="AN18"/>
  <c r="AO18" s="1"/>
  <c r="AR18" s="1"/>
  <c r="AS18" s="1"/>
  <c r="AN25"/>
  <c r="AP25" s="1"/>
  <c r="AQ25" s="1"/>
  <c r="AT25" s="1"/>
  <c r="AN173"/>
  <c r="AO173" s="1"/>
  <c r="AR173" s="1"/>
  <c r="AS173" s="1"/>
  <c r="AN24"/>
  <c r="AO24" s="1"/>
  <c r="AR24" s="1"/>
  <c r="AS24" s="1"/>
  <c r="AO96"/>
  <c r="AR96" s="1"/>
  <c r="AS96" s="1"/>
  <c r="AP143"/>
  <c r="AQ143" s="1"/>
  <c r="AT143" s="1"/>
  <c r="AP180"/>
  <c r="AQ180" s="1"/>
  <c r="AT180" s="1"/>
  <c r="AO31"/>
  <c r="AR31" s="1"/>
  <c r="AS31" s="1"/>
  <c r="AP7"/>
  <c r="AQ7" s="1"/>
  <c r="AT7" s="1"/>
  <c r="AO176"/>
  <c r="AR176" s="1"/>
  <c r="AS176" s="1"/>
  <c r="AP155"/>
  <c r="AQ155" s="1"/>
  <c r="AT155" s="1"/>
  <c r="AO163"/>
  <c r="AR163" s="1"/>
  <c r="AS163" s="1"/>
  <c r="AP56"/>
  <c r="AQ56" s="1"/>
  <c r="AT56" s="1"/>
  <c r="AO5"/>
  <c r="AR5" s="1"/>
  <c r="AS5" s="1"/>
  <c r="AP101"/>
  <c r="AQ101" s="1"/>
  <c r="AT101" s="1"/>
  <c r="AP3"/>
  <c r="AQ3" s="1"/>
  <c r="AT3" s="1"/>
  <c r="AP100"/>
  <c r="AQ100" s="1"/>
  <c r="AT100" s="1"/>
  <c r="AP157"/>
  <c r="AQ157" s="1"/>
  <c r="AT157" s="1"/>
  <c r="AO157"/>
  <c r="AR157" s="1"/>
  <c r="AS157" s="1"/>
  <c r="AO190"/>
  <c r="AR190" s="1"/>
  <c r="AS190" s="1"/>
  <c r="AO83"/>
  <c r="AR83" s="1"/>
  <c r="AS83" s="1"/>
  <c r="AP83"/>
  <c r="AQ83" s="1"/>
  <c r="AT83" s="1"/>
  <c r="AO135"/>
  <c r="AR135" s="1"/>
  <c r="AS135" s="1"/>
  <c r="AP44"/>
  <c r="AQ44" s="1"/>
  <c r="AT44" s="1"/>
  <c r="AO44"/>
  <c r="AR44" s="1"/>
  <c r="AS44" s="1"/>
  <c r="AP92"/>
  <c r="AQ92" s="1"/>
  <c r="AT92" s="1"/>
  <c r="AO92"/>
  <c r="AR92" s="1"/>
  <c r="AS92" s="1"/>
  <c r="AO8"/>
  <c r="AR8" s="1"/>
  <c r="AS8" s="1"/>
  <c r="AP8"/>
  <c r="AQ8" s="1"/>
  <c r="AT8" s="1"/>
  <c r="AP71"/>
  <c r="AQ71" s="1"/>
  <c r="AT71" s="1"/>
  <c r="AO63"/>
  <c r="AR63" s="1"/>
  <c r="AS63" s="1"/>
  <c r="AP182"/>
  <c r="AQ182" s="1"/>
  <c r="AT182" s="1"/>
  <c r="AP93"/>
  <c r="AQ93" s="1"/>
  <c r="AT93" s="1"/>
  <c r="AP78"/>
  <c r="AQ78" s="1"/>
  <c r="AT78" s="1"/>
  <c r="AP121"/>
  <c r="AQ121" s="1"/>
  <c r="AT121" s="1"/>
  <c r="AO198"/>
  <c r="AR198" s="1"/>
  <c r="AS198" s="1"/>
  <c r="AP16"/>
  <c r="AQ16" s="1"/>
  <c r="AT16" s="1"/>
  <c r="AO124"/>
  <c r="AR124" s="1"/>
  <c r="AS124" s="1"/>
  <c r="AO69"/>
  <c r="AR69" s="1"/>
  <c r="AS69" s="1"/>
  <c r="AP90"/>
  <c r="AQ90" s="1"/>
  <c r="AT90" s="1"/>
  <c r="AP65"/>
  <c r="AQ65" s="1"/>
  <c r="AT65" s="1"/>
  <c r="AO123"/>
  <c r="AR123" s="1"/>
  <c r="AS123" s="1"/>
  <c r="AO168"/>
  <c r="AR168" s="1"/>
  <c r="AS168" s="1"/>
  <c r="AO111"/>
  <c r="AR111" s="1"/>
  <c r="AS111" s="1"/>
  <c r="AO193"/>
  <c r="AR193" s="1"/>
  <c r="AS193" s="1"/>
  <c r="AO95"/>
  <c r="AR95" s="1"/>
  <c r="AS95" s="1"/>
  <c r="AO178"/>
  <c r="AR178" s="1"/>
  <c r="AS178" s="1"/>
  <c r="AP74"/>
  <c r="AQ74" s="1"/>
  <c r="AT74" s="1"/>
  <c r="AP99"/>
  <c r="AQ99" s="1"/>
  <c r="AT99" s="1"/>
  <c r="AO200"/>
  <c r="AR200" s="1"/>
  <c r="AS200" s="1"/>
  <c r="AO125"/>
  <c r="AR125" s="1"/>
  <c r="AS125" s="1"/>
  <c r="AO129"/>
  <c r="AR129" s="1"/>
  <c r="AS129" s="1"/>
  <c r="AO29"/>
  <c r="AR29" s="1"/>
  <c r="AS29" s="1"/>
  <c r="AO132"/>
  <c r="AR132" s="1"/>
  <c r="AS132" s="1"/>
  <c r="AO151"/>
  <c r="AR151" s="1"/>
  <c r="AS151" s="1"/>
  <c r="AO126"/>
  <c r="AR126" s="1"/>
  <c r="AS126" s="1"/>
  <c r="AO177"/>
  <c r="AR177" s="1"/>
  <c r="AS177" s="1"/>
  <c r="AP128"/>
  <c r="AQ128" s="1"/>
  <c r="AT128" s="1"/>
  <c r="AP45"/>
  <c r="AQ45" s="1"/>
  <c r="AT45" s="1"/>
  <c r="AP42"/>
  <c r="AQ42" s="1"/>
  <c r="AT42" s="1"/>
  <c r="AP85"/>
  <c r="AQ85" s="1"/>
  <c r="AT85" s="1"/>
  <c r="AO156"/>
  <c r="AR156" s="1"/>
  <c r="AS156" s="1"/>
  <c r="AP156"/>
  <c r="AQ156" s="1"/>
  <c r="AT156" s="1"/>
  <c r="AP2"/>
  <c r="AQ2" s="1"/>
  <c r="AT2" s="1"/>
  <c r="AO2"/>
  <c r="AR2" s="1"/>
  <c r="AS2" s="1"/>
  <c r="AP28"/>
  <c r="AQ28" s="1"/>
  <c r="AT28" s="1"/>
  <c r="AO28"/>
  <c r="AR28" s="1"/>
  <c r="AS28" s="1"/>
  <c r="AO52" l="1"/>
  <c r="AR52" s="1"/>
  <c r="AS52" s="1"/>
  <c r="AP148"/>
  <c r="AQ148" s="1"/>
  <c r="AT148" s="1"/>
  <c r="AP80"/>
  <c r="AQ80" s="1"/>
  <c r="AT80" s="1"/>
  <c r="AO33"/>
  <c r="AR33" s="1"/>
  <c r="AS33" s="1"/>
  <c r="AP39"/>
  <c r="AQ39" s="1"/>
  <c r="AT39" s="1"/>
  <c r="AP167"/>
  <c r="AQ167" s="1"/>
  <c r="AT167" s="1"/>
  <c r="AP9"/>
  <c r="AQ9" s="1"/>
  <c r="AT9" s="1"/>
  <c r="AO68"/>
  <c r="AR68" s="1"/>
  <c r="AS68" s="1"/>
  <c r="AP191"/>
  <c r="AQ191" s="1"/>
  <c r="AT191" s="1"/>
  <c r="AP141"/>
  <c r="AQ141" s="1"/>
  <c r="AT141" s="1"/>
  <c r="AP47"/>
  <c r="AQ47" s="1"/>
  <c r="AT47" s="1"/>
  <c r="AP66"/>
  <c r="AQ66" s="1"/>
  <c r="AT66" s="1"/>
  <c r="AP10"/>
  <c r="AQ10" s="1"/>
  <c r="AT10" s="1"/>
  <c r="AP12"/>
  <c r="AQ12" s="1"/>
  <c r="AT12" s="1"/>
  <c r="AO116"/>
  <c r="AR116" s="1"/>
  <c r="AS116" s="1"/>
  <c r="AO79"/>
  <c r="AR79" s="1"/>
  <c r="AS79" s="1"/>
  <c r="AO67"/>
  <c r="AR67" s="1"/>
  <c r="AS67" s="1"/>
  <c r="AP87"/>
  <c r="AQ87" s="1"/>
  <c r="AT87" s="1"/>
  <c r="AO17"/>
  <c r="AR17" s="1"/>
  <c r="AS17" s="1"/>
  <c r="AO82"/>
  <c r="AR82" s="1"/>
  <c r="AS82" s="1"/>
  <c r="AP11"/>
  <c r="AQ11" s="1"/>
  <c r="AT11" s="1"/>
  <c r="AP109"/>
  <c r="AQ109" s="1"/>
  <c r="AT109" s="1"/>
  <c r="AO27"/>
  <c r="AR27" s="1"/>
  <c r="AS27" s="1"/>
  <c r="AO70"/>
  <c r="AR70" s="1"/>
  <c r="AS70" s="1"/>
  <c r="AO133"/>
  <c r="AR133" s="1"/>
  <c r="AS133" s="1"/>
  <c r="AP55"/>
  <c r="AQ55" s="1"/>
  <c r="AT55" s="1"/>
  <c r="AO97"/>
  <c r="AR97" s="1"/>
  <c r="AS97" s="1"/>
  <c r="AP36"/>
  <c r="AQ36" s="1"/>
  <c r="AT36" s="1"/>
  <c r="AP46"/>
  <c r="AQ46" s="1"/>
  <c r="AT46" s="1"/>
  <c r="AO6"/>
  <c r="AR6" s="1"/>
  <c r="AS6" s="1"/>
  <c r="AO164"/>
  <c r="AR164" s="1"/>
  <c r="AS164" s="1"/>
  <c r="AP172"/>
  <c r="AQ172" s="1"/>
  <c r="AT172" s="1"/>
  <c r="AP159"/>
  <c r="AQ159" s="1"/>
  <c r="AT159" s="1"/>
  <c r="AP122"/>
  <c r="AQ122" s="1"/>
  <c r="AT122" s="1"/>
  <c r="AP195"/>
  <c r="AQ195" s="1"/>
  <c r="AT195" s="1"/>
  <c r="AP108"/>
  <c r="AQ108" s="1"/>
  <c r="AT108" s="1"/>
  <c r="AO20"/>
  <c r="AR20" s="1"/>
  <c r="AS20" s="1"/>
  <c r="AP158"/>
  <c r="AQ158" s="1"/>
  <c r="AT158" s="1"/>
  <c r="AO22"/>
  <c r="AR22" s="1"/>
  <c r="AS22" s="1"/>
  <c r="AO202"/>
  <c r="AR202" s="1"/>
  <c r="AS202" s="1"/>
  <c r="AP150"/>
  <c r="AQ150" s="1"/>
  <c r="AT150" s="1"/>
  <c r="AP41"/>
  <c r="AQ41" s="1"/>
  <c r="AT41" s="1"/>
  <c r="AO119"/>
  <c r="AR119" s="1"/>
  <c r="AS119" s="1"/>
  <c r="AO60"/>
  <c r="AR60" s="1"/>
  <c r="AS60" s="1"/>
  <c r="AO170"/>
  <c r="AR170" s="1"/>
  <c r="AS170" s="1"/>
  <c r="AO192"/>
  <c r="AR192" s="1"/>
  <c r="AS192" s="1"/>
  <c r="AO105"/>
  <c r="AR105" s="1"/>
  <c r="AS105" s="1"/>
  <c r="AP77"/>
  <c r="AQ77" s="1"/>
  <c r="AT77" s="1"/>
  <c r="AO59"/>
  <c r="AR59" s="1"/>
  <c r="AS59" s="1"/>
  <c r="AO72"/>
  <c r="AR72" s="1"/>
  <c r="AS72" s="1"/>
  <c r="AO43"/>
  <c r="AR43" s="1"/>
  <c r="AS43" s="1"/>
  <c r="AP160"/>
  <c r="AQ160" s="1"/>
  <c r="AT160" s="1"/>
  <c r="AP58"/>
  <c r="AQ58" s="1"/>
  <c r="AT58" s="1"/>
  <c r="AP48"/>
  <c r="AQ48" s="1"/>
  <c r="AT48" s="1"/>
  <c r="AP14"/>
  <c r="AQ14" s="1"/>
  <c r="AT14" s="1"/>
  <c r="AO106"/>
  <c r="AR106" s="1"/>
  <c r="AS106" s="1"/>
  <c r="AO187"/>
  <c r="AR187" s="1"/>
  <c r="AS187" s="1"/>
  <c r="AP19"/>
  <c r="AQ19" s="1"/>
  <c r="AT19" s="1"/>
  <c r="AO131"/>
  <c r="AR131" s="1"/>
  <c r="AS131" s="1"/>
  <c r="AP84"/>
  <c r="AQ84" s="1"/>
  <c r="AT84" s="1"/>
  <c r="AP98"/>
  <c r="AQ98" s="1"/>
  <c r="AT98" s="1"/>
  <c r="AP110"/>
  <c r="AQ110" s="1"/>
  <c r="AT110" s="1"/>
  <c r="AP26"/>
  <c r="AQ26" s="1"/>
  <c r="AT26" s="1"/>
  <c r="AO49"/>
  <c r="AR49" s="1"/>
  <c r="AS49" s="1"/>
  <c r="AP139"/>
  <c r="AQ139" s="1"/>
  <c r="AT139" s="1"/>
  <c r="AP32"/>
  <c r="AQ32" s="1"/>
  <c r="AT32" s="1"/>
  <c r="AO4"/>
  <c r="AR4" s="1"/>
  <c r="AS4" s="1"/>
  <c r="AP152"/>
  <c r="AQ152" s="1"/>
  <c r="AT152" s="1"/>
  <c r="AP94"/>
  <c r="AQ94" s="1"/>
  <c r="AT94" s="1"/>
  <c r="AP169"/>
  <c r="AQ169" s="1"/>
  <c r="AT169" s="1"/>
  <c r="AO102"/>
  <c r="AR102" s="1"/>
  <c r="AS102" s="1"/>
  <c r="AP104"/>
  <c r="AQ104" s="1"/>
  <c r="AT104" s="1"/>
  <c r="AP166"/>
  <c r="AQ166" s="1"/>
  <c r="AT166" s="1"/>
  <c r="AP37"/>
  <c r="AQ37" s="1"/>
  <c r="AT37" s="1"/>
  <c r="AO165"/>
  <c r="AR165" s="1"/>
  <c r="AS165" s="1"/>
  <c r="AP171"/>
  <c r="AQ171" s="1"/>
  <c r="AT171" s="1"/>
  <c r="AP188"/>
  <c r="AQ188" s="1"/>
  <c r="AT188" s="1"/>
  <c r="AP196"/>
  <c r="AQ196" s="1"/>
  <c r="AT196" s="1"/>
  <c r="AO114"/>
  <c r="AR114" s="1"/>
  <c r="AS114" s="1"/>
  <c r="AP51"/>
  <c r="AQ51" s="1"/>
  <c r="AT51" s="1"/>
  <c r="AO73"/>
  <c r="AR73" s="1"/>
  <c r="AS73" s="1"/>
  <c r="AP21"/>
  <c r="AQ21" s="1"/>
  <c r="AT21" s="1"/>
  <c r="AP145"/>
  <c r="AQ145" s="1"/>
  <c r="AT145" s="1"/>
  <c r="AP107"/>
  <c r="AQ107" s="1"/>
  <c r="AT107" s="1"/>
  <c r="AP120"/>
  <c r="AQ120" s="1"/>
  <c r="AT120" s="1"/>
  <c r="AP91"/>
  <c r="AQ91" s="1"/>
  <c r="AT91" s="1"/>
  <c r="AP113"/>
  <c r="AQ113" s="1"/>
  <c r="AT113" s="1"/>
  <c r="AO175"/>
  <c r="AR175" s="1"/>
  <c r="AS175" s="1"/>
  <c r="AO64"/>
  <c r="AR64" s="1"/>
  <c r="AS64" s="1"/>
  <c r="AP142"/>
  <c r="AQ142" s="1"/>
  <c r="AT142" s="1"/>
  <c r="AP140"/>
  <c r="AQ140" s="1"/>
  <c r="AT140" s="1"/>
  <c r="AP62"/>
  <c r="AQ62" s="1"/>
  <c r="AT62" s="1"/>
  <c r="AP149"/>
  <c r="AQ149" s="1"/>
  <c r="AT149" s="1"/>
  <c r="AO61"/>
  <c r="AR61" s="1"/>
  <c r="AS61" s="1"/>
  <c r="AP117"/>
  <c r="AQ117" s="1"/>
  <c r="AT117" s="1"/>
  <c r="AO118"/>
  <c r="AR118" s="1"/>
  <c r="AS118" s="1"/>
  <c r="AO134"/>
  <c r="AR134" s="1"/>
  <c r="AS134" s="1"/>
  <c r="AP130"/>
  <c r="AQ130" s="1"/>
  <c r="AT130" s="1"/>
  <c r="AP24"/>
  <c r="AQ24" s="1"/>
  <c r="AT24" s="1"/>
  <c r="AO199"/>
  <c r="AR199" s="1"/>
  <c r="AS199" s="1"/>
  <c r="AO185"/>
  <c r="AR185" s="1"/>
  <c r="AS185" s="1"/>
  <c r="AP189"/>
  <c r="AQ189" s="1"/>
  <c r="AT189" s="1"/>
  <c r="AO30"/>
  <c r="AR30" s="1"/>
  <c r="AS30" s="1"/>
  <c r="AP34"/>
  <c r="AQ34" s="1"/>
  <c r="AT34" s="1"/>
  <c r="AO15"/>
  <c r="AR15" s="1"/>
  <c r="AS15" s="1"/>
  <c r="AP23"/>
  <c r="AQ23" s="1"/>
  <c r="AT23" s="1"/>
  <c r="AP18"/>
  <c r="AQ18" s="1"/>
  <c r="AT18" s="1"/>
  <c r="AO146"/>
  <c r="AR146" s="1"/>
  <c r="AS146" s="1"/>
  <c r="AP103"/>
  <c r="AQ103" s="1"/>
  <c r="AT103" s="1"/>
  <c r="AO76"/>
  <c r="AR76" s="1"/>
  <c r="AS76" s="1"/>
  <c r="AP137"/>
  <c r="AQ137" s="1"/>
  <c r="AT137" s="1"/>
  <c r="AP112"/>
  <c r="AQ112" s="1"/>
  <c r="AT112" s="1"/>
  <c r="AO25"/>
  <c r="AR25" s="1"/>
  <c r="AS25" s="1"/>
  <c r="AP57"/>
  <c r="AQ57" s="1"/>
  <c r="AT57" s="1"/>
  <c r="AP35"/>
  <c r="AQ35" s="1"/>
  <c r="AT35" s="1"/>
  <c r="AP127"/>
  <c r="AQ127" s="1"/>
  <c r="AT127" s="1"/>
  <c r="AP54"/>
  <c r="AQ54" s="1"/>
  <c r="AT54" s="1"/>
  <c r="AP115"/>
  <c r="AQ115" s="1"/>
  <c r="AT115" s="1"/>
  <c r="AO186"/>
  <c r="AR186" s="1"/>
  <c r="AS186" s="1"/>
  <c r="AO153"/>
  <c r="AR153" s="1"/>
  <c r="AS153" s="1"/>
  <c r="AP13"/>
  <c r="AQ13" s="1"/>
  <c r="AT13" s="1"/>
  <c r="AO81"/>
  <c r="AR81" s="1"/>
  <c r="AS81" s="1"/>
  <c r="AO144"/>
  <c r="AR144" s="1"/>
  <c r="AS144" s="1"/>
  <c r="AO197"/>
  <c r="AR197" s="1"/>
  <c r="AS197" s="1"/>
  <c r="AO86"/>
  <c r="AR86" s="1"/>
  <c r="AS86" s="1"/>
  <c r="AP50"/>
  <c r="AQ50" s="1"/>
  <c r="AT50" s="1"/>
  <c r="AO184"/>
  <c r="AR184" s="1"/>
  <c r="AS184" s="1"/>
  <c r="AP183"/>
  <c r="AQ183" s="1"/>
  <c r="AT183" s="1"/>
  <c r="AO147"/>
  <c r="AR147" s="1"/>
  <c r="AS147" s="1"/>
  <c r="AP154"/>
  <c r="AQ154" s="1"/>
  <c r="AT154" s="1"/>
  <c r="AP75"/>
  <c r="AQ75" s="1"/>
  <c r="AT75" s="1"/>
  <c r="AP174"/>
  <c r="AQ174" s="1"/>
  <c r="AT174" s="1"/>
  <c r="AO194"/>
  <c r="AR194" s="1"/>
  <c r="AS194" s="1"/>
  <c r="AP181"/>
  <c r="AQ181" s="1"/>
  <c r="AT181" s="1"/>
  <c r="AO40"/>
  <c r="AR40" s="1"/>
  <c r="AS40" s="1"/>
  <c r="AO179"/>
  <c r="AR179" s="1"/>
  <c r="AS179" s="1"/>
  <c r="AO136"/>
  <c r="AR136" s="1"/>
  <c r="AS136" s="1"/>
  <c r="AP89"/>
  <c r="AQ89" s="1"/>
  <c r="AT89" s="1"/>
  <c r="AO38"/>
  <c r="AR38" s="1"/>
  <c r="AS38" s="1"/>
  <c r="AP53"/>
  <c r="AQ53" s="1"/>
  <c r="AT53" s="1"/>
  <c r="AP138"/>
  <c r="AQ138" s="1"/>
  <c r="AT138" s="1"/>
  <c r="AP161"/>
  <c r="AQ161" s="1"/>
  <c r="AT161" s="1"/>
  <c r="AP88"/>
  <c r="AQ88" s="1"/>
  <c r="AT88" s="1"/>
  <c r="AO162"/>
  <c r="AR162" s="1"/>
  <c r="AS162" s="1"/>
  <c r="AO201"/>
  <c r="AR201" s="1"/>
  <c r="AS201" s="1"/>
  <c r="AP173"/>
  <c r="AQ173" s="1"/>
  <c r="AT173" s="1"/>
</calcChain>
</file>

<file path=xl/sharedStrings.xml><?xml version="1.0" encoding="utf-8"?>
<sst xmlns="http://schemas.openxmlformats.org/spreadsheetml/2006/main" count="175" uniqueCount="124">
  <si>
    <t>DESIGN INPUTS</t>
  </si>
  <si>
    <t>Enter Values</t>
  </si>
  <si>
    <t>SWITCHING FREQUENCY(Fsw)</t>
  </si>
  <si>
    <t>Ro</t>
  </si>
  <si>
    <t>DCR (inductor resistance)</t>
  </si>
  <si>
    <t>OUTPUT CAPACITOR</t>
  </si>
  <si>
    <t>ESR of output capacitor</t>
  </si>
  <si>
    <t>Actual Output Voltage</t>
  </si>
  <si>
    <t>COMPENSATION</t>
  </si>
  <si>
    <t>D</t>
  </si>
  <si>
    <t>f</t>
  </si>
  <si>
    <t>s</t>
  </si>
  <si>
    <t>g1</t>
  </si>
  <si>
    <t>g2</t>
  </si>
  <si>
    <t>g3</t>
  </si>
  <si>
    <t>g4</t>
  </si>
  <si>
    <t>Vout(s)/Verr(s)</t>
  </si>
  <si>
    <t>|Vout(s)/Verr(s)|</t>
  </si>
  <si>
    <t>ang</t>
  </si>
  <si>
    <t>°</t>
  </si>
  <si>
    <t>db</t>
  </si>
  <si>
    <t>ota1</t>
  </si>
  <si>
    <t>ota2</t>
  </si>
  <si>
    <t>ota3</t>
  </si>
  <si>
    <t>g(s)</t>
  </si>
  <si>
    <t>|(g(s)|</t>
  </si>
  <si>
    <t>Minimum Frequency</t>
  </si>
  <si>
    <t>D'</t>
  </si>
  <si>
    <t>wn</t>
  </si>
  <si>
    <t>Maximum Frequency</t>
  </si>
  <si>
    <t>Tsw_</t>
  </si>
  <si>
    <t>Qp</t>
  </si>
  <si>
    <t>Mccm</t>
  </si>
  <si>
    <t>wz1</t>
  </si>
  <si>
    <t>Ω</t>
  </si>
  <si>
    <t>M</t>
  </si>
  <si>
    <t>Sn</t>
  </si>
  <si>
    <t>A/s</t>
  </si>
  <si>
    <t>wp1</t>
  </si>
  <si>
    <t>mc</t>
  </si>
  <si>
    <t>Rout</t>
  </si>
  <si>
    <t>Se</t>
  </si>
  <si>
    <t>Dmax</t>
  </si>
  <si>
    <t>Rsw_eq</t>
  </si>
  <si>
    <t>Cout</t>
  </si>
  <si>
    <t>Cesr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</si>
  <si>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</si>
  <si>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</si>
  <si>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</si>
  <si>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</si>
  <si>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</si>
  <si>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</si>
  <si>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</si>
  <si>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</si>
  <si>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</si>
  <si>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</si>
  <si>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</si>
  <si>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</si>
  <si>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t>L</t>
  </si>
  <si>
    <t>Vout</t>
  </si>
  <si>
    <t>NOMINAL INPUT VOLTAGE</t>
  </si>
  <si>
    <t>INPUT CAPACITOR</t>
  </si>
  <si>
    <t>INDUCTOR</t>
  </si>
  <si>
    <t xml:space="preserve">∆ Load step </t>
  </si>
  <si>
    <t>∆Vout</t>
  </si>
  <si>
    <t>Values used</t>
  </si>
  <si>
    <t>Ri</t>
  </si>
  <si>
    <t>com_c1</t>
  </si>
  <si>
    <t>comp_c2</t>
  </si>
  <si>
    <t>%</t>
  </si>
  <si>
    <t>V</t>
  </si>
  <si>
    <t>A</t>
  </si>
  <si>
    <t xml:space="preserve">% </t>
  </si>
  <si>
    <t>S</t>
  </si>
  <si>
    <t>INPUT VOLTAGE RIPPLE</t>
  </si>
  <si>
    <t>Calculation</t>
  </si>
  <si>
    <t>MHz</t>
  </si>
  <si>
    <t>uF</t>
  </si>
  <si>
    <t>uH</t>
  </si>
  <si>
    <t>pF</t>
  </si>
  <si>
    <t>Rc</t>
  </si>
  <si>
    <t>Cc</t>
  </si>
  <si>
    <t>Cf</t>
  </si>
  <si>
    <t>High Side Switch Rds(on)</t>
  </si>
  <si>
    <t>Ω</t>
  </si>
  <si>
    <r>
      <t>ERROR AMPLIFIER TRANSCONDUCTANCE (g</t>
    </r>
    <r>
      <rPr>
        <b/>
        <sz val="6"/>
        <color theme="0"/>
        <rFont val="Arial"/>
        <family val="2"/>
      </rPr>
      <t>M</t>
    </r>
    <r>
      <rPr>
        <b/>
        <sz val="10"/>
        <color theme="0"/>
        <rFont val="Arial"/>
        <family val="2"/>
      </rPr>
      <t>)</t>
    </r>
  </si>
  <si>
    <t>OUTPUT VOLTAGE (Vo)</t>
  </si>
  <si>
    <t>OUTPUT VOLTAGE CHANGE DURING LOAD STEP (%)</t>
  </si>
  <si>
    <t>Peak to Peak Ripple: capacitive component</t>
  </si>
  <si>
    <t>Peak to Peak Ripple: ESR component</t>
  </si>
  <si>
    <t>mV</t>
  </si>
  <si>
    <t>Minimum recommended L (output Inductance)</t>
  </si>
  <si>
    <t>MAX OUTPUT CURRENT (Iomax)</t>
  </si>
  <si>
    <t>Minimum recommended Input Capacitor</t>
  </si>
  <si>
    <t>Minimum recommended Cout (output capacitance)</t>
  </si>
  <si>
    <t>Iout</t>
  </si>
  <si>
    <t>Duty Cycle at Iout</t>
  </si>
  <si>
    <t>Inductor current ripple at Iout</t>
  </si>
  <si>
    <t>Peak current at Iout</t>
  </si>
  <si>
    <t>RMS current at Iout</t>
  </si>
  <si>
    <t>Switching losses</t>
  </si>
  <si>
    <t>Conduction losses</t>
  </si>
  <si>
    <t>Vdrive losses</t>
  </si>
  <si>
    <t>Total losses</t>
  </si>
  <si>
    <t>Thermal resistance (Rtheta j-a)</t>
  </si>
  <si>
    <t>Max allowable ambient temperature</t>
  </si>
  <si>
    <t>MAXIMUM AMBIENT TEMP (POWER LOSSES at 150Tj)</t>
  </si>
  <si>
    <t>W</t>
  </si>
  <si>
    <t>°C/W</t>
  </si>
  <si>
    <t>°C</t>
  </si>
  <si>
    <t>Inductor current ripple (for the chosen L)</t>
  </si>
  <si>
    <t>Average Iout</t>
  </si>
  <si>
    <t>-</t>
  </si>
  <si>
    <t>Vout =</t>
  </si>
  <si>
    <t>Vin min (loss of reg)</t>
  </si>
  <si>
    <t xml:space="preserve"> losing regulation and enter drop-out mode. It uses data from the 'Design tool' page.</t>
  </si>
  <si>
    <t>This tool calculates and plots the minimum input voltage under which the regulator starts</t>
  </si>
  <si>
    <t>This is a worst-case calculation at 150°C Tj</t>
  </si>
  <si>
    <t>27°C/W default value</t>
  </si>
  <si>
    <t>Duty Cycle at 1.2A</t>
  </si>
  <si>
    <t>Desired ∆Vin @ 1.2A (input ripple voltage)</t>
  </si>
  <si>
    <t>Input Capacitor RMS current at 1.2A</t>
  </si>
  <si>
    <t>INDUCTOR CURRENT RIPPLE AT 1.2A</t>
  </si>
  <si>
    <t>Rload (for 1.2A)</t>
  </si>
</sst>
</file>

<file path=xl/styles.xml><?xml version="1.0" encoding="utf-8"?>
<styleSheet xmlns="http://schemas.openxmlformats.org/spreadsheetml/2006/main">
  <numFmts count="2">
    <numFmt numFmtId="164" formatCode="0.000E+00"/>
    <numFmt numFmtId="165" formatCode="0.0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6"/>
      <color theme="0"/>
      <name val="Arial"/>
      <family val="2"/>
    </font>
    <font>
      <b/>
      <sz val="10"/>
      <color rgb="FFFF0000"/>
      <name val="Arial"/>
      <family val="2"/>
    </font>
    <font>
      <sz val="11"/>
      <color theme="0"/>
      <name val="돋움체"/>
      <family val="3"/>
      <charset val="129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>
      <protection locked="0"/>
    </xf>
  </cellStyleXfs>
  <cellXfs count="87">
    <xf numFmtId="0" fontId="0" fillId="0" borderId="0" xfId="0"/>
    <xf numFmtId="0" fontId="0" fillId="0" borderId="0" xfId="3" applyFont="1" applyFill="1" applyProtection="1"/>
    <xf numFmtId="0" fontId="1" fillId="4" borderId="2" xfId="3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2" borderId="2" xfId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2" borderId="2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Alignment="1" applyProtection="1"/>
    <xf numFmtId="0" fontId="6" fillId="0" borderId="0" xfId="0" applyFont="1" applyProtection="1"/>
    <xf numFmtId="0" fontId="7" fillId="0" borderId="0" xfId="0" applyFont="1" applyProtection="1"/>
    <xf numFmtId="11" fontId="6" fillId="0" borderId="0" xfId="0" applyNumberFormat="1" applyFont="1" applyProtection="1"/>
    <xf numFmtId="0" fontId="6" fillId="0" borderId="0" xfId="0" applyFont="1" applyAlignment="1" applyProtection="1"/>
    <xf numFmtId="0" fontId="8" fillId="0" borderId="0" xfId="0" applyFont="1" applyProtection="1"/>
    <xf numFmtId="165" fontId="6" fillId="0" borderId="0" xfId="0" applyNumberFormat="1" applyFont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 applyProtection="1"/>
    <xf numFmtId="0" fontId="6" fillId="0" borderId="0" xfId="0" applyNumberFormat="1" applyFont="1" applyFill="1" applyBorder="1" applyProtection="1"/>
    <xf numFmtId="0" fontId="12" fillId="0" borderId="0" xfId="0" applyNumberFormat="1" applyFont="1" applyFill="1" applyBorder="1" applyProtection="1"/>
    <xf numFmtId="0" fontId="0" fillId="0" borderId="0" xfId="0" applyNumberFormat="1" applyFill="1" applyProtection="1"/>
    <xf numFmtId="0" fontId="1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0" fillId="0" borderId="0" xfId="0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  <xf numFmtId="0" fontId="12" fillId="0" borderId="0" xfId="0" applyFont="1" applyProtection="1"/>
    <xf numFmtId="0" fontId="17" fillId="0" borderId="0" xfId="0" applyFont="1" applyProtection="1"/>
    <xf numFmtId="0" fontId="12" fillId="0" borderId="0" xfId="0" applyNumberFormat="1" applyFont="1" applyProtection="1"/>
    <xf numFmtId="0" fontId="12" fillId="0" borderId="0" xfId="0" applyFont="1" applyFill="1" applyProtection="1"/>
    <xf numFmtId="0" fontId="12" fillId="0" borderId="0" xfId="1" applyFont="1" applyFill="1" applyBorder="1" applyAlignment="1" applyProtection="1">
      <alignment horizontal="center"/>
    </xf>
    <xf numFmtId="2" fontId="3" fillId="3" borderId="1" xfId="2" applyNumberFormat="1" applyAlignment="1" applyProtection="1">
      <alignment horizontal="center"/>
    </xf>
    <xf numFmtId="2" fontId="3" fillId="3" borderId="3" xfId="2" applyNumberFormat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" fontId="3" fillId="3" borderId="1" xfId="2" applyNumberFormat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11" fontId="1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12" fillId="0" borderId="0" xfId="3" applyFont="1" applyFill="1" applyProtection="1"/>
    <xf numFmtId="0" fontId="12" fillId="0" borderId="0" xfId="0" applyNumberFormat="1" applyFont="1" applyFill="1" applyProtection="1"/>
    <xf numFmtId="11" fontId="12" fillId="0" borderId="0" xfId="0" applyNumberFormat="1" applyFont="1" applyFill="1" applyProtection="1"/>
    <xf numFmtId="0" fontId="16" fillId="0" borderId="0" xfId="0" applyFont="1"/>
    <xf numFmtId="0" fontId="21" fillId="0" borderId="0" xfId="0" applyFo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2" fillId="0" borderId="0" xfId="0" applyFont="1"/>
    <xf numFmtId="0" fontId="23" fillId="0" borderId="0" xfId="3" applyFont="1" applyFill="1" applyBorder="1" applyAlignment="1" applyProtection="1">
      <alignment horizontal="left"/>
    </xf>
    <xf numFmtId="0" fontId="1" fillId="0" borderId="0" xfId="3" applyFill="1" applyBorder="1" applyAlignment="1" applyProtection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center"/>
    </xf>
    <xf numFmtId="0" fontId="24" fillId="0" borderId="0" xfId="0" applyFont="1" applyProtection="1"/>
    <xf numFmtId="0" fontId="24" fillId="0" borderId="0" xfId="0" applyFont="1" applyFill="1" applyProtection="1"/>
    <xf numFmtId="0" fontId="12" fillId="0" borderId="0" xfId="0" applyFont="1" applyBorder="1" applyProtection="1"/>
    <xf numFmtId="0" fontId="0" fillId="0" borderId="9" xfId="0" applyBorder="1" applyAlignment="1">
      <alignment horizontal="center"/>
    </xf>
  </cellXfs>
  <cellStyles count="4">
    <cellStyle name="Calculation" xfId="2" builtinId="22"/>
    <cellStyle name="Good" xfId="1" builtinId="26"/>
    <cellStyle name="Normal" xfId="0" builtinId="0"/>
    <cellStyle name="ONInput" xfId="3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0"/>
            </a:pPr>
            <a:r>
              <a:rPr lang="en-US" b="0"/>
              <a:t>Phase of </a:t>
            </a:r>
            <a:r>
              <a:rPr lang="en-US" b="0" baseline="0"/>
              <a:t>Verr/Vout</a:t>
            </a:r>
            <a:endParaRPr lang="en-US" b="0"/>
          </a:p>
        </c:rich>
      </c:tx>
      <c:layout>
        <c:manualLayout>
          <c:xMode val="edge"/>
          <c:yMode val="edge"/>
          <c:x val="0.23165732040443204"/>
          <c:y val="0"/>
        </c:manualLayout>
      </c:layout>
    </c:title>
    <c:plotArea>
      <c:layout>
        <c:manualLayout>
          <c:layoutTarget val="inner"/>
          <c:xMode val="edge"/>
          <c:yMode val="edge"/>
          <c:x val="0.15186269310616257"/>
          <c:y val="0.11400133982331584"/>
          <c:w val="0.77154020485550578"/>
          <c:h val="0.76187821012264778"/>
        </c:manualLayout>
      </c:layout>
      <c:scatterChart>
        <c:scatterStyle val="smoothMarker"/>
        <c:ser>
          <c:idx val="0"/>
          <c:order val="0"/>
          <c:tx>
            <c:strRef>
              <c:f>'Design tool'!$AQ$1</c:f>
              <c:strCache>
                <c:ptCount val="1"/>
                <c:pt idx="0">
                  <c:v>°</c:v>
                </c:pt>
              </c:strCache>
            </c:strRef>
          </c:tx>
          <c:spPr>
            <a:ln>
              <a:solidFill>
                <a:prstClr val="white">
                  <a:lumMod val="50000"/>
                </a:prstClr>
              </a:solidFill>
            </a:ln>
          </c:spPr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tool'!$AQ$2:$AQ$202</c:f>
              <c:numCache>
                <c:formatCode>General</c:formatCode>
                <c:ptCount val="201"/>
                <c:pt idx="0">
                  <c:v>179.71630797359106</c:v>
                </c:pt>
                <c:pt idx="1">
                  <c:v>179.69831149199501</c:v>
                </c:pt>
                <c:pt idx="2">
                  <c:v>179.67917341926537</c:v>
                </c:pt>
                <c:pt idx="3">
                  <c:v>179.6588213488827</c:v>
                </c:pt>
                <c:pt idx="4">
                  <c:v>179.63717828376278</c:v>
                </c:pt>
                <c:pt idx="5">
                  <c:v>179.61416234559798</c:v>
                </c:pt>
                <c:pt idx="6">
                  <c:v>179.5896864658726</c:v>
                </c:pt>
                <c:pt idx="7">
                  <c:v>179.56365805741311</c:v>
                </c:pt>
                <c:pt idx="8">
                  <c:v>179.53597866526471</c:v>
                </c:pt>
                <c:pt idx="9">
                  <c:v>179.50654359561699</c:v>
                </c:pt>
                <c:pt idx="10">
                  <c:v>179.47524152142529</c:v>
                </c:pt>
                <c:pt idx="11">
                  <c:v>179.44195406329729</c:v>
                </c:pt>
                <c:pt idx="12">
                  <c:v>179.4065553441329</c:v>
                </c:pt>
                <c:pt idx="13">
                  <c:v>179.36891151592212</c:v>
                </c:pt>
                <c:pt idx="14">
                  <c:v>179.32888025701706</c:v>
                </c:pt>
                <c:pt idx="15">
                  <c:v>179.28631023810539</c:v>
                </c:pt>
                <c:pt idx="16">
                  <c:v>179.24104055501917</c:v>
                </c:pt>
                <c:pt idx="17">
                  <c:v>179.19290012642031</c:v>
                </c:pt>
                <c:pt idx="18">
                  <c:v>179.14170705430726</c:v>
                </c:pt>
                <c:pt idx="19">
                  <c:v>179.08726794519302</c:v>
                </c:pt>
                <c:pt idx="20">
                  <c:v>179.02937718971083</c:v>
                </c:pt>
                <c:pt idx="21">
                  <c:v>178.96781619831066</c:v>
                </c:pt>
                <c:pt idx="22">
                  <c:v>178.90235259062348</c:v>
                </c:pt>
                <c:pt idx="23">
                  <c:v>178.83273933598917</c:v>
                </c:pt>
                <c:pt idx="24">
                  <c:v>178.75871384257232</c:v>
                </c:pt>
                <c:pt idx="25">
                  <c:v>178.67999699243262</c:v>
                </c:pt>
                <c:pt idx="26">
                  <c:v>178.59629211987576</c:v>
                </c:pt>
                <c:pt idx="27">
                  <c:v>178.50728393039176</c:v>
                </c:pt>
                <c:pt idx="28">
                  <c:v>178.41263735750064</c:v>
                </c:pt>
                <c:pt idx="29">
                  <c:v>178.31199635487107</c:v>
                </c:pt>
                <c:pt idx="30">
                  <c:v>178.20498262117431</c:v>
                </c:pt>
                <c:pt idx="31">
                  <c:v>178.09119425528627</c:v>
                </c:pt>
                <c:pt idx="32">
                  <c:v>177.9702043396762</c:v>
                </c:pt>
                <c:pt idx="33">
                  <c:v>177.84155945013106</c:v>
                </c:pt>
                <c:pt idx="34">
                  <c:v>177.7047780903869</c:v>
                </c:pt>
                <c:pt idx="35">
                  <c:v>177.55934905078914</c:v>
                </c:pt>
                <c:pt idx="36">
                  <c:v>177.40472969081708</c:v>
                </c:pt>
                <c:pt idx="37">
                  <c:v>177.24034414621414</c:v>
                </c:pt>
                <c:pt idx="38">
                  <c:v>177.0655814626061</c:v>
                </c:pt>
                <c:pt idx="39">
                  <c:v>176.87979365890968</c:v>
                </c:pt>
                <c:pt idx="40">
                  <c:v>176.68229372559497</c:v>
                </c:pt>
                <c:pt idx="41">
                  <c:v>176.47235356502256</c:v>
                </c:pt>
                <c:pt idx="42">
                  <c:v>176.24920188371914</c:v>
                </c:pt>
                <c:pt idx="43">
                  <c:v>176.01202204965821</c:v>
                </c:pt>
                <c:pt idx="44">
                  <c:v>175.75994993149138</c:v>
                </c:pt>
                <c:pt idx="45">
                  <c:v>175.49207174133582</c:v>
                </c:pt>
                <c:pt idx="46">
                  <c:v>175.20742190830723</c:v>
                </c:pt>
                <c:pt idx="47">
                  <c:v>174.90498101663661</c:v>
                </c:pt>
                <c:pt idx="48">
                  <c:v>174.58367385009652</c:v>
                </c:pt>
                <c:pt idx="49">
                  <c:v>174.2423675937606</c:v>
                </c:pt>
                <c:pt idx="50">
                  <c:v>173.87987025502792</c:v>
                </c:pt>
                <c:pt idx="51">
                  <c:v>173.49492937855319</c:v>
                </c:pt>
                <c:pt idx="52">
                  <c:v>173.086231144435</c:v>
                </c:pt>
                <c:pt idx="53">
                  <c:v>172.65239995590301</c:v>
                </c:pt>
                <c:pt idx="54">
                  <c:v>172.19199864195548</c:v>
                </c:pt>
                <c:pt idx="55">
                  <c:v>171.70352942201276</c:v>
                </c:pt>
                <c:pt idx="56">
                  <c:v>171.1854358036515</c:v>
                </c:pt>
                <c:pt idx="57">
                  <c:v>170.63610561069967</c:v>
                </c:pt>
                <c:pt idx="58">
                  <c:v>170.05387536702855</c:v>
                </c:pt>
                <c:pt idx="59">
                  <c:v>169.43703629060144</c:v>
                </c:pt>
                <c:pt idx="60">
                  <c:v>168.78384218167517</c:v>
                </c:pt>
                <c:pt idx="61">
                  <c:v>168.09251951693173</c:v>
                </c:pt>
                <c:pt idx="62">
                  <c:v>167.36128008556224</c:v>
                </c:pt>
                <c:pt idx="63">
                  <c:v>166.58833652096095</c:v>
                </c:pt>
                <c:pt idx="64">
                  <c:v>165.77192108887189</c:v>
                </c:pt>
                <c:pt idx="65">
                  <c:v>164.91030808471089</c:v>
                </c:pt>
                <c:pt idx="66">
                  <c:v>164.00184016349101</c:v>
                </c:pt>
                <c:pt idx="67">
                  <c:v>163.04495886847317</c:v>
                </c:pt>
                <c:pt idx="68">
                  <c:v>162.03823953181848</c:v>
                </c:pt>
                <c:pt idx="69">
                  <c:v>160.9804305843509</c:v>
                </c:pt>
                <c:pt idx="70">
                  <c:v>159.87049712487459</c:v>
                </c:pt>
                <c:pt idx="71">
                  <c:v>158.70766835686038</c:v>
                </c:pt>
                <c:pt idx="72">
                  <c:v>157.49148819964543</c:v>
                </c:pt>
                <c:pt idx="73">
                  <c:v>156.22186802571773</c:v>
                </c:pt>
                <c:pt idx="74">
                  <c:v>154.89914007583818</c:v>
                </c:pt>
                <c:pt idx="75">
                  <c:v>153.52410967981268</c:v>
                </c:pt>
                <c:pt idx="76">
                  <c:v>152.09810399389801</c:v>
                </c:pt>
                <c:pt idx="77">
                  <c:v>150.62301459868647</c:v>
                </c:pt>
                <c:pt idx="78">
                  <c:v>149.1013310363191</c:v>
                </c:pt>
                <c:pt idx="79">
                  <c:v>147.53616226118169</c:v>
                </c:pt>
                <c:pt idx="80">
                  <c:v>145.93124309078055</c:v>
                </c:pt>
                <c:pt idx="81">
                  <c:v>144.29092311939476</c:v>
                </c:pt>
                <c:pt idx="82">
                  <c:v>142.62013622058248</c:v>
                </c:pt>
                <c:pt idx="83">
                  <c:v>140.92434970741746</c:v>
                </c:pt>
                <c:pt idx="84">
                  <c:v>139.20949339319898</c:v>
                </c:pt>
                <c:pt idx="85">
                  <c:v>137.48187011064769</c:v>
                </c:pt>
                <c:pt idx="86">
                  <c:v>135.7480505795715</c:v>
                </c:pt>
                <c:pt idx="87">
                  <c:v>134.01475671694388</c:v>
                </c:pt>
                <c:pt idx="88">
                  <c:v>132.28873841584468</c:v>
                </c:pt>
                <c:pt idx="89">
                  <c:v>130.5766493628891</c:v>
                </c:pt>
                <c:pt idx="90">
                  <c:v>128.88492754640899</c:v>
                </c:pt>
                <c:pt idx="91">
                  <c:v>127.21968571880524</c:v>
                </c:pt>
                <c:pt idx="92">
                  <c:v>125.58661626746691</c:v>
                </c:pt>
                <c:pt idx="93">
                  <c:v>123.99091382334402</c:v>
                </c:pt>
                <c:pt idx="94">
                  <c:v>122.43721763192124</c:v>
                </c:pt>
                <c:pt idx="95">
                  <c:v>120.92957437492154</c:v>
                </c:pt>
                <c:pt idx="96">
                  <c:v>119.47142089627809</c:v>
                </c:pt>
                <c:pt idx="97">
                  <c:v>118.06558525570235</c:v>
                </c:pt>
                <c:pt idx="98">
                  <c:v>116.71430377032851</c:v>
                </c:pt>
                <c:pt idx="99">
                  <c:v>115.41925123094506</c:v>
                </c:pt>
                <c:pt idx="100">
                  <c:v>114.18158128011123</c:v>
                </c:pt>
                <c:pt idx="101">
                  <c:v>113.00197397522398</c:v>
                </c:pt>
                <c:pt idx="102">
                  <c:v>111.88068777591174</c:v>
                </c:pt>
                <c:pt idx="103">
                  <c:v>110.81761353333984</c:v>
                </c:pt>
                <c:pt idx="104">
                  <c:v>109.81232846408268</c:v>
                </c:pt>
                <c:pt idx="105">
                  <c:v>108.86414851682893</c:v>
                </c:pt>
                <c:pt idx="106">
                  <c:v>107.97217795116264</c:v>
                </c:pt>
                <c:pt idx="107">
                  <c:v>107.13535532012813</c:v>
                </c:pt>
                <c:pt idx="108">
                  <c:v>106.35249536853441</c:v>
                </c:pt>
                <c:pt idx="109">
                  <c:v>105.62232662147127</c:v>
                </c:pt>
                <c:pt idx="110">
                  <c:v>104.94352464279419</c:v>
                </c:pt>
                <c:pt idx="111">
                  <c:v>104.31474109585362</c:v>
                </c:pt>
                <c:pt idx="112">
                  <c:v>103.73462884523269</c:v>
                </c:pt>
                <c:pt idx="113">
                  <c:v>103.2018634063422</c:v>
                </c:pt>
                <c:pt idx="114">
                  <c:v>102.71516108708784</c:v>
                </c:pt>
                <c:pt idx="115">
                  <c:v>102.27329417952397</c:v>
                </c:pt>
                <c:pt idx="116">
                  <c:v>101.87510355563512</c:v>
                </c:pt>
                <c:pt idx="117">
                  <c:v>101.5195090052846</c:v>
                </c:pt>
                <c:pt idx="118">
                  <c:v>101.20551763007145</c:v>
                </c:pt>
                <c:pt idx="119">
                  <c:v>100.93223057751776</c:v>
                </c:pt>
                <c:pt idx="120">
                  <c:v>100.69884836804607</c:v>
                </c:pt>
                <c:pt idx="121">
                  <c:v>100.50467503424761</c:v>
                </c:pt>
                <c:pt idx="122">
                  <c:v>100.34912125911877</c:v>
                </c:pt>
                <c:pt idx="123">
                  <c:v>100.23170666790526</c:v>
                </c:pt>
                <c:pt idx="124">
                  <c:v>100.15206139727826</c:v>
                </c:pt>
                <c:pt idx="125">
                  <c:v>100.10992703585306</c:v>
                </c:pt>
                <c:pt idx="126">
                  <c:v>100.10515700142211</c:v>
                </c:pt>
                <c:pt idx="127">
                  <c:v>100.13771639250116</c:v>
                </c:pt>
                <c:pt idx="128">
                  <c:v>100.20768132452572</c:v>
                </c:pt>
                <c:pt idx="129">
                  <c:v>100.31523773394862</c:v>
                </c:pt>
                <c:pt idx="130">
                  <c:v>100.46067960617218</c:v>
                </c:pt>
                <c:pt idx="131">
                  <c:v>100.64440655536059</c:v>
                </c:pt>
                <c:pt idx="132">
                  <c:v>100.86692065537993</c:v>
                </c:pt>
                <c:pt idx="133">
                  <c:v>101.1288223912198</c:v>
                </c:pt>
                <c:pt idx="134">
                  <c:v>101.43080556913014</c:v>
                </c:pt>
                <c:pt idx="135">
                  <c:v>101.7736509915074</c:v>
                </c:pt>
                <c:pt idx="136">
                  <c:v>102.15821866962146</c:v>
                </c:pt>
                <c:pt idx="137">
                  <c:v>102.58543831434227</c:v>
                </c:pt>
                <c:pt idx="138">
                  <c:v>103.05629781324856</c:v>
                </c:pt>
                <c:pt idx="139">
                  <c:v>103.57182937367295</c:v>
                </c:pt>
                <c:pt idx="140">
                  <c:v>104.13309298779717</c:v>
                </c:pt>
                <c:pt idx="141">
                  <c:v>104.74115686118343</c:v>
                </c:pt>
                <c:pt idx="142">
                  <c:v>105.39707444437151</c:v>
                </c:pt>
                <c:pt idx="143">
                  <c:v>106.1018577236886</c:v>
                </c:pt>
                <c:pt idx="144">
                  <c:v>106.85644646852411</c:v>
                </c:pt>
                <c:pt idx="145">
                  <c:v>107.66167320519297</c:v>
                </c:pt>
                <c:pt idx="146">
                  <c:v>108.51822379986783</c:v>
                </c:pt>
                <c:pt idx="147">
                  <c:v>109.42659369247683</c:v>
                </c:pt>
                <c:pt idx="148">
                  <c:v>110.38704003645944</c:v>
                </c:pt>
                <c:pt idx="149">
                  <c:v>111.39953026990655</c:v>
                </c:pt>
                <c:pt idx="150">
                  <c:v>112.46368797166888</c:v>
                </c:pt>
                <c:pt idx="151">
                  <c:v>113.57873723504808</c:v>
                </c:pt>
                <c:pt idx="152">
                  <c:v>114.7434472066806</c:v>
                </c:pt>
                <c:pt idx="153">
                  <c:v>115.95607886385477</c:v>
                </c:pt>
                <c:pt idx="154">
                  <c:v>117.21433650303648</c:v>
                </c:pt>
                <c:pt idx="155">
                  <c:v>118.51532673811295</c:v>
                </c:pt>
                <c:pt idx="156">
                  <c:v>119.8555280030109</c:v>
                </c:pt>
                <c:pt idx="157">
                  <c:v>121.23077356124121</c:v>
                </c:pt>
                <c:pt idx="158">
                  <c:v>122.63625079165776</c:v>
                </c:pt>
                <c:pt idx="159">
                  <c:v>124.06651900832399</c:v>
                </c:pt>
                <c:pt idx="160">
                  <c:v>125.51554727321158</c:v>
                </c:pt>
                <c:pt idx="161">
                  <c:v>126.97677260053564</c:v>
                </c:pt>
                <c:pt idx="162">
                  <c:v>128.44317769942569</c:v>
                </c:pt>
                <c:pt idx="163">
                  <c:v>129.90738606540415</c:v>
                </c:pt>
                <c:pt idx="164">
                  <c:v>131.36177094760001</c:v>
                </c:pt>
                <c:pt idx="165">
                  <c:v>132.79857363492326</c:v>
                </c:pt>
                <c:pt idx="166">
                  <c:v>134.21002575486881</c:v>
                </c:pt>
                <c:pt idx="167">
                  <c:v>135.58846996092495</c:v>
                </c:pt>
                <c:pt idx="168">
                  <c:v>136.92647354213651</c:v>
                </c:pt>
                <c:pt idx="169">
                  <c:v>138.2169301018034</c:v>
                </c:pt>
                <c:pt idx="170">
                  <c:v>139.4531454431704</c:v>
                </c:pt>
                <c:pt idx="171">
                  <c:v>140.62890504575105</c:v>
                </c:pt>
                <c:pt idx="172">
                  <c:v>141.73852187174151</c:v>
                </c:pt>
                <c:pt idx="173">
                  <c:v>142.77686456483863</c:v>
                </c:pt>
                <c:pt idx="174">
                  <c:v>143.73936727308109</c:v>
                </c:pt>
                <c:pt idx="175">
                  <c:v>144.6220232588316</c:v>
                </c:pt>
                <c:pt idx="176">
                  <c:v>145.42136510990994</c:v>
                </c:pt>
                <c:pt idx="177">
                  <c:v>146.13443473242341</c:v>
                </c:pt>
                <c:pt idx="178">
                  <c:v>146.75874641503776</c:v>
                </c:pt>
                <c:pt idx="179">
                  <c:v>147.29224615331066</c:v>
                </c:pt>
                <c:pt idx="180">
                  <c:v>147.73327016705301</c:v>
                </c:pt>
                <c:pt idx="181">
                  <c:v>148.08050518872864</c:v>
                </c:pt>
                <c:pt idx="182">
                  <c:v>148.33295269461098</c:v>
                </c:pt>
                <c:pt idx="183">
                  <c:v>148.48989882959648</c:v>
                </c:pt>
                <c:pt idx="184">
                  <c:v>148.55089136562987</c:v>
                </c:pt>
                <c:pt idx="185">
                  <c:v>148.51572464502144</c:v>
                </c:pt>
                <c:pt idx="186">
                  <c:v>148.38443309589795</c:v>
                </c:pt>
                <c:pt idx="187">
                  <c:v>148.15729356220339</c:v>
                </c:pt>
                <c:pt idx="188">
                  <c:v>147.83483635475341</c:v>
                </c:pt>
                <c:pt idx="189">
                  <c:v>147.41786459045335</c:v>
                </c:pt>
                <c:pt idx="190">
                  <c:v>146.90748103230925</c:v>
                </c:pt>
                <c:pt idx="191">
                  <c:v>146.30512126538062</c:v>
                </c:pt>
                <c:pt idx="192">
                  <c:v>145.6125916418888</c:v>
                </c:pt>
                <c:pt idx="193">
                  <c:v>144.83211000997957</c:v>
                </c:pt>
                <c:pt idx="194">
                  <c:v>143.96634682405437</c:v>
                </c:pt>
                <c:pt idx="195">
                  <c:v>143.01846385144461</c:v>
                </c:pt>
                <c:pt idx="196">
                  <c:v>141.99214738383677</c:v>
                </c:pt>
                <c:pt idx="197">
                  <c:v>140.89163268489051</c:v>
                </c:pt>
                <c:pt idx="198">
                  <c:v>139.72171641451482</c:v>
                </c:pt>
                <c:pt idx="199">
                  <c:v>138.48775401747739</c:v>
                </c:pt>
                <c:pt idx="200">
                  <c:v>137.19563958674607</c:v>
                </c:pt>
              </c:numCache>
            </c:numRef>
          </c:yVal>
          <c:smooth val="1"/>
        </c:ser>
        <c:axId val="146840576"/>
        <c:axId val="146740352"/>
      </c:scatterChart>
      <c:valAx>
        <c:axId val="146840576"/>
        <c:scaling>
          <c:logBase val="10"/>
          <c:orientation val="minMax"/>
          <c:max val="3000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9475471607955315"/>
              <c:y val="0.9391336078140432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46740352"/>
        <c:crosses val="autoZero"/>
        <c:crossBetween val="midCat"/>
        <c:majorUnit val="10"/>
      </c:valAx>
      <c:valAx>
        <c:axId val="146740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46840576"/>
        <c:crosses val="autoZero"/>
        <c:crossBetween val="midCat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0"/>
            </a:pPr>
            <a:r>
              <a:rPr lang="en-US" b="0"/>
              <a:t>|</a:t>
            </a:r>
            <a:r>
              <a:rPr lang="en-US" b="0" baseline="0"/>
              <a:t>Verr/Vout| (Compensator)</a:t>
            </a:r>
            <a:endParaRPr lang="en-US" b="0"/>
          </a:p>
        </c:rich>
      </c:tx>
      <c:layout>
        <c:manualLayout>
          <c:xMode val="edge"/>
          <c:yMode val="edge"/>
          <c:x val="0.14019161043300465"/>
          <c:y val="1.6510730276362525E-3"/>
        </c:manualLayout>
      </c:layout>
    </c:title>
    <c:plotArea>
      <c:layout>
        <c:manualLayout>
          <c:layoutTarget val="inner"/>
          <c:xMode val="edge"/>
          <c:yMode val="edge"/>
          <c:x val="0.13876933299042599"/>
          <c:y val="0.13199536822603058"/>
          <c:w val="0.78456038079045487"/>
          <c:h val="0.74045082599969125"/>
        </c:manualLayout>
      </c:layout>
      <c:scatterChart>
        <c:scatterStyle val="smoothMarker"/>
        <c:ser>
          <c:idx val="0"/>
          <c:order val="0"/>
          <c:tx>
            <c:v>db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tool'!$AR$2:$AR$201</c:f>
              <c:numCache>
                <c:formatCode>General</c:formatCode>
                <c:ptCount val="200"/>
                <c:pt idx="0">
                  <c:v>43.980946238866039</c:v>
                </c:pt>
                <c:pt idx="1">
                  <c:v>43.980932082374089</c:v>
                </c:pt>
                <c:pt idx="2">
                  <c:v>43.980916072852061</c:v>
                </c:pt>
                <c:pt idx="3">
                  <c:v>43.980897967753933</c:v>
                </c:pt>
                <c:pt idx="4">
                  <c:v>43.980877492788153</c:v>
                </c:pt>
                <c:pt idx="5">
                  <c:v>43.980854337764626</c:v>
                </c:pt>
                <c:pt idx="6">
                  <c:v>43.980828151895807</c:v>
                </c:pt>
                <c:pt idx="7">
                  <c:v>43.980798538485558</c:v>
                </c:pt>
                <c:pt idx="8">
                  <c:v>43.980765048921491</c:v>
                </c:pt>
                <c:pt idx="9">
                  <c:v>43.980727175882699</c:v>
                </c:pt>
                <c:pt idx="10">
                  <c:v>43.980684345658865</c:v>
                </c:pt>
                <c:pt idx="11">
                  <c:v>43.980635909465164</c:v>
                </c:pt>
                <c:pt idx="12">
                  <c:v>43.980581133621968</c:v>
                </c:pt>
                <c:pt idx="13">
                  <c:v>43.980519188450124</c:v>
                </c:pt>
                <c:pt idx="14">
                  <c:v>43.980449135716313</c:v>
                </c:pt>
                <c:pt idx="15">
                  <c:v>43.980369914437254</c:v>
                </c:pt>
                <c:pt idx="16">
                  <c:v>43.980280324829536</c:v>
                </c:pt>
                <c:pt idx="17">
                  <c:v>43.98017901016388</c:v>
                </c:pt>
                <c:pt idx="18">
                  <c:v>43.980064436250714</c:v>
                </c:pt>
                <c:pt idx="19">
                  <c:v>43.979934868247987</c:v>
                </c:pt>
                <c:pt idx="20">
                  <c:v>43.979788344444238</c:v>
                </c:pt>
                <c:pt idx="21">
                  <c:v>43.979622646623099</c:v>
                </c:pt>
                <c:pt idx="22">
                  <c:v>43.97943526656541</c:v>
                </c:pt>
                <c:pt idx="23">
                  <c:v>43.979223368189409</c:v>
                </c:pt>
                <c:pt idx="24">
                  <c:v>43.978983744761926</c:v>
                </c:pt>
                <c:pt idx="25">
                  <c:v>43.978712770545627</c:v>
                </c:pt>
                <c:pt idx="26">
                  <c:v>43.978406346161648</c:v>
                </c:pt>
                <c:pt idx="27">
                  <c:v>43.978059836860091</c:v>
                </c:pt>
                <c:pt idx="28">
                  <c:v>43.977668002784576</c:v>
                </c:pt>
                <c:pt idx="29">
                  <c:v>43.977224920204108</c:v>
                </c:pt>
                <c:pt idx="30">
                  <c:v>43.976723892557445</c:v>
                </c:pt>
                <c:pt idx="31">
                  <c:v>43.976157350009601</c:v>
                </c:pt>
                <c:pt idx="32">
                  <c:v>43.975516736059681</c:v>
                </c:pt>
                <c:pt idx="33">
                  <c:v>43.974792379562395</c:v>
                </c:pt>
                <c:pt idx="34">
                  <c:v>43.973973350323277</c:v>
                </c:pt>
                <c:pt idx="35">
                  <c:v>43.973047296207668</c:v>
                </c:pt>
                <c:pt idx="36">
                  <c:v>43.9720002594607</c:v>
                </c:pt>
                <c:pt idx="37">
                  <c:v>43.970816469661997</c:v>
                </c:pt>
                <c:pt idx="38">
                  <c:v>43.969478110445444</c:v>
                </c:pt>
                <c:pt idx="39">
                  <c:v>43.967965056789915</c:v>
                </c:pt>
                <c:pt idx="40">
                  <c:v>43.966254579329899</c:v>
                </c:pt>
                <c:pt idx="41">
                  <c:v>43.964321011761143</c:v>
                </c:pt>
                <c:pt idx="42">
                  <c:v>43.962135377000465</c:v>
                </c:pt>
                <c:pt idx="43">
                  <c:v>43.959664967328948</c:v>
                </c:pt>
                <c:pt idx="44">
                  <c:v>43.956872873293122</c:v>
                </c:pt>
                <c:pt idx="45">
                  <c:v>43.953717455666983</c:v>
                </c:pt>
                <c:pt idx="46">
                  <c:v>43.950151754305587</c:v>
                </c:pt>
                <c:pt idx="47">
                  <c:v>43.946122827254953</c:v>
                </c:pt>
                <c:pt idx="48">
                  <c:v>43.941571013044708</c:v>
                </c:pt>
                <c:pt idx="49">
                  <c:v>43.936429108707969</c:v>
                </c:pt>
                <c:pt idx="50">
                  <c:v>43.9306214557731</c:v>
                </c:pt>
                <c:pt idx="51">
                  <c:v>43.924062926307776</c:v>
                </c:pt>
                <c:pt idx="52">
                  <c:v>43.916657801114887</c:v>
                </c:pt>
                <c:pt idx="53">
                  <c:v>43.908298532460009</c:v>
                </c:pt>
                <c:pt idx="54">
                  <c:v>43.898864384334985</c:v>
                </c:pt>
                <c:pt idx="55">
                  <c:v>43.888219944342225</c:v>
                </c:pt>
                <c:pt idx="56">
                  <c:v>43.876213502955721</c:v>
                </c:pt>
                <c:pt idx="57">
                  <c:v>43.86267529832574</c:v>
                </c:pt>
                <c:pt idx="58">
                  <c:v>43.847415628135373</c:v>
                </c:pt>
                <c:pt idx="59">
                  <c:v>43.830222834498045</c:v>
                </c:pt>
                <c:pt idx="60">
                  <c:v>43.810861173725264</c:v>
                </c:pt>
                <c:pt idx="61">
                  <c:v>43.789068590253393</c:v>
                </c:pt>
                <c:pt idx="62">
                  <c:v>43.764554423327667</c:v>
                </c:pt>
                <c:pt idx="63">
                  <c:v>43.736997086429085</c:v>
                </c:pt>
                <c:pt idx="64">
                  <c:v>43.706041773062353</c:v>
                </c:pt>
                <c:pt idx="65">
                  <c:v>43.671298258462386</c:v>
                </c:pt>
                <c:pt idx="66">
                  <c:v>43.632338884926753</c:v>
                </c:pt>
                <c:pt idx="67">
                  <c:v>43.588696838516647</c:v>
                </c:pt>
                <c:pt idx="68">
                  <c:v>43.539864846117439</c:v>
                </c:pt>
                <c:pt idx="69">
                  <c:v>43.485294443238168</c:v>
                </c:pt>
                <c:pt idx="70">
                  <c:v>43.424395982855664</c:v>
                </c:pt>
                <c:pt idx="71">
                  <c:v>43.356539571874684</c:v>
                </c:pt>
                <c:pt idx="72">
                  <c:v>43.281057131596313</c:v>
                </c:pt>
                <c:pt idx="73">
                  <c:v>43.197245778584374</c:v>
                </c:pt>
                <c:pt idx="74">
                  <c:v>43.104372708790699</c:v>
                </c:pt>
                <c:pt idx="75">
                  <c:v>43.001681736968322</c:v>
                </c:pt>
                <c:pt idx="76">
                  <c:v>42.888401592027215</c:v>
                </c:pt>
                <c:pt idx="77">
                  <c:v>42.763755994993311</c:v>
                </c:pt>
                <c:pt idx="78">
                  <c:v>42.626975449587107</c:v>
                </c:pt>
                <c:pt idx="79">
                  <c:v>42.477310558951061</c:v>
                </c:pt>
                <c:pt idx="80">
                  <c:v>42.314046552026056</c:v>
                </c:pt>
                <c:pt idx="81">
                  <c:v>42.136518569555719</c:v>
                </c:pt>
                <c:pt idx="82">
                  <c:v>41.944127136065489</c:v>
                </c:pt>
                <c:pt idx="83">
                  <c:v>41.736353145944008</c:v>
                </c:pt>
                <c:pt idx="84">
                  <c:v>41.512771634614374</c:v>
                </c:pt>
                <c:pt idx="85">
                  <c:v>41.273063602939246</c:v>
                </c:pt>
                <c:pt idx="86">
                  <c:v>41.017025222487717</c:v>
                </c:pt>
                <c:pt idx="87">
                  <c:v>40.744573871715239</c:v>
                </c:pt>
                <c:pt idx="88">
                  <c:v>40.455750630497704</c:v>
                </c:pt>
                <c:pt idx="89">
                  <c:v>40.15071907671539</c:v>
                </c:pt>
                <c:pt idx="90">
                  <c:v>39.829760461507256</c:v>
                </c:pt>
                <c:pt idx="91">
                  <c:v>39.493265564569825</c:v>
                </c:pt>
                <c:pt idx="92">
                  <c:v>39.141723723908854</c:v>
                </c:pt>
                <c:pt idx="93">
                  <c:v>38.775709677244187</c:v>
                </c:pt>
                <c:pt idx="94">
                  <c:v>38.395868933902634</c:v>
                </c:pt>
                <c:pt idx="95">
                  <c:v>38.002902414204826</c:v>
                </c:pt>
                <c:pt idx="96">
                  <c:v>37.597551053733923</c:v>
                </c:pt>
                <c:pt idx="97">
                  <c:v>37.180580984193654</c:v>
                </c:pt>
                <c:pt idx="98">
                  <c:v>36.75276978594669</c:v>
                </c:pt>
                <c:pt idx="99">
                  <c:v>36.314894175608295</c:v>
                </c:pt>
                <c:pt idx="100">
                  <c:v>35.867719359562301</c:v>
                </c:pt>
                <c:pt idx="101">
                  <c:v>35.411990162243022</c:v>
                </c:pt>
                <c:pt idx="102">
                  <c:v>34.948423934098777</c:v>
                </c:pt>
                <c:pt idx="103">
                  <c:v>34.477705162268251</c:v>
                </c:pt>
                <c:pt idx="104">
                  <c:v>34.000481648033428</c:v>
                </c:pt>
                <c:pt idx="105">
                  <c:v>33.517362077589013</c:v>
                </c:pt>
                <c:pt idx="106">
                  <c:v>33.02891479367122</c:v>
                </c:pt>
                <c:pt idx="107">
                  <c:v>32.535667571456209</c:v>
                </c:pt>
                <c:pt idx="108">
                  <c:v>32.038108209098752</c:v>
                </c:pt>
                <c:pt idx="109">
                  <c:v>31.536685757811153</c:v>
                </c:pt>
                <c:pt idx="110">
                  <c:v>31.031812235489848</c:v>
                </c:pt>
                <c:pt idx="111">
                  <c:v>30.523864689177231</c:v>
                </c:pt>
                <c:pt idx="112">
                  <c:v>30.013187493290914</c:v>
                </c:pt>
                <c:pt idx="113">
                  <c:v>29.500094791340569</c:v>
                </c:pt>
                <c:pt idx="114">
                  <c:v>28.984873007949492</c:v>
                </c:pt>
                <c:pt idx="115">
                  <c:v>28.467783375013312</c:v>
                </c:pt>
                <c:pt idx="116">
                  <c:v>27.949064430559091</c:v>
                </c:pt>
                <c:pt idx="117">
                  <c:v>27.4289344613527</c:v>
                </c:pt>
                <c:pt idx="118">
                  <c:v>26.907593870671889</c:v>
                </c:pt>
                <c:pt idx="119">
                  <c:v>26.385227461125776</c:v>
                </c:pt>
                <c:pt idx="120">
                  <c:v>25.862006629187341</c:v>
                </c:pt>
                <c:pt idx="121">
                  <c:v>25.338091473475281</c:v>
                </c:pt>
                <c:pt idx="122">
                  <c:v>24.81363282298307</c:v>
                </c:pt>
                <c:pt idx="123">
                  <c:v>24.288774194635607</c:v>
                </c:pt>
                <c:pt idx="124">
                  <c:v>23.763653691924862</c:v>
                </c:pt>
                <c:pt idx="125">
                  <c:v>23.238405858091507</c:v>
                </c:pt>
                <c:pt idx="126">
                  <c:v>22.713163498494787</c:v>
                </c:pt>
                <c:pt idx="127">
                  <c:v>22.1880594875398</c:v>
                </c:pt>
                <c:pt idx="128">
                  <c:v>21.663228575859673</c:v>
                </c:pt>
                <c:pt idx="129">
                  <c:v>21.13880921341309</c:v>
                </c:pt>
                <c:pt idx="130">
                  <c:v>20.614945403753243</c:v>
                </c:pt>
                <c:pt idx="131">
                  <c:v>20.091788603911414</c:v>
                </c:pt>
                <c:pt idx="132">
                  <c:v>19.569499683073989</c:v>
                </c:pt>
                <c:pt idx="133">
                  <c:v>19.04825095140146</c:v>
                </c:pt>
                <c:pt idx="134">
                  <c:v>18.528228267837314</c:v>
                </c:pt>
                <c:pt idx="135">
                  <c:v>18.009633232421358</c:v>
                </c:pt>
                <c:pt idx="136">
                  <c:v>17.492685464268966</c:v>
                </c:pt>
                <c:pt idx="137">
                  <c:v>16.977624960794408</c:v>
                </c:pt>
                <c:pt idx="138">
                  <c:v>16.46471452671312</c:v>
                </c:pt>
                <c:pt idx="139">
                  <c:v>15.954242252602642</c:v>
                </c:pt>
                <c:pt idx="140">
                  <c:v>15.446524012104625</c:v>
                </c:pt>
                <c:pt idx="141">
                  <c:v>14.941905934007842</c:v>
                </c:pt>
                <c:pt idx="142">
                  <c:v>14.440766790343762</c:v>
                </c:pt>
                <c:pt idx="143">
                  <c:v>13.943520224246061</c:v>
                </c:pt>
                <c:pt idx="144">
                  <c:v>13.450616721880015</c:v>
                </c:pt>
                <c:pt idx="145">
                  <c:v>12.962545211708324</c:v>
                </c:pt>
                <c:pt idx="146">
                  <c:v>12.479834152574028</c:v>
                </c:pt>
                <c:pt idx="147">
                  <c:v>12.003051950875527</c:v>
                </c:pt>
                <c:pt idx="148">
                  <c:v>11.532806528350324</c:v>
                </c:pt>
                <c:pt idx="149">
                  <c:v>11.069743848156055</c:v>
                </c:pt>
                <c:pt idx="150">
                  <c:v>10.614545201133369</c:v>
                </c:pt>
                <c:pt idx="151">
                  <c:v>10.167923059896992</c:v>
                </c:pt>
                <c:pt idx="152">
                  <c:v>9.7306153295396971</c:v>
                </c:pt>
                <c:pt idx="153">
                  <c:v>9.3033778638270785</c:v>
                </c:pt>
                <c:pt idx="154">
                  <c:v>8.8869751775862493</c:v>
                </c:pt>
                <c:pt idx="155">
                  <c:v>8.4821693707434349</c:v>
                </c:pt>
                <c:pt idx="156">
                  <c:v>8.089707385895295</c:v>
                </c:pt>
                <c:pt idx="157">
                  <c:v>7.7103068449793728</c:v>
                </c:pt>
                <c:pt idx="158">
                  <c:v>7.3446408434140187</c:v>
                </c:pt>
                <c:pt idx="159">
                  <c:v>6.9933222102652532</c:v>
                </c:pt>
                <c:pt idx="160">
                  <c:v>6.6568878559386739</c:v>
                </c:pt>
                <c:pt idx="161">
                  <c:v>6.3357839087076959</c:v>
                </c:pt>
                <c:pt idx="162">
                  <c:v>6.0303523732517235</c:v>
                </c:pt>
                <c:pt idx="163">
                  <c:v>5.7408200172464685</c:v>
                </c:pt>
                <c:pt idx="164">
                  <c:v>5.4672901012588184</c:v>
                </c:pt>
                <c:pt idx="165">
                  <c:v>5.2097374162377506</c:v>
                </c:pt>
                <c:pt idx="166">
                  <c:v>4.9680068938315749</c:v>
                </c:pt>
                <c:pt idx="167">
                  <c:v>4.7418158270133439</c:v>
                </c:pt>
                <c:pt idx="168">
                  <c:v>4.5307595060494137</c:v>
                </c:pt>
                <c:pt idx="169">
                  <c:v>4.3343198624508732</c:v>
                </c:pt>
                <c:pt idx="170">
                  <c:v>4.1518765427836506</c:v>
                </c:pt>
                <c:pt idx="171">
                  <c:v>3.9827197202361346</c:v>
                </c:pt>
                <c:pt idx="172">
                  <c:v>3.8260639015016911</c:v>
                </c:pt>
                <c:pt idx="173">
                  <c:v>3.6810619982157124</c:v>
                </c:pt>
                <c:pt idx="174">
                  <c:v>3.5468189971065249</c:v>
                </c:pt>
                <c:pt idx="175">
                  <c:v>3.422404667620139</c:v>
                </c:pt>
                <c:pt idx="176">
                  <c:v>3.3068648744206266</c:v>
                </c:pt>
                <c:pt idx="177">
                  <c:v>3.1992311997294043</c:v>
                </c:pt>
                <c:pt idx="178">
                  <c:v>3.0985287141706968</c:v>
                </c:pt>
                <c:pt idx="179">
                  <c:v>3.0037818553493674</c:v>
                </c:pt>
                <c:pt idx="180">
                  <c:v>2.9140184752301579</c:v>
                </c:pt>
                <c:pt idx="181">
                  <c:v>2.8282721983911694</c:v>
                </c:pt>
                <c:pt idx="182">
                  <c:v>2.7455832939482976</c:v>
                </c:pt>
                <c:pt idx="183">
                  <c:v>2.6649983067961247</c:v>
                </c:pt>
                <c:pt idx="184">
                  <c:v>2.5855687221637518</c:v>
                </c:pt>
                <c:pt idx="185">
                  <c:v>2.5063489549132218</c:v>
                </c:pt>
                <c:pt idx="186">
                  <c:v>2.4263939647761186</c:v>
                </c:pt>
                <c:pt idx="187">
                  <c:v>2.3447568032628685</c:v>
                </c:pt>
                <c:pt idx="188">
                  <c:v>2.2604863987450736</c:v>
                </c:pt>
                <c:pt idx="189">
                  <c:v>2.1726258834545087</c:v>
                </c:pt>
                <c:pt idx="190">
                  <c:v>2.080211758946314</c:v>
                </c:pt>
                <c:pt idx="191">
                  <c:v>1.9822741829129007</c:v>
                </c:pt>
                <c:pt idx="192">
                  <c:v>1.87783863717082</c:v>
                </c:pt>
                <c:pt idx="193">
                  <c:v>1.765929200688551</c:v>
                </c:pt>
                <c:pt idx="194">
                  <c:v>1.645573599119547</c:v>
                </c:pt>
                <c:pt idx="195">
                  <c:v>1.5158101305221152</c:v>
                </c:pt>
                <c:pt idx="196">
                  <c:v>1.3756964742895303</c:v>
                </c:pt>
                <c:pt idx="197">
                  <c:v>1.2243202776065107</c:v>
                </c:pt>
                <c:pt idx="198">
                  <c:v>1.060811284965697</c:v>
                </c:pt>
                <c:pt idx="199">
                  <c:v>0.88435463904021849</c:v>
                </c:pt>
              </c:numCache>
            </c:numRef>
          </c:yVal>
          <c:smooth val="1"/>
        </c:ser>
        <c:axId val="146761216"/>
        <c:axId val="146763136"/>
      </c:scatterChart>
      <c:valAx>
        <c:axId val="146761216"/>
        <c:scaling>
          <c:logBase val="10"/>
          <c:orientation val="minMax"/>
          <c:max val="3000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7507655260957762"/>
              <c:y val="0.93931542380731814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46763136"/>
        <c:crosses val="autoZero"/>
        <c:crossBetween val="midCat"/>
        <c:majorUnit val="10"/>
      </c:valAx>
      <c:valAx>
        <c:axId val="146763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46761216"/>
        <c:crosses val="autoZero"/>
        <c:crossBetween val="midCat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0"/>
            </a:pPr>
            <a:r>
              <a:rPr lang="en-US" b="0"/>
              <a:t>Phase of </a:t>
            </a:r>
            <a:r>
              <a:rPr lang="en-US" b="0" baseline="0"/>
              <a:t>Vout/Verr </a:t>
            </a:r>
            <a:endParaRPr lang="en-US" b="0"/>
          </a:p>
        </c:rich>
      </c:tx>
      <c:layout>
        <c:manualLayout>
          <c:xMode val="edge"/>
          <c:yMode val="edge"/>
          <c:x val="0.23918789667888732"/>
          <c:y val="0"/>
        </c:manualLayout>
      </c:layout>
    </c:title>
    <c:plotArea>
      <c:layout>
        <c:manualLayout>
          <c:layoutTarget val="inner"/>
          <c:xMode val="edge"/>
          <c:yMode val="edge"/>
          <c:x val="0.15616027688677264"/>
          <c:y val="0.11839552984673365"/>
          <c:w val="0.76041230848923158"/>
          <c:h val="0.75667230187790446"/>
        </c:manualLayout>
      </c:layout>
      <c:scatterChart>
        <c:scatterStyle val="smoothMarker"/>
        <c:ser>
          <c:idx val="0"/>
          <c:order val="0"/>
          <c:tx>
            <c:strRef>
              <c:f>'[1]8. Loop Compensation'!$AQ$1</c:f>
              <c:strCache>
                <c:ptCount val="1"/>
                <c:pt idx="0">
                  <c:v>°</c:v>
                </c:pt>
              </c:strCache>
            </c:strRef>
          </c:tx>
          <c:spPr>
            <a:ln>
              <a:solidFill>
                <a:prstClr val="white">
                  <a:lumMod val="50000"/>
                </a:prstClr>
              </a:solidFill>
            </a:ln>
          </c:spPr>
          <c:marker>
            <c:symbol val="none"/>
          </c:marker>
          <c:xVal>
            <c:numRef>
              <c:f>'[1]8.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'[1]8. Loop Compensation'!$AI$2:$AI$202</c:f>
              <c:numCache>
                <c:formatCode>General</c:formatCode>
                <c:ptCount val="201"/>
                <c:pt idx="0">
                  <c:v>-0.23927531200898353</c:v>
                </c:pt>
                <c:pt idx="1">
                  <c:v>-0.25445422772829379</c:v>
                </c:pt>
                <c:pt idx="2">
                  <c:v>-0.27059602160855623</c:v>
                </c:pt>
                <c:pt idx="3">
                  <c:v>-0.28776176854376251</c:v>
                </c:pt>
                <c:pt idx="4">
                  <c:v>-0.30601641626158638</c:v>
                </c:pt>
                <c:pt idx="5">
                  <c:v>-0.32542903067810408</c:v>
                </c:pt>
                <c:pt idx="6">
                  <c:v>-0.34607305675054162</c:v>
                </c:pt>
                <c:pt idx="7">
                  <c:v>-0.36802659579766672</c:v>
                </c:pt>
                <c:pt idx="8">
                  <c:v>-0.39137270031624344</c:v>
                </c:pt>
                <c:pt idx="9">
                  <c:v>-0.41619968738389718</c:v>
                </c:pt>
                <c:pt idx="10">
                  <c:v>-0.44260147180396053</c:v>
                </c:pt>
                <c:pt idx="11">
                  <c:v>-0.4706779202164183</c:v>
                </c:pt>
                <c:pt idx="12">
                  <c:v>-0.50053522747096824</c:v>
                </c:pt>
                <c:pt idx="13">
                  <c:v>-0.53228631663358184</c:v>
                </c:pt>
                <c:pt idx="14">
                  <c:v>-0.56605126407666728</c:v>
                </c:pt>
                <c:pt idx="15">
                  <c:v>-0.60195775118496531</c:v>
                </c:pt>
                <c:pt idx="16">
                  <c:v>-0.64014154429451198</c:v>
                </c:pt>
                <c:pt idx="17">
                  <c:v>-0.68074700457035575</c:v>
                </c:pt>
                <c:pt idx="18">
                  <c:v>-0.72392762961934531</c:v>
                </c:pt>
                <c:pt idx="19">
                  <c:v>-0.7698466287279716</c:v>
                </c:pt>
                <c:pt idx="20">
                  <c:v>-0.81867753370958052</c:v>
                </c:pt>
                <c:pt idx="21">
                  <c:v>-0.87060484744162547</c:v>
                </c:pt>
                <c:pt idx="22">
                  <c:v>-0.92582473226935946</c:v>
                </c:pt>
                <c:pt idx="23">
                  <c:v>-0.98454574054702648</c:v>
                </c:pt>
                <c:pt idx="24">
                  <c:v>-1.046989589679993</c:v>
                </c:pt>
                <c:pt idx="25">
                  <c:v>-1.1133919841180082</c:v>
                </c:pt>
                <c:pt idx="26">
                  <c:v>-1.184003486830947</c:v>
                </c:pt>
                <c:pt idx="27">
                  <c:v>-1.25909044286813</c:v>
                </c:pt>
                <c:pt idx="28">
                  <c:v>-1.3389359576592914</c:v>
                </c:pt>
                <c:pt idx="29">
                  <c:v>-1.423840932754149</c:v>
                </c:pt>
                <c:pt idx="30">
                  <c:v>-1.5141251617122169</c:v>
                </c:pt>
                <c:pt idx="31">
                  <c:v>-1.6101284888399865</c:v>
                </c:pt>
                <c:pt idx="32">
                  <c:v>-1.7122120334188695</c:v>
                </c:pt>
                <c:pt idx="33">
                  <c:v>-1.820759481966252</c:v>
                </c:pt>
                <c:pt idx="34">
                  <c:v>-1.9361784509111435</c:v>
                </c:pt>
                <c:pt idx="35">
                  <c:v>-2.0589019218305231</c:v>
                </c:pt>
                <c:pt idx="36">
                  <c:v>-2.1893897510670457</c:v>
                </c:pt>
                <c:pt idx="37">
                  <c:v>-2.3281302551108847</c:v>
                </c:pt>
                <c:pt idx="38">
                  <c:v>-2.4756418725558538</c:v>
                </c:pt>
                <c:pt idx="39">
                  <c:v>-2.6324749027012446</c:v>
                </c:pt>
                <c:pt idx="40">
                  <c:v>-2.7992133199336693</c:v>
                </c:pt>
                <c:pt idx="41">
                  <c:v>-2.9764766618443934</c:v>
                </c:pt>
                <c:pt idx="42">
                  <c:v>-3.164921987570589</c:v>
                </c:pt>
                <c:pt idx="43">
                  <c:v>-3.3652459010351654</c:v>
                </c:pt>
                <c:pt idx="44">
                  <c:v>-3.5781866315330149</c:v>
                </c:pt>
                <c:pt idx="45">
                  <c:v>-3.804526161393651</c:v>
                </c:pt>
                <c:pt idx="46">
                  <c:v>-4.0450923871503175</c:v>
                </c:pt>
                <c:pt idx="47">
                  <c:v>-4.3007612966594388</c:v>
                </c:pt>
                <c:pt idx="48">
                  <c:v>-4.5724591398221559</c:v>
                </c:pt>
                <c:pt idx="49">
                  <c:v>-4.8611645648267992</c:v>
                </c:pt>
                <c:pt idx="50">
                  <c:v>-5.1679106850031022</c:v>
                </c:pt>
                <c:pt idx="51">
                  <c:v>-5.4937870332934695</c:v>
                </c:pt>
                <c:pt idx="52">
                  <c:v>-5.8399413518123824</c:v>
                </c:pt>
                <c:pt idx="53">
                  <c:v>-6.2075811528007314</c:v>
                </c:pt>
                <c:pt idx="54">
                  <c:v>-6.5979749742753002</c:v>
                </c:pt>
                <c:pt idx="55">
                  <c:v>-7.0124532386473106</c:v>
                </c:pt>
                <c:pt idx="56">
                  <c:v>-7.4524086053463705</c:v>
                </c:pt>
                <c:pt idx="57">
                  <c:v>-7.9192956889129551</c:v>
                </c:pt>
                <c:pt idx="58">
                  <c:v>-8.4146299920454517</c:v>
                </c:pt>
                <c:pt idx="59">
                  <c:v>-8.9399858787311821</c:v>
                </c:pt>
                <c:pt idx="60">
                  <c:v>-9.4969933860733207</c:v>
                </c:pt>
                <c:pt idx="61">
                  <c:v>-10.087333645138447</c:v>
                </c:pt>
                <c:pt idx="62">
                  <c:v>-10.71273265184063</c:v>
                </c:pt>
                <c:pt idx="63">
                  <c:v>-11.374953099657228</c:v>
                </c:pt>
                <c:pt idx="64">
                  <c:v>-12.075783958499066</c:v>
                </c:pt>
                <c:pt idx="65">
                  <c:v>-12.817027460634787</c:v>
                </c:pt>
                <c:pt idx="66">
                  <c:v>-13.600483138279156</c:v>
                </c:pt>
                <c:pt idx="67">
                  <c:v>-14.427928552311434</c:v>
                </c:pt>
                <c:pt idx="68">
                  <c:v>-15.301096362582202</c:v>
                </c:pt>
                <c:pt idx="69">
                  <c:v>-16.221647423442462</c:v>
                </c:pt>
                <c:pt idx="70">
                  <c:v>-17.191139650437155</c:v>
                </c:pt>
                <c:pt idx="71">
                  <c:v>-18.210992503162743</c:v>
                </c:pt>
                <c:pt idx="72">
                  <c:v>-19.282447072840149</c:v>
                </c:pt>
                <c:pt idx="73">
                  <c:v>-20.406521958198322</c:v>
                </c:pt>
                <c:pt idx="74">
                  <c:v>-21.583965364858773</c:v>
                </c:pt>
                <c:pt idx="75">
                  <c:v>-22.81520417296024</c:v>
                </c:pt>
                <c:pt idx="76">
                  <c:v>-24.100291081113195</c:v>
                </c:pt>
                <c:pt idx="77">
                  <c:v>-25.438851339921477</c:v>
                </c:pt>
                <c:pt idx="78">
                  <c:v>-26.830031013502186</c:v>
                </c:pt>
                <c:pt idx="79">
                  <c:v>-28.2724491196645</c:v>
                </c:pt>
                <c:pt idx="80">
                  <c:v>-29.764156354399585</c:v>
                </c:pt>
                <c:pt idx="81">
                  <c:v>-31.30260335043091</c:v>
                </c:pt>
                <c:pt idx="82">
                  <c:v>-32.884621494262198</c:v>
                </c:pt>
                <c:pt idx="83">
                  <c:v>-34.506419175507403</c:v>
                </c:pt>
                <c:pt idx="84">
                  <c:v>-36.163595922812732</c:v>
                </c:pt>
                <c:pt idx="85">
                  <c:v>-37.851176172540072</c:v>
                </c:pt>
                <c:pt idx="86">
                  <c:v>-39.563663433664836</c:v>
                </c:pt>
                <c:pt idx="87">
                  <c:v>-41.295114409760536</c:v>
                </c:pt>
                <c:pt idx="88">
                  <c:v>-43.039231312269678</c:v>
                </c:pt>
                <c:pt idx="89">
                  <c:v>-44.789469277411179</c:v>
                </c:pt>
                <c:pt idx="90">
                  <c:v>-46.539154628138981</c:v>
                </c:pt>
                <c:pt idx="91">
                  <c:v>-48.281608843558757</c:v>
                </c:pt>
                <c:pt idx="92">
                  <c:v>-50.010272623071856</c:v>
                </c:pt>
                <c:pt idx="93">
                  <c:v>-51.71882442373402</c:v>
                </c:pt>
                <c:pt idx="94">
                  <c:v>-53.401288308039852</c:v>
                </c:pt>
                <c:pt idx="95">
                  <c:v>-55.05212680522385</c:v>
                </c:pt>
                <c:pt idx="96">
                  <c:v>-56.666315651713774</c:v>
                </c:pt>
                <c:pt idx="97">
                  <c:v>-58.239398595228124</c:v>
                </c:pt>
                <c:pt idx="98">
                  <c:v>-59.767521775892071</c:v>
                </c:pt>
                <c:pt idx="99">
                  <c:v>-61.247448406705416</c:v>
                </c:pt>
                <c:pt idx="100">
                  <c:v>-62.676555467625604</c:v>
                </c:pt>
                <c:pt idx="101">
                  <c:v>-64.052814846134225</c:v>
                </c:pt>
                <c:pt idx="102">
                  <c:v>-65.374761786953115</c:v>
                </c:pt>
                <c:pt idx="103">
                  <c:v>-66.641453673345225</c:v>
                </c:pt>
                <c:pt idx="104">
                  <c:v>-67.852422094975836</c:v>
                </c:pt>
                <c:pt idx="105">
                  <c:v>-69.00762091829327</c:v>
                </c:pt>
                <c:pt idx="106">
                  <c:v>-70.107372723387442</c:v>
                </c:pt>
                <c:pt idx="107">
                  <c:v>-71.152315560209431</c:v>
                </c:pt>
                <c:pt idx="108">
                  <c:v>-72.143351551585368</c:v>
                </c:pt>
                <c:pt idx="109">
                  <c:v>-73.081598464030833</c:v>
                </c:pt>
                <c:pt idx="110">
                  <c:v>-73.968345002142044</c:v>
                </c:pt>
                <c:pt idx="111">
                  <c:v>-74.805010270607582</c:v>
                </c:pt>
                <c:pt idx="112">
                  <c:v>-75.593107594085268</c:v>
                </c:pt>
                <c:pt idx="113">
                  <c:v>-76.334212688044772</c:v>
                </c:pt>
                <c:pt idx="114">
                  <c:v>-77.029936028281867</c:v>
                </c:pt>
                <c:pt idx="115">
                  <c:v>-77.681899166166332</c:v>
                </c:pt>
                <c:pt idx="116">
                  <c:v>-78.291714673095356</c:v>
                </c:pt>
                <c:pt idx="117">
                  <c:v>-78.86096936344515</c:v>
                </c:pt>
                <c:pt idx="118">
                  <c:v>-79.391210433554718</c:v>
                </c:pt>
                <c:pt idx="119">
                  <c:v>-79.883934158888508</c:v>
                </c:pt>
                <c:pt idx="120">
                  <c:v>-80.340576807448983</c:v>
                </c:pt>
                <c:pt idx="121">
                  <c:v>-80.762507450733835</c:v>
                </c:pt>
                <c:pt idx="122">
                  <c:v>-81.151022380927287</c:v>
                </c:pt>
                <c:pt idx="123">
                  <c:v>-81.507340872261963</c:v>
                </c:pt>
                <c:pt idx="124">
                  <c:v>-81.832602053935204</c:v>
                </c:pt>
                <c:pt idx="125">
                  <c:v>-82.127862690454464</c:v>
                </c:pt>
                <c:pt idx="126">
                  <c:v>-82.394095692125092</c:v>
                </c:pt>
                <c:pt idx="127">
                  <c:v>-82.632189203144534</c:v>
                </c:pt>
                <c:pt idx="128">
                  <c:v>-82.842946137261421</c:v>
                </c:pt>
                <c:pt idx="129">
                  <c:v>-83.027084051166227</c:v>
                </c:pt>
                <c:pt idx="130">
                  <c:v>-83.185235263807513</c:v>
                </c:pt>
                <c:pt idx="131">
                  <c:v>-83.317947145819645</c:v>
                </c:pt>
                <c:pt idx="132">
                  <c:v>-83.425682517438872</c:v>
                </c:pt>
                <c:pt idx="133">
                  <c:v>-83.508820105895026</c:v>
                </c:pt>
                <c:pt idx="134">
                  <c:v>-83.567655024558576</c:v>
                </c:pt>
                <c:pt idx="135">
                  <c:v>-83.602399246344902</c:v>
                </c:pt>
                <c:pt idx="136">
                  <c:v>-83.613182053292022</c:v>
                </c:pt>
                <c:pt idx="137">
                  <c:v>-83.600050453082403</c:v>
                </c:pt>
                <c:pt idx="138">
                  <c:v>-83.5629695618249</c:v>
                </c:pt>
                <c:pt idx="139">
                  <c:v>-83.5018229609027</c:v>
                </c:pt>
                <c:pt idx="140">
                  <c:v>-83.416413044366493</c:v>
                </c:pt>
                <c:pt idx="141">
                  <c:v>-83.306461382467688</c:v>
                </c:pt>
                <c:pt idx="142">
                  <c:v>-83.171609136728549</c:v>
                </c:pt>
                <c:pt idx="143">
                  <c:v>-83.011417572692821</c:v>
                </c:pt>
                <c:pt idx="144">
                  <c:v>-82.825368728446676</c:v>
                </c:pt>
                <c:pt idx="145">
                  <c:v>-82.612866310399383</c:v>
                </c:pt>
                <c:pt idx="146">
                  <c:v>-82.373236902914059</c:v>
                </c:pt>
                <c:pt idx="147">
                  <c:v>-82.10573159540364</c:v>
                </c:pt>
                <c:pt idx="148">
                  <c:v>-81.809528149658718</c:v>
                </c:pt>
                <c:pt idx="149">
                  <c:v>-81.483733851571529</c:v>
                </c:pt>
                <c:pt idx="150">
                  <c:v>-81.127389215123486</c:v>
                </c:pt>
                <c:pt idx="151">
                  <c:v>-80.739472732408217</c:v>
                </c:pt>
                <c:pt idx="152">
                  <c:v>-80.318906891292016</c:v>
                </c:pt>
                <c:pt idx="153">
                  <c:v>-79.864565711511219</c:v>
                </c:pt>
                <c:pt idx="154">
                  <c:v>-79.375284079672412</c:v>
                </c:pt>
                <c:pt idx="155">
                  <c:v>-78.849869192377128</c:v>
                </c:pt>
                <c:pt idx="156">
                  <c:v>-78.287114442571095</c:v>
                </c:pt>
                <c:pt idx="157">
                  <c:v>-77.685816104547811</c:v>
                </c:pt>
                <c:pt idx="158">
                  <c:v>-77.0447931842522</c:v>
                </c:pt>
                <c:pt idx="159">
                  <c:v>-76.362910799144842</c:v>
                </c:pt>
                <c:pt idx="160">
                  <c:v>-75.639107430344211</c:v>
                </c:pt>
                <c:pt idx="161">
                  <c:v>-74.872426342542155</c:v>
                </c:pt>
                <c:pt idx="162">
                  <c:v>-74.062051386930293</c:v>
                </c:pt>
                <c:pt idx="163">
                  <c:v>-73.207347281315336</c:v>
                </c:pt>
                <c:pt idx="164">
                  <c:v>-72.307904292235307</c:v>
                </c:pt>
                <c:pt idx="165">
                  <c:v>-71.363587020038352</c:v>
                </c:pt>
                <c:pt idx="166">
                  <c:v>-70.374586706121903</c:v>
                </c:pt>
                <c:pt idx="167">
                  <c:v>-69.341476143040538</c:v>
                </c:pt>
                <c:pt idx="168">
                  <c:v>-68.265265880886076</c:v>
                </c:pt>
                <c:pt idx="169">
                  <c:v>-67.147460003989934</c:v>
                </c:pt>
                <c:pt idx="170">
                  <c:v>-65.99010932804147</c:v>
                </c:pt>
                <c:pt idx="171">
                  <c:v>-64.795859478000963</c:v>
                </c:pt>
                <c:pt idx="172">
                  <c:v>-63.567991001218999</c:v>
                </c:pt>
                <c:pt idx="173">
                  <c:v>-62.31044850477452</c:v>
                </c:pt>
                <c:pt idx="174">
                  <c:v>-61.027855839467477</c:v>
                </c:pt>
                <c:pt idx="175">
                  <c:v>-59.725514635927944</c:v>
                </c:pt>
                <c:pt idx="176">
                  <c:v>-58.409384063545794</c:v>
                </c:pt>
                <c:pt idx="177">
                  <c:v>-57.086040533777485</c:v>
                </c:pt>
                <c:pt idx="178">
                  <c:v>-55.762617171165033</c:v>
                </c:pt>
                <c:pt idx="179">
                  <c:v>-54.446724151684151</c:v>
                </c:pt>
                <c:pt idx="180">
                  <c:v>-53.146352344260698</c:v>
                </c:pt>
                <c:pt idx="181">
                  <c:v>-51.869763947058459</c:v>
                </c:pt>
                <c:pt idx="182">
                  <c:v>-50.62537483873875</c:v>
                </c:pt>
                <c:pt idx="183">
                  <c:v>-49.421634037211462</c:v>
                </c:pt>
                <c:pt idx="184">
                  <c:v>-48.266905885579291</c:v>
                </c:pt>
                <c:pt idx="185">
                  <c:v>-47.169360335137043</c:v>
                </c:pt>
                <c:pt idx="186">
                  <c:v>-46.136875999393219</c:v>
                </c:pt>
                <c:pt idx="187">
                  <c:v>-45.176959599117851</c:v>
                </c:pt>
                <c:pt idx="188">
                  <c:v>-44.296684134785608</c:v>
                </c:pt>
                <c:pt idx="189">
                  <c:v>-43.50264675564101</c:v>
                </c:pt>
                <c:pt idx="190">
                  <c:v>-42.800945983951806</c:v>
                </c:pt>
                <c:pt idx="191">
                  <c:v>-42.197176813222654</c:v>
                </c:pt>
                <c:pt idx="192">
                  <c:v>-41.696441306611348</c:v>
                </c:pt>
                <c:pt idx="193">
                  <c:v>-41.303371711348923</c:v>
                </c:pt>
                <c:pt idx="194">
                  <c:v>-41.022162773651218</c:v>
                </c:pt>
                <c:pt idx="195">
                  <c:v>-40.856609854514879</c:v>
                </c:pt>
                <c:pt idx="196">
                  <c:v>-40.810149560286554</c:v>
                </c:pt>
                <c:pt idx="197">
                  <c:v>-40.885899856543205</c:v>
                </c:pt>
                <c:pt idx="198">
                  <c:v>-41.086696975273121</c:v>
                </c:pt>
                <c:pt idx="199">
                  <c:v>-41.415126807756721</c:v>
                </c:pt>
                <c:pt idx="200">
                  <c:v>-41.873548864724313</c:v>
                </c:pt>
              </c:numCache>
            </c:numRef>
          </c:yVal>
          <c:smooth val="1"/>
        </c:ser>
        <c:axId val="146787712"/>
        <c:axId val="152589824"/>
      </c:scatterChart>
      <c:valAx>
        <c:axId val="146787712"/>
        <c:scaling>
          <c:logBase val="10"/>
          <c:orientation val="minMax"/>
          <c:max val="3000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0984604980331479"/>
              <c:y val="0.93804170469530368"/>
            </c:manualLayout>
          </c:layout>
        </c:title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crossAx val="152589824"/>
        <c:crosses val="autoZero"/>
        <c:crossBetween val="midCat"/>
        <c:majorUnit val="10"/>
      </c:valAx>
      <c:valAx>
        <c:axId val="152589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crossAx val="146787712"/>
        <c:crosses val="autoZero"/>
        <c:crossBetween val="midCat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0"/>
            </a:pPr>
            <a:r>
              <a:rPr lang="en-US" b="0"/>
              <a:t>|</a:t>
            </a:r>
            <a:r>
              <a:rPr lang="en-US" b="0" baseline="0"/>
              <a:t>Vout / Verr| (Power Stage)</a:t>
            </a:r>
            <a:endParaRPr lang="en-US" b="0"/>
          </a:p>
        </c:rich>
      </c:tx>
      <c:layout>
        <c:manualLayout>
          <c:xMode val="edge"/>
          <c:yMode val="edge"/>
          <c:x val="0.13179146230502306"/>
          <c:y val="0"/>
        </c:manualLayout>
      </c:layout>
    </c:title>
    <c:plotArea>
      <c:layout>
        <c:manualLayout>
          <c:layoutTarget val="inner"/>
          <c:xMode val="edge"/>
          <c:yMode val="edge"/>
          <c:x val="0.10196948948336508"/>
          <c:y val="0.16500998455767041"/>
          <c:w val="0.80581203894643549"/>
          <c:h val="0.71653891723362151"/>
        </c:manualLayout>
      </c:layout>
      <c:scatterChart>
        <c:scatterStyle val="smoothMarker"/>
        <c:ser>
          <c:idx val="0"/>
          <c:order val="0"/>
          <c:tx>
            <c:v>db</c:v>
          </c:tx>
          <c:spPr>
            <a:ln>
              <a:solidFill>
                <a:prstClr val="white">
                  <a:lumMod val="50000"/>
                </a:prstClr>
              </a:solidFill>
            </a:ln>
          </c:spPr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tool'!$AJ$2:$AJ$202</c:f>
              <c:numCache>
                <c:formatCode>General</c:formatCode>
                <c:ptCount val="201"/>
                <c:pt idx="0">
                  <c:v>18.169807889548558</c:v>
                </c:pt>
                <c:pt idx="1">
                  <c:v>18.169807868619991</c:v>
                </c:pt>
                <c:pt idx="2">
                  <c:v>18.169807844951841</c:v>
                </c:pt>
                <c:pt idx="3">
                  <c:v>18.16980781818555</c:v>
                </c:pt>
                <c:pt idx="4">
                  <c:v>18.169807787915531</c:v>
                </c:pt>
                <c:pt idx="5">
                  <c:v>18.169807753683184</c:v>
                </c:pt>
                <c:pt idx="6">
                  <c:v>18.169807714969821</c:v>
                </c:pt>
                <c:pt idx="7">
                  <c:v>18.169807671188853</c:v>
                </c:pt>
                <c:pt idx="8">
                  <c:v>18.169807621676973</c:v>
                </c:pt>
                <c:pt idx="9">
                  <c:v>18.169807565683985</c:v>
                </c:pt>
                <c:pt idx="10">
                  <c:v>18.169807502361518</c:v>
                </c:pt>
                <c:pt idx="11">
                  <c:v>18.169807430750129</c:v>
                </c:pt>
                <c:pt idx="12">
                  <c:v>18.169807349764802</c:v>
                </c:pt>
                <c:pt idx="13">
                  <c:v>18.169807258178498</c:v>
                </c:pt>
                <c:pt idx="14">
                  <c:v>18.16980715460355</c:v>
                </c:pt>
                <c:pt idx="15">
                  <c:v>18.169807037470623</c:v>
                </c:pt>
                <c:pt idx="16">
                  <c:v>18.169806905005007</c:v>
                </c:pt>
                <c:pt idx="17">
                  <c:v>18.16980675519963</c:v>
                </c:pt>
                <c:pt idx="18">
                  <c:v>18.169806585784741</c:v>
                </c:pt>
                <c:pt idx="19">
                  <c:v>18.169806394193433</c:v>
                </c:pt>
                <c:pt idx="20">
                  <c:v>18.169806177522819</c:v>
                </c:pt>
                <c:pt idx="21">
                  <c:v>18.169805932490007</c:v>
                </c:pt>
                <c:pt idx="22">
                  <c:v>18.169805655382433</c:v>
                </c:pt>
                <c:pt idx="23">
                  <c:v>18.16980534200145</c:v>
                </c:pt>
                <c:pt idx="24">
                  <c:v>18.16980498759893</c:v>
                </c:pt>
                <c:pt idx="25">
                  <c:v>18.169804586805121</c:v>
                </c:pt>
                <c:pt idx="26">
                  <c:v>18.169804133547427</c:v>
                </c:pt>
                <c:pt idx="27">
                  <c:v>18.16980362095833</c:v>
                </c:pt>
                <c:pt idx="28">
                  <c:v>18.169803041271365</c:v>
                </c:pt>
                <c:pt idx="29">
                  <c:v>18.169802385703424</c:v>
                </c:pt>
                <c:pt idx="30">
                  <c:v>18.169801644321744</c:v>
                </c:pt>
                <c:pt idx="31">
                  <c:v>18.169800805893303</c:v>
                </c:pt>
                <c:pt idx="32">
                  <c:v>18.169799857714704</c:v>
                </c:pt>
                <c:pt idx="33">
                  <c:v>18.169798785419733</c:v>
                </c:pt>
                <c:pt idx="34">
                  <c:v>18.169797572761606</c:v>
                </c:pt>
                <c:pt idx="35">
                  <c:v>18.169796201366879</c:v>
                </c:pt>
                <c:pt idx="36">
                  <c:v>18.169794650456993</c:v>
                </c:pt>
                <c:pt idx="37">
                  <c:v>18.169792896533604</c:v>
                </c:pt>
                <c:pt idx="38">
                  <c:v>18.169790913022393</c:v>
                </c:pt>
                <c:pt idx="39">
                  <c:v>18.169788669870538</c:v>
                </c:pt>
                <c:pt idx="40">
                  <c:v>18.169786133091353</c:v>
                </c:pt>
                <c:pt idx="41">
                  <c:v>18.169783264249425</c:v>
                </c:pt>
                <c:pt idx="42">
                  <c:v>18.169780019878189</c:v>
                </c:pt>
                <c:pt idx="43">
                  <c:v>18.16977635082149</c:v>
                </c:pt>
                <c:pt idx="44">
                  <c:v>18.16977220148879</c:v>
                </c:pt>
                <c:pt idx="45">
                  <c:v>18.169767509012985</c:v>
                </c:pt>
                <c:pt idx="46">
                  <c:v>18.169762202297893</c:v>
                </c:pt>
                <c:pt idx="47">
                  <c:v>18.169756200941315</c:v>
                </c:pt>
                <c:pt idx="48">
                  <c:v>18.169749414016806</c:v>
                </c:pt>
                <c:pt idx="49">
                  <c:v>18.169741738696249</c:v>
                </c:pt>
                <c:pt idx="50">
                  <c:v>18.16973305869212</c:v>
                </c:pt>
                <c:pt idx="51">
                  <c:v>18.169723242495838</c:v>
                </c:pt>
                <c:pt idx="52">
                  <c:v>18.16971214138562</c:v>
                </c:pt>
                <c:pt idx="53">
                  <c:v>18.1696995871736</c:v>
                </c:pt>
                <c:pt idx="54">
                  <c:v>18.169685389658227</c:v>
                </c:pt>
                <c:pt idx="55">
                  <c:v>18.169669333743169</c:v>
                </c:pt>
                <c:pt idx="56">
                  <c:v>18.1696511761794</c:v>
                </c:pt>
                <c:pt idx="57">
                  <c:v>18.169630641880946</c:v>
                </c:pt>
                <c:pt idx="58">
                  <c:v>18.169607419758592</c:v>
                </c:pt>
                <c:pt idx="59">
                  <c:v>18.169581158008651</c:v>
                </c:pt>
                <c:pt idx="60">
                  <c:v>18.16955145878547</c:v>
                </c:pt>
                <c:pt idx="61">
                  <c:v>18.169517872176908</c:v>
                </c:pt>
                <c:pt idx="62">
                  <c:v>18.169479889392303</c:v>
                </c:pt>
                <c:pt idx="63">
                  <c:v>18.169436935059192</c:v>
                </c:pt>
                <c:pt idx="64">
                  <c:v>18.169388358513263</c:v>
                </c:pt>
                <c:pt idx="65">
                  <c:v>18.16933342394929</c:v>
                </c:pt>
                <c:pt idx="66">
                  <c:v>18.169271299284915</c:v>
                </c:pt>
                <c:pt idx="67">
                  <c:v>18.169201043569103</c:v>
                </c:pt>
                <c:pt idx="68">
                  <c:v>18.169121592745384</c:v>
                </c:pt>
                <c:pt idx="69">
                  <c:v>18.169031743555482</c:v>
                </c:pt>
                <c:pt idx="70">
                  <c:v>18.168930135341096</c:v>
                </c:pt>
                <c:pt idx="71">
                  <c:v>18.168815229469843</c:v>
                </c:pt>
                <c:pt idx="72">
                  <c:v>18.168685286076407</c:v>
                </c:pt>
                <c:pt idx="73">
                  <c:v>18.168538337769803</c:v>
                </c:pt>
                <c:pt idx="74">
                  <c:v>18.168372159912188</c:v>
                </c:pt>
                <c:pt idx="75">
                  <c:v>18.168184237024718</c:v>
                </c:pt>
                <c:pt idx="76">
                  <c:v>18.167971724817921</c:v>
                </c:pt>
                <c:pt idx="77">
                  <c:v>18.167731407280122</c:v>
                </c:pt>
                <c:pt idx="78">
                  <c:v>18.167459648185002</c:v>
                </c:pt>
                <c:pt idx="79">
                  <c:v>18.167152336297509</c:v>
                </c:pt>
                <c:pt idx="80">
                  <c:v>18.166804823466478</c:v>
                </c:pt>
                <c:pt idx="81">
                  <c:v>18.166411854688921</c:v>
                </c:pt>
                <c:pt idx="82">
                  <c:v>18.165967489116301</c:v>
                </c:pt>
                <c:pt idx="83">
                  <c:v>18.165465010843715</c:v>
                </c:pt>
                <c:pt idx="84">
                  <c:v>18.164896828179025</c:v>
                </c:pt>
                <c:pt idx="85">
                  <c:v>18.164254359927419</c:v>
                </c:pt>
                <c:pt idx="86">
                  <c:v>18.163527907047904</c:v>
                </c:pt>
                <c:pt idx="87">
                  <c:v>18.162706507837648</c:v>
                </c:pt>
                <c:pt idx="88">
                  <c:v>18.161777774579694</c:v>
                </c:pt>
                <c:pt idx="89">
                  <c:v>18.160727709342694</c:v>
                </c:pt>
                <c:pt idx="90">
                  <c:v>18.159540496352594</c:v>
                </c:pt>
                <c:pt idx="91">
                  <c:v>18.15819826805733</c:v>
                </c:pt>
                <c:pt idx="92">
                  <c:v>18.156680841682167</c:v>
                </c:pt>
                <c:pt idx="93">
                  <c:v>18.154965422718561</c:v>
                </c:pt>
                <c:pt idx="94">
                  <c:v>18.153026271408478</c:v>
                </c:pt>
                <c:pt idx="95">
                  <c:v>18.150834327876307</c:v>
                </c:pt>
                <c:pt idx="96">
                  <c:v>18.148356791126041</c:v>
                </c:pt>
                <c:pt idx="97">
                  <c:v>18.145556646666385</c:v>
                </c:pt>
                <c:pt idx="98">
                  <c:v>18.142392137056632</c:v>
                </c:pt>
                <c:pt idx="99">
                  <c:v>18.138816169191813</c:v>
                </c:pt>
                <c:pt idx="100">
                  <c:v>18.13477565168094</c:v>
                </c:pt>
                <c:pt idx="101">
                  <c:v>18.130210755235375</c:v>
                </c:pt>
                <c:pt idx="102">
                  <c:v>18.125054088601779</c:v>
                </c:pt>
                <c:pt idx="103">
                  <c:v>18.11922978227901</c:v>
                </c:pt>
                <c:pt idx="104">
                  <c:v>18.112652472096467</c:v>
                </c:pt>
                <c:pt idx="105">
                  <c:v>18.105226174755479</c:v>
                </c:pt>
                <c:pt idx="106">
                  <c:v>18.09684304772275</c:v>
                </c:pt>
                <c:pt idx="107">
                  <c:v>18.087382026497782</c:v>
                </c:pt>
                <c:pt idx="108">
                  <c:v>18.076707333370244</c:v>
                </c:pt>
                <c:pt idx="109">
                  <c:v>18.064666853466647</c:v>
                </c:pt>
                <c:pt idx="110">
                  <c:v>18.05109037631809</c:v>
                </c:pt>
                <c:pt idx="111">
                  <c:v>18.035787704545939</c:v>
                </c:pt>
                <c:pt idx="112">
                  <c:v>18.018546635768473</c:v>
                </c:pt>
                <c:pt idx="113">
                  <c:v>17.999130829710356</c:v>
                </c:pt>
                <c:pt idx="114">
                  <c:v>17.977277579992414</c:v>
                </c:pt>
                <c:pt idx="115">
                  <c:v>17.95269551943554</c:v>
                </c:pt>
                <c:pt idx="116">
                  <c:v>17.925062299150071</c:v>
                </c:pt>
                <c:pt idx="117">
                  <c:v>17.894022295365563</c:v>
                </c:pt>
                <c:pt idx="118">
                  <c:v>17.859184413947993</c:v>
                </c:pt>
                <c:pt idx="119">
                  <c:v>17.820120080751</c:v>
                </c:pt>
                <c:pt idx="120">
                  <c:v>17.776361526015666</c:v>
                </c:pt>
                <c:pt idx="121">
                  <c:v>17.727400492300973</c:v>
                </c:pt>
                <c:pt idx="122">
                  <c:v>17.672687516800298</c:v>
                </c:pt>
                <c:pt idx="123">
                  <c:v>17.611631958765209</c:v>
                </c:pt>
                <c:pt idx="124">
                  <c:v>17.543602958911787</c:v>
                </c:pt>
                <c:pt idx="125">
                  <c:v>17.467931527311691</c:v>
                </c:pt>
                <c:pt idx="126">
                  <c:v>17.383913956002321</c:v>
                </c:pt>
                <c:pt idx="127">
                  <c:v>17.290816738656961</c:v>
                </c:pt>
                <c:pt idx="128">
                  <c:v>17.187883148386518</c:v>
                </c:pt>
                <c:pt idx="129">
                  <c:v>17.074341572858376</c:v>
                </c:pt>
                <c:pt idx="130">
                  <c:v>16.949415631392544</c:v>
                </c:pt>
                <c:pt idx="131">
                  <c:v>16.812336001545368</c:v>
                </c:pt>
                <c:pt idx="132">
                  <c:v>16.662353765802113</c:v>
                </c:pt>
                <c:pt idx="133">
                  <c:v>16.498754958759868</c:v>
                </c:pt>
                <c:pt idx="134">
                  <c:v>16.32087586172312</c:v>
                </c:pt>
                <c:pt idx="135">
                  <c:v>16.128118468403912</c:v>
                </c:pt>
                <c:pt idx="136">
                  <c:v>15.919965447969597</c:v>
                </c:pt>
                <c:pt idx="137">
                  <c:v>15.695993875655541</c:v>
                </c:pt>
                <c:pt idx="138">
                  <c:v>15.455886999681493</c:v>
                </c:pt>
                <c:pt idx="139">
                  <c:v>15.199443374165877</c:v>
                </c:pt>
                <c:pt idx="140">
                  <c:v>14.926582811537287</c:v>
                </c:pt>
                <c:pt idx="141">
                  <c:v>14.637348786432954</c:v>
                </c:pt>
                <c:pt idx="142">
                  <c:v>14.331907139966225</c:v>
                </c:pt>
                <c:pt idx="143">
                  <c:v>14.010541166256017</c:v>
                </c:pt>
                <c:pt idx="144">
                  <c:v>13.67364338736895</c:v>
                </c:pt>
                <c:pt idx="145">
                  <c:v>13.321704514867525</c:v>
                </c:pt>
                <c:pt idx="146">
                  <c:v>12.955300237613216</c:v>
                </c:pt>
                <c:pt idx="147">
                  <c:v>12.575076555614331</c:v>
                </c:pt>
                <c:pt idx="148">
                  <c:v>12.18173439643161</c:v>
                </c:pt>
                <c:pt idx="149">
                  <c:v>11.776014209799964</c:v>
                </c:pt>
                <c:pt idx="150">
                  <c:v>11.358681149521177</c:v>
                </c:pt>
                <c:pt idx="151">
                  <c:v>10.930511334510104</c:v>
                </c:pt>
                <c:pt idx="152">
                  <c:v>10.49227954895562</c:v>
                </c:pt>
                <c:pt idx="153">
                  <c:v>10.044748609135528</c:v>
                </c:pt>
                <c:pt idx="154">
                  <c:v>9.5886605027038527</c:v>
                </c:pt>
                <c:pt idx="155">
                  <c:v>9.1247293027655072</c:v>
                </c:pt>
                <c:pt idx="156">
                  <c:v>8.6536357776422275</c:v>
                </c:pt>
                <c:pt idx="157">
                  <c:v>8.1760235587183381</c:v>
                </c:pt>
                <c:pt idx="158">
                  <c:v>7.6924966916242177</c:v>
                </c:pt>
                <c:pt idx="159">
                  <c:v>7.2036183773208284</c:v>
                </c:pt>
                <c:pt idx="160">
                  <c:v>6.7099107057244289</c:v>
                </c:pt>
                <c:pt idx="161">
                  <c:v>6.211855191578187</c:v>
                </c:pt>
                <c:pt idx="162">
                  <c:v>5.7098939368319162</c:v>
                </c:pt>
                <c:pt idx="163">
                  <c:v>5.2044312628447917</c:v>
                </c:pt>
                <c:pt idx="164">
                  <c:v>4.6958356768866309</c:v>
                </c:pt>
                <c:pt idx="165">
                  <c:v>4.184442058898842</c:v>
                </c:pt>
                <c:pt idx="166">
                  <c:v>3.6705539750470386</c:v>
                </c:pt>
                <c:pt idx="167">
                  <c:v>3.1544460434658204</c:v>
                </c:pt>
                <c:pt idx="168">
                  <c:v>2.6363662943374813</c:v>
                </c:pt>
                <c:pt idx="169">
                  <c:v>2.1165384808950871</c:v>
                </c:pt>
                <c:pt idx="170">
                  <c:v>1.5951643101154322</c:v>
                </c:pt>
                <c:pt idx="171">
                  <c:v>1.0724255719135498</c:v>
                </c:pt>
                <c:pt idx="172">
                  <c:v>0.54848615376921628</c:v>
                </c:pt>
                <c:pt idx="173">
                  <c:v>2.3493934150736858E-2</c:v>
                </c:pt>
                <c:pt idx="174">
                  <c:v>-0.50241744690812939</c:v>
                </c:pt>
                <c:pt idx="175">
                  <c:v>-1.02912693793209</c:v>
                </c:pt>
                <c:pt idx="176">
                  <c:v>-1.5565245418979659</c:v>
                </c:pt>
                <c:pt idx="177">
                  <c:v>-2.0845098909742492</c:v>
                </c:pt>
                <c:pt idx="178">
                  <c:v>-2.6129909218523584</c:v>
                </c:pt>
                <c:pt idx="179">
                  <c:v>-3.1418826425882456</c:v>
                </c:pt>
                <c:pt idx="180">
                  <c:v>-3.6711059814682923</c:v>
                </c:pt>
                <c:pt idx="181">
                  <c:v>-4.200586708333728</c:v>
                </c:pt>
                <c:pt idx="182">
                  <c:v>-4.7302544190001754</c:v>
                </c:pt>
                <c:pt idx="183">
                  <c:v>-5.2600415738575412</c:v>
                </c:pt>
                <c:pt idx="184">
                  <c:v>-5.7898825824186986</c:v>
                </c:pt>
                <c:pt idx="185">
                  <c:v>-6.3197129265216745</c:v>
                </c:pt>
                <c:pt idx="186">
                  <c:v>-6.8494683161185588</c:v>
                </c:pt>
                <c:pt idx="187">
                  <c:v>-7.3790838731697903</c:v>
                </c:pt>
                <c:pt idx="188">
                  <c:v>-7.9084933412177953</c:v>
                </c:pt>
                <c:pt idx="189">
                  <c:v>-8.4376283208746656</c:v>
                </c:pt>
                <c:pt idx="190">
                  <c:v>-8.9664175349346849</c:v>
                </c:pt>
                <c:pt idx="191">
                  <c:v>-9.4947861313812059</c:v>
                </c:pt>
                <c:pt idx="192">
                  <c:v>-10.022655038557096</c:v>
                </c:pt>
                <c:pt idx="193">
                  <c:v>-10.549940394695245</c:v>
                </c:pt>
                <c:pt idx="194">
                  <c:v>-11.076553084490348</c:v>
                </c:pt>
                <c:pt idx="195">
                  <c:v>-11.602398429282486</c:v>
                </c:pt>
                <c:pt idx="196">
                  <c:v>-12.127376095826946</c:v>
                </c:pt>
                <c:pt idx="197">
                  <c:v>-12.651380313019114</c:v>
                </c:pt>
                <c:pt idx="198">
                  <c:v>-13.174300518258324</c:v>
                </c:pt>
                <c:pt idx="199">
                  <c:v>-13.696022597924948</c:v>
                </c:pt>
                <c:pt idx="200">
                  <c:v>-14.216430943034332</c:v>
                </c:pt>
              </c:numCache>
            </c:numRef>
          </c:yVal>
          <c:smooth val="1"/>
        </c:ser>
        <c:axId val="152622592"/>
        <c:axId val="152624512"/>
      </c:scatterChart>
      <c:valAx>
        <c:axId val="152622592"/>
        <c:scaling>
          <c:logBase val="10"/>
          <c:orientation val="minMax"/>
          <c:max val="3000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8521647038090218"/>
              <c:y val="0.94037241303924268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52624512"/>
        <c:crosses val="autoZero"/>
        <c:crossBetween val="midCat"/>
      </c:valAx>
      <c:valAx>
        <c:axId val="152624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>
            <c:manualLayout>
              <c:xMode val="edge"/>
              <c:yMode val="edge"/>
              <c:x val="0"/>
              <c:y val="0.43585782434527587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52622592"/>
        <c:crosses val="autoZero"/>
        <c:crossBetween val="midCat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>
        <c:manualLayout>
          <c:xMode val="edge"/>
          <c:yMode val="edge"/>
          <c:x val="0.32284416082047029"/>
          <c:y val="0"/>
        </c:manualLayout>
      </c:layout>
    </c:title>
    <c:plotArea>
      <c:layout>
        <c:manualLayout>
          <c:layoutTarget val="inner"/>
          <c:xMode val="edge"/>
          <c:yMode val="edge"/>
          <c:x val="0.11710999995269428"/>
          <c:y val="0.10764498644061381"/>
          <c:w val="0.8191921604987914"/>
          <c:h val="0.76889989762578115"/>
        </c:manualLayout>
      </c:layout>
      <c:scatterChart>
        <c:scatterStyle val="smoothMarker"/>
        <c:ser>
          <c:idx val="0"/>
          <c:order val="0"/>
          <c:tx>
            <c:strRef>
              <c:f>'Design tool'!$AT$1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tool'!$AT$2:$AT$202</c:f>
              <c:numCache>
                <c:formatCode>General</c:formatCode>
                <c:ptCount val="201"/>
                <c:pt idx="0">
                  <c:v>179.70526324316421</c:v>
                </c:pt>
                <c:pt idx="1">
                  <c:v>179.68656610764316</c:v>
                </c:pt>
                <c:pt idx="2">
                  <c:v>179.66668293301424</c:v>
                </c:pt>
                <c:pt idx="3">
                  <c:v>179.64553849307489</c:v>
                </c:pt>
                <c:pt idx="4">
                  <c:v>179.62305279218333</c:v>
                </c:pt>
                <c:pt idx="5">
                  <c:v>179.59914076325248</c:v>
                </c:pt>
                <c:pt idx="6">
                  <c:v>179.57371194669804</c:v>
                </c:pt>
                <c:pt idx="7">
                  <c:v>179.54667014915617</c:v>
                </c:pt>
                <c:pt idx="8">
                  <c:v>179.51791308071307</c:v>
                </c:pt>
                <c:pt idx="9">
                  <c:v>179.48733196931821</c:v>
                </c:pt>
                <c:pt idx="10">
                  <c:v>179.45481115097238</c:v>
                </c:pt>
                <c:pt idx="11">
                  <c:v>179.4202276342024</c:v>
                </c:pt>
                <c:pt idx="12">
                  <c:v>179.38345063724734</c:v>
                </c:pt>
                <c:pt idx="13">
                  <c:v>179.34434109629618</c:v>
                </c:pt>
                <c:pt idx="14">
                  <c:v>179.30275114302171</c:v>
                </c:pt>
                <c:pt idx="15">
                  <c:v>179.25852354956407</c:v>
                </c:pt>
                <c:pt idx="16">
                  <c:v>179.21149113901814</c:v>
                </c:pt>
                <c:pt idx="17">
                  <c:v>179.16147615938129</c:v>
                </c:pt>
                <c:pt idx="18">
                  <c:v>179.108289618817</c:v>
                </c:pt>
                <c:pt idx="19">
                  <c:v>179.05173057998806</c:v>
                </c:pt>
                <c:pt idx="20">
                  <c:v>178.9915854111149</c:v>
                </c:pt>
                <c:pt idx="21">
                  <c:v>178.92762699131373</c:v>
                </c:pt>
                <c:pt idx="22">
                  <c:v>178.8596138676765</c:v>
                </c:pt>
                <c:pt idx="23">
                  <c:v>178.787289361467</c:v>
                </c:pt>
                <c:pt idx="24">
                  <c:v>178.71038062072677</c:v>
                </c:pt>
                <c:pt idx="25">
                  <c:v>178.62859761651981</c:v>
                </c:pt>
                <c:pt idx="26">
                  <c:v>178.54163207999514</c:v>
                </c:pt>
                <c:pt idx="27">
                  <c:v>178.44915637741767</c:v>
                </c:pt>
                <c:pt idx="28">
                  <c:v>178.35082232032144</c:v>
                </c:pt>
                <c:pt idx="29">
                  <c:v>178.24625990797443</c:v>
                </c:pt>
                <c:pt idx="30">
                  <c:v>178.13507599942889</c:v>
                </c:pt>
                <c:pt idx="31">
                  <c:v>178.01685291257104</c:v>
                </c:pt>
                <c:pt idx="32">
                  <c:v>177.89114694779579</c:v>
                </c:pt>
                <c:pt idx="33">
                  <c:v>177.75748683422995</c:v>
                </c:pt>
                <c:pt idx="34">
                  <c:v>177.61537209683539</c:v>
                </c:pt>
                <c:pt idx="35">
                  <c:v>177.46427134325833</c:v>
                </c:pt>
                <c:pt idx="36">
                  <c:v>177.3036204699892</c:v>
                </c:pt>
                <c:pt idx="37">
                  <c:v>177.13282078828556</c:v>
                </c:pt>
                <c:pt idx="38">
                  <c:v>176.95123707143398</c:v>
                </c:pt>
                <c:pt idx="39">
                  <c:v>176.7581955263266</c:v>
                </c:pt>
                <c:pt idx="40">
                  <c:v>176.55298169406959</c:v>
                </c:pt>
                <c:pt idx="41">
                  <c:v>176.3348382864751</c:v>
                </c:pt>
                <c:pt idx="42">
                  <c:v>176.10296296790921</c:v>
                </c:pt>
                <c:pt idx="43">
                  <c:v>175.85650609514542</c:v>
                </c:pt>
                <c:pt idx="44">
                  <c:v>175.59456843172666</c:v>
                </c:pt>
                <c:pt idx="45">
                  <c:v>175.31619885797033</c:v>
                </c:pt>
                <c:pt idx="46">
                  <c:v>175.02039210330611</c:v>
                </c:pt>
                <c:pt idx="47">
                  <c:v>174.70608653425245</c:v>
                </c:pt>
                <c:pt idx="48">
                  <c:v>174.37216203919314</c:v>
                </c:pt>
                <c:pt idx="49">
                  <c:v>174.01743806037706</c:v>
                </c:pt>
                <c:pt idx="50">
                  <c:v>173.64067183443515</c:v>
                </c:pt>
                <c:pt idx="51">
                  <c:v>173.24055691537825</c:v>
                </c:pt>
                <c:pt idx="52">
                  <c:v>172.81572206870811</c:v>
                </c:pt>
                <c:pt idx="53">
                  <c:v>172.3647306421189</c:v>
                </c:pt>
                <c:pt idx="54">
                  <c:v>171.88608053742865</c:v>
                </c:pt>
                <c:pt idx="55">
                  <c:v>171.37820492994578</c:v>
                </c:pt>
                <c:pt idx="56">
                  <c:v>170.83947390542053</c:v>
                </c:pt>
                <c:pt idx="57">
                  <c:v>170.26819721089248</c:v>
                </c:pt>
                <c:pt idx="58">
                  <c:v>169.66262834374112</c:v>
                </c:pt>
                <c:pt idx="59">
                  <c:v>169.02097023240862</c:v>
                </c:pt>
                <c:pt idx="60">
                  <c:v>168.3413827915351</c:v>
                </c:pt>
                <c:pt idx="61">
                  <c:v>167.6219926620588</c:v>
                </c:pt>
                <c:pt idx="62">
                  <c:v>166.86090547100679</c:v>
                </c:pt>
                <c:pt idx="63">
                  <c:v>166.05622096326115</c:v>
                </c:pt>
                <c:pt idx="64">
                  <c:v>165.20605136469263</c:v>
                </c:pt>
                <c:pt idx="65">
                  <c:v>164.30854332785003</c:v>
                </c:pt>
                <c:pt idx="66">
                  <c:v>163.36190378201476</c:v>
                </c:pt>
                <c:pt idx="67">
                  <c:v>162.36442995203376</c:v>
                </c:pt>
                <c:pt idx="68">
                  <c:v>161.3145437174083</c:v>
                </c:pt>
                <c:pt idx="69">
                  <c:v>160.21083034685373</c:v>
                </c:pt>
                <c:pt idx="70">
                  <c:v>159.05208145678552</c:v>
                </c:pt>
                <c:pt idx="71">
                  <c:v>157.83734179945989</c:v>
                </c:pt>
                <c:pt idx="72">
                  <c:v>156.56595918573029</c:v>
                </c:pt>
                <c:pt idx="73">
                  <c:v>155.23763649171187</c:v>
                </c:pt>
                <c:pt idx="74">
                  <c:v>153.85248429873357</c:v>
                </c:pt>
                <c:pt idx="75">
                  <c:v>152.41107229192787</c:v>
                </c:pt>
                <c:pt idx="76">
                  <c:v>150.91447712589621</c:v>
                </c:pt>
                <c:pt idx="77">
                  <c:v>149.36432409867641</c:v>
                </c:pt>
                <c:pt idx="78">
                  <c:v>147.76281971018204</c:v>
                </c:pt>
                <c:pt idx="79">
                  <c:v>146.11277207654595</c:v>
                </c:pt>
                <c:pt idx="80">
                  <c:v>144.41759628432152</c:v>
                </c:pt>
                <c:pt idx="81">
                  <c:v>142.68130214440427</c:v>
                </c:pt>
                <c:pt idx="82">
                  <c:v>140.90846246906256</c:v>
                </c:pt>
                <c:pt idx="83">
                  <c:v>139.10416093835681</c:v>
                </c:pt>
                <c:pt idx="84">
                  <c:v>137.27391979624386</c:v>
                </c:pt>
                <c:pt idx="85">
                  <c:v>135.4236089321538</c:v>
                </c:pt>
                <c:pt idx="86">
                  <c:v>133.55933923610894</c:v>
                </c:pt>
                <c:pt idx="87">
                  <c:v>131.68734431983094</c:v>
                </c:pt>
                <c:pt idx="88">
                  <c:v>129.81385562934025</c:v>
                </c:pt>
                <c:pt idx="89">
                  <c:v>127.94497651844007</c:v>
                </c:pt>
                <c:pt idx="90">
                  <c:v>126.08656093601934</c:v>
                </c:pt>
                <c:pt idx="91">
                  <c:v>124.24410199240661</c:v>
                </c:pt>
                <c:pt idx="92">
                  <c:v>122.42263486240368</c:v>
                </c:pt>
                <c:pt idx="93">
                  <c:v>120.62665735908085</c:v>
                </c:pt>
                <c:pt idx="94">
                  <c:v>118.86007021023926</c:v>
                </c:pt>
                <c:pt idx="95">
                  <c:v>117.12613773567129</c:v>
                </c:pt>
                <c:pt idx="96">
                  <c:v>115.42746839177171</c:v>
                </c:pt>
                <c:pt idx="97">
                  <c:v>113.76601362372638</c:v>
                </c:pt>
                <c:pt idx="98">
                  <c:v>112.14308270732982</c:v>
                </c:pt>
                <c:pt idx="99">
                  <c:v>110.55937079410921</c:v>
                </c:pt>
                <c:pt idx="100">
                  <c:v>109.0149971808863</c:v>
                </c:pt>
                <c:pt idx="101">
                  <c:v>107.50955086858166</c:v>
                </c:pt>
                <c:pt idx="102">
                  <c:v>106.04214070069892</c:v>
                </c:pt>
                <c:pt idx="103">
                  <c:v>104.61144772106961</c:v>
                </c:pt>
                <c:pt idx="104">
                  <c:v>103.2157778082493</c:v>
                </c:pt>
                <c:pt idx="105">
                  <c:v>101.85311308431424</c:v>
                </c:pt>
                <c:pt idx="106">
                  <c:v>100.52116102370671</c:v>
                </c:pt>
                <c:pt idx="107">
                  <c:v>99.217400579495788</c:v>
                </c:pt>
                <c:pt idx="108">
                  <c:v>97.939124986318092</c:v>
                </c:pt>
                <c:pt idx="109">
                  <c:v>96.683481185816504</c:v>
                </c:pt>
                <c:pt idx="110">
                  <c:v>95.447506051921977</c:v>
                </c:pt>
                <c:pt idx="111">
                  <c:v>94.228159773916389</c:v>
                </c:pt>
                <c:pt idx="112">
                  <c:v>93.022356890915859</c:v>
                </c:pt>
                <c:pt idx="113">
                  <c:v>91.826995568805415</c:v>
                </c:pt>
                <c:pt idx="114">
                  <c:v>90.638985775816849</c:v>
                </c:pt>
                <c:pt idx="115">
                  <c:v>89.455277050745565</c:v>
                </c:pt>
                <c:pt idx="116">
                  <c:v>88.272886571443763</c:v>
                </c:pt>
                <c:pt idx="117">
                  <c:v>87.088928221985839</c:v>
                </c:pt>
                <c:pt idx="118">
                  <c:v>85.900643324034505</c:v>
                </c:pt>
                <c:pt idx="119">
                  <c:v>84.705433638720308</c:v>
                </c:pt>
                <c:pt idx="120">
                  <c:v>83.500897155315798</c:v>
                </c:pt>
                <c:pt idx="121">
                  <c:v>82.284867056225977</c:v>
                </c:pt>
                <c:pt idx="122">
                  <c:v>81.055454077698542</c:v>
                </c:pt>
                <c:pt idx="123">
                  <c:v>79.811092265674716</c:v>
                </c:pt>
                <c:pt idx="124">
                  <c:v>78.550587851276703</c:v>
                </c:pt>
                <c:pt idx="125">
                  <c:v>77.273170638672099</c:v>
                </c:pt>
                <c:pt idx="126">
                  <c:v>75.978546912614874</c:v>
                </c:pt>
                <c:pt idx="127">
                  <c:v>74.666952444496417</c:v>
                </c:pt>
                <c:pt idx="128">
                  <c:v>73.339203724249543</c:v>
                </c:pt>
                <c:pt idx="129">
                  <c:v>71.996745102091182</c:v>
                </c:pt>
                <c:pt idx="130">
                  <c:v>70.641689131310272</c:v>
                </c:pt>
                <c:pt idx="131">
                  <c:v>69.276847113384761</c:v>
                </c:pt>
                <c:pt idx="132">
                  <c:v>67.905746717539188</c:v>
                </c:pt>
                <c:pt idx="133">
                  <c:v>66.532633635050075</c:v>
                </c:pt>
                <c:pt idx="134">
                  <c:v>65.162454579769545</c:v>
                </c:pt>
                <c:pt idx="135">
                  <c:v>63.800819584224435</c:v>
                </c:pt>
                <c:pt idx="136">
                  <c:v>62.453942456438376</c:v>
                </c:pt>
                <c:pt idx="137">
                  <c:v>61.128559407902003</c:v>
                </c:pt>
                <c:pt idx="138">
                  <c:v>59.831827148397075</c:v>
                </c:pt>
                <c:pt idx="139">
                  <c:v>58.571203045145232</c:v>
                </c:pt>
                <c:pt idx="140">
                  <c:v>57.35431111943582</c:v>
                </c:pt>
                <c:pt idx="141">
                  <c:v>56.188798563759001</c:v>
                </c:pt>
                <c:pt idx="142">
                  <c:v>55.082187993712374</c:v>
                </c:pt>
                <c:pt idx="143">
                  <c:v>54.041730736965938</c:v>
                </c:pt>
                <c:pt idx="144">
                  <c:v>53.074266103180314</c:v>
                </c:pt>
                <c:pt idx="145">
                  <c:v>52.186090833827919</c:v>
                </c:pt>
                <c:pt idx="146">
                  <c:v>51.382841911992912</c:v>
                </c:pt>
                <c:pt idx="147">
                  <c:v>50.669394764744531</c:v>
                </c:pt>
                <c:pt idx="148">
                  <c:v>50.04977776801325</c:v>
                </c:pt>
                <c:pt idx="149">
                  <c:v>49.527103003257537</c:v>
                </c:pt>
                <c:pt idx="150">
                  <c:v>49.103512518493922</c:v>
                </c:pt>
                <c:pt idx="151">
                  <c:v>48.780138968823621</c:v>
                </c:pt>
                <c:pt idx="152">
                  <c:v>48.55707945902067</c:v>
                </c:pt>
                <c:pt idx="153">
                  <c:v>48.433381642912209</c:v>
                </c:pt>
                <c:pt idx="154">
                  <c:v>48.407041574163557</c:v>
                </c:pt>
                <c:pt idx="155">
                  <c:v>48.475013348385446</c:v>
                </c:pt>
                <c:pt idx="156">
                  <c:v>48.633231112740731</c:v>
                </c:pt>
                <c:pt idx="157">
                  <c:v>48.876644432916294</c:v>
                </c:pt>
                <c:pt idx="158">
                  <c:v>49.19926819945816</c:v>
                </c:pt>
                <c:pt idx="159">
                  <c:v>49.594248154166493</c:v>
                </c:pt>
                <c:pt idx="160">
                  <c:v>50.053942689226844</c:v>
                </c:pt>
                <c:pt idx="161">
                  <c:v>50.570020830585875</c:v>
                </c:pt>
                <c:pt idx="162">
                  <c:v>51.133575325950574</c:v>
                </c:pt>
                <c:pt idx="163">
                  <c:v>51.735248625404139</c:v>
                </c:pt>
                <c:pt idx="164">
                  <c:v>52.365368410325317</c:v>
                </c:pt>
                <c:pt idx="165">
                  <c:v>53.014088348026277</c:v>
                </c:pt>
                <c:pt idx="166">
                  <c:v>53.671529067217335</c:v>
                </c:pt>
                <c:pt idx="167">
                  <c:v>54.327914068491523</c:v>
                </c:pt>
                <c:pt idx="168">
                  <c:v>54.973695454949691</c:v>
                </c:pt>
                <c:pt idx="169">
                  <c:v>55.599664977625508</c:v>
                </c:pt>
                <c:pt idx="170">
                  <c:v>56.197046865269101</c:v>
                </c:pt>
                <c:pt idx="171">
                  <c:v>56.757570129891207</c:v>
                </c:pt>
                <c:pt idx="172">
                  <c:v>57.273519366574433</c:v>
                </c:pt>
                <c:pt idx="173">
                  <c:v>57.73776435781798</c:v>
                </c:pt>
                <c:pt idx="174">
                  <c:v>58.14376993018773</c:v>
                </c:pt>
                <c:pt idx="175">
                  <c:v>58.485588411179563</c:v>
                </c:pt>
                <c:pt idx="176">
                  <c:v>58.757837654874464</c:v>
                </c:pt>
                <c:pt idx="177">
                  <c:v>58.955667942772067</c:v>
                </c:pt>
                <c:pt idx="178">
                  <c:v>59.074721148269973</c:v>
                </c:pt>
                <c:pt idx="179">
                  <c:v>59.111085426537088</c:v>
                </c:pt>
                <c:pt idx="180">
                  <c:v>59.061248411572251</c:v>
                </c:pt>
                <c:pt idx="181">
                  <c:v>58.922051523950458</c:v>
                </c:pt>
                <c:pt idx="182">
                  <c:v>58.69064756367878</c:v>
                </c:pt>
                <c:pt idx="183">
                  <c:v>58.364463319045086</c:v>
                </c:pt>
                <c:pt idx="184">
                  <c:v>57.941168488199622</c:v>
                </c:pt>
                <c:pt idx="185">
                  <c:v>57.418651797252863</c:v>
                </c:pt>
                <c:pt idx="186">
                  <c:v>56.795004808604318</c:v>
                </c:pt>
                <c:pt idx="187">
                  <c:v>56.068513539876349</c:v>
                </c:pt>
                <c:pt idx="188">
                  <c:v>55.237657646094945</c:v>
                </c:pt>
                <c:pt idx="189">
                  <c:v>54.301116542346108</c:v>
                </c:pt>
                <c:pt idx="190">
                  <c:v>53.257781448434429</c:v>
                </c:pt>
                <c:pt idx="191">
                  <c:v>52.106771912083346</c:v>
                </c:pt>
                <c:pt idx="192">
                  <c:v>50.847454910317097</c:v>
                </c:pt>
                <c:pt idx="193">
                  <c:v>49.479464146298611</c:v>
                </c:pt>
                <c:pt idx="194">
                  <c:v>48.002716668780465</c:v>
                </c:pt>
                <c:pt idx="195">
                  <c:v>46.417423473669984</c:v>
                </c:pt>
                <c:pt idx="196">
                  <c:v>44.724090344623576</c:v>
                </c:pt>
                <c:pt idx="197">
                  <c:v>42.923504904615044</c:v>
                </c:pt>
                <c:pt idx="198">
                  <c:v>41.016705740846959</c:v>
                </c:pt>
                <c:pt idx="199">
                  <c:v>39.00492958669841</c:v>
                </c:pt>
                <c:pt idx="200">
                  <c:v>36.88953294082998</c:v>
                </c:pt>
              </c:numCache>
            </c:numRef>
          </c:yVal>
          <c:smooth val="1"/>
        </c:ser>
        <c:axId val="152933120"/>
        <c:axId val="152935040"/>
      </c:scatterChart>
      <c:valAx>
        <c:axId val="152933120"/>
        <c:scaling>
          <c:logBase val="10"/>
          <c:orientation val="minMax"/>
          <c:max val="3000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52935040"/>
        <c:crosses val="autoZero"/>
        <c:crossBetween val="midCat"/>
      </c:valAx>
      <c:valAx>
        <c:axId val="152935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>
            <c:manualLayout>
              <c:xMode val="edge"/>
              <c:yMode val="edge"/>
              <c:x val="2.3879919201858172E-3"/>
              <c:y val="0.4082292239140467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52933120"/>
        <c:crosses val="autoZero"/>
        <c:crossBetween val="midCat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|Vloop|</a:t>
            </a:r>
          </a:p>
        </c:rich>
      </c:tx>
      <c:layout>
        <c:manualLayout>
          <c:xMode val="edge"/>
          <c:yMode val="edge"/>
          <c:x val="0.39850069183280384"/>
          <c:y val="0"/>
        </c:manualLayout>
      </c:layout>
    </c:title>
    <c:plotArea>
      <c:layout>
        <c:manualLayout>
          <c:layoutTarget val="inner"/>
          <c:xMode val="edge"/>
          <c:yMode val="edge"/>
          <c:x val="0.10735361161648224"/>
          <c:y val="0.10963677334698967"/>
          <c:w val="0.82856627510463643"/>
          <c:h val="0.77759001094194202"/>
        </c:manualLayout>
      </c:layout>
      <c:scatterChart>
        <c:scatterStyle val="smoothMarker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tool'!$AS$2:$AS$202</c:f>
              <c:numCache>
                <c:formatCode>General</c:formatCode>
                <c:ptCount val="201"/>
                <c:pt idx="0">
                  <c:v>62.150754128414597</c:v>
                </c:pt>
                <c:pt idx="1">
                  <c:v>62.15073995099408</c:v>
                </c:pt>
                <c:pt idx="2">
                  <c:v>62.150723917803901</c:v>
                </c:pt>
                <c:pt idx="3">
                  <c:v>62.150705785939479</c:v>
                </c:pt>
                <c:pt idx="4">
                  <c:v>62.150685280703684</c:v>
                </c:pt>
                <c:pt idx="5">
                  <c:v>62.150662091447813</c:v>
                </c:pt>
                <c:pt idx="6">
                  <c:v>62.150635866865628</c:v>
                </c:pt>
                <c:pt idx="7">
                  <c:v>62.150606209674407</c:v>
                </c:pt>
                <c:pt idx="8">
                  <c:v>62.150572670598464</c:v>
                </c:pt>
                <c:pt idx="9">
                  <c:v>62.150534741566688</c:v>
                </c:pt>
                <c:pt idx="10">
                  <c:v>62.15049184802038</c:v>
                </c:pt>
                <c:pt idx="11">
                  <c:v>62.15044334021529</c:v>
                </c:pt>
                <c:pt idx="12">
                  <c:v>62.15038848338677</c:v>
                </c:pt>
                <c:pt idx="13">
                  <c:v>62.150326446628625</c:v>
                </c:pt>
                <c:pt idx="14">
                  <c:v>62.150256290319859</c:v>
                </c:pt>
                <c:pt idx="15">
                  <c:v>62.150176951907881</c:v>
                </c:pt>
                <c:pt idx="16">
                  <c:v>62.15008722983454</c:v>
                </c:pt>
                <c:pt idx="17">
                  <c:v>62.14998576536351</c:v>
                </c:pt>
                <c:pt idx="18">
                  <c:v>62.149871022035455</c:v>
                </c:pt>
                <c:pt idx="19">
                  <c:v>62.149741262441424</c:v>
                </c:pt>
                <c:pt idx="20">
                  <c:v>62.14959452196706</c:v>
                </c:pt>
                <c:pt idx="21">
                  <c:v>62.149428579113106</c:v>
                </c:pt>
                <c:pt idx="22">
                  <c:v>62.149240921947843</c:v>
                </c:pt>
                <c:pt idx="23">
                  <c:v>62.149028710190862</c:v>
                </c:pt>
                <c:pt idx="24">
                  <c:v>62.148788732360856</c:v>
                </c:pt>
                <c:pt idx="25">
                  <c:v>62.148517357350748</c:v>
                </c:pt>
                <c:pt idx="26">
                  <c:v>62.148210479709078</c:v>
                </c:pt>
                <c:pt idx="27">
                  <c:v>62.147863457818417</c:v>
                </c:pt>
                <c:pt idx="28">
                  <c:v>62.147471044055941</c:v>
                </c:pt>
                <c:pt idx="29">
                  <c:v>62.147027305907528</c:v>
                </c:pt>
                <c:pt idx="30">
                  <c:v>62.146525536879189</c:v>
                </c:pt>
                <c:pt idx="31">
                  <c:v>62.145958155902903</c:v>
                </c:pt>
                <c:pt idx="32">
                  <c:v>62.145316593774382</c:v>
                </c:pt>
                <c:pt idx="33">
                  <c:v>62.144591164982131</c:v>
                </c:pt>
                <c:pt idx="34">
                  <c:v>62.143770923084887</c:v>
                </c:pt>
                <c:pt idx="35">
                  <c:v>62.142843497574546</c:v>
                </c:pt>
                <c:pt idx="36">
                  <c:v>62.141794909917692</c:v>
                </c:pt>
                <c:pt idx="37">
                  <c:v>62.140609366195605</c:v>
                </c:pt>
                <c:pt idx="38">
                  <c:v>62.139269023467833</c:v>
                </c:pt>
                <c:pt idx="39">
                  <c:v>62.137753726660449</c:v>
                </c:pt>
                <c:pt idx="40">
                  <c:v>62.136040712421249</c:v>
                </c:pt>
                <c:pt idx="41">
                  <c:v>62.134104276010568</c:v>
                </c:pt>
                <c:pt idx="42">
                  <c:v>62.131915396878654</c:v>
                </c:pt>
                <c:pt idx="43">
                  <c:v>62.129441318150441</c:v>
                </c:pt>
                <c:pt idx="44">
                  <c:v>62.126645074781912</c:v>
                </c:pt>
                <c:pt idx="45">
                  <c:v>62.123484964679967</c:v>
                </c:pt>
                <c:pt idx="46">
                  <c:v>62.119913956603483</c:v>
                </c:pt>
                <c:pt idx="47">
                  <c:v>62.115879028196268</c:v>
                </c:pt>
                <c:pt idx="48">
                  <c:v>62.111320427061514</c:v>
                </c:pt>
                <c:pt idx="49">
                  <c:v>62.106170847404215</c:v>
                </c:pt>
                <c:pt idx="50">
                  <c:v>62.100354514465224</c:v>
                </c:pt>
                <c:pt idx="51">
                  <c:v>62.093786168803618</c:v>
                </c:pt>
                <c:pt idx="52">
                  <c:v>62.086369942500511</c:v>
                </c:pt>
                <c:pt idx="53">
                  <c:v>62.077998119633605</c:v>
                </c:pt>
                <c:pt idx="54">
                  <c:v>62.068549773993212</c:v>
                </c:pt>
                <c:pt idx="55">
                  <c:v>62.057889278085398</c:v>
                </c:pt>
                <c:pt idx="56">
                  <c:v>62.045864679135121</c:v>
                </c:pt>
                <c:pt idx="57">
                  <c:v>62.032305940206683</c:v>
                </c:pt>
                <c:pt idx="58">
                  <c:v>62.017023047893964</c:v>
                </c:pt>
                <c:pt idx="59">
                  <c:v>61.999803992506699</c:v>
                </c:pt>
                <c:pt idx="60">
                  <c:v>61.980412632510735</c:v>
                </c:pt>
                <c:pt idx="61">
                  <c:v>61.958586462430304</c:v>
                </c:pt>
                <c:pt idx="62">
                  <c:v>61.934034312719973</c:v>
                </c:pt>
                <c:pt idx="63">
                  <c:v>61.90643402148828</c:v>
                </c:pt>
                <c:pt idx="64">
                  <c:v>61.875430131575612</c:v>
                </c:pt>
                <c:pt idx="65">
                  <c:v>61.840631682411676</c:v>
                </c:pt>
                <c:pt idx="66">
                  <c:v>61.801610184211668</c:v>
                </c:pt>
                <c:pt idx="67">
                  <c:v>61.75789788208575</c:v>
                </c:pt>
                <c:pt idx="68">
                  <c:v>61.708986438862823</c:v>
                </c:pt>
                <c:pt idx="69">
                  <c:v>61.654326186793654</c:v>
                </c:pt>
                <c:pt idx="70">
                  <c:v>61.593326118196757</c:v>
                </c:pt>
                <c:pt idx="71">
                  <c:v>61.525354801344527</c:v>
                </c:pt>
                <c:pt idx="72">
                  <c:v>61.449742417672724</c:v>
                </c:pt>
                <c:pt idx="73">
                  <c:v>61.365784116354178</c:v>
                </c:pt>
                <c:pt idx="74">
                  <c:v>61.272744868702887</c:v>
                </c:pt>
                <c:pt idx="75">
                  <c:v>61.169865973993041</c:v>
                </c:pt>
                <c:pt idx="76">
                  <c:v>61.056373316845139</c:v>
                </c:pt>
                <c:pt idx="77">
                  <c:v>60.931487402273433</c:v>
                </c:pt>
                <c:pt idx="78">
                  <c:v>60.794435097772109</c:v>
                </c:pt>
                <c:pt idx="79">
                  <c:v>60.644462895248566</c:v>
                </c:pt>
                <c:pt idx="80">
                  <c:v>60.480851375492534</c:v>
                </c:pt>
                <c:pt idx="81">
                  <c:v>60.302930424244636</c:v>
                </c:pt>
                <c:pt idx="82">
                  <c:v>60.110094625181787</c:v>
                </c:pt>
                <c:pt idx="83">
                  <c:v>59.901818156787726</c:v>
                </c:pt>
                <c:pt idx="84">
                  <c:v>59.677668462793399</c:v>
                </c:pt>
                <c:pt idx="85">
                  <c:v>59.437317962866665</c:v>
                </c:pt>
                <c:pt idx="86">
                  <c:v>59.180553129535625</c:v>
                </c:pt>
                <c:pt idx="87">
                  <c:v>58.907280379552887</c:v>
                </c:pt>
                <c:pt idx="88">
                  <c:v>58.617528405077394</c:v>
                </c:pt>
                <c:pt idx="89">
                  <c:v>58.311446786058085</c:v>
                </c:pt>
                <c:pt idx="90">
                  <c:v>57.989300957859854</c:v>
                </c:pt>
                <c:pt idx="91">
                  <c:v>57.651463832627158</c:v>
                </c:pt>
                <c:pt idx="92">
                  <c:v>57.298404565591021</c:v>
                </c:pt>
                <c:pt idx="93">
                  <c:v>56.930675099962748</c:v>
                </c:pt>
                <c:pt idx="94">
                  <c:v>56.548895205311112</c:v>
                </c:pt>
                <c:pt idx="95">
                  <c:v>56.153736742081136</c:v>
                </c:pt>
                <c:pt idx="96">
                  <c:v>55.745907844859964</c:v>
                </c:pt>
                <c:pt idx="97">
                  <c:v>55.326137630860039</c:v>
                </c:pt>
                <c:pt idx="98">
                  <c:v>54.895161923003322</c:v>
                </c:pt>
                <c:pt idx="99">
                  <c:v>54.453710344800108</c:v>
                </c:pt>
                <c:pt idx="100">
                  <c:v>54.002495011243241</c:v>
                </c:pt>
                <c:pt idx="101">
                  <c:v>53.542200917478397</c:v>
                </c:pt>
                <c:pt idx="102">
                  <c:v>53.073478022700556</c:v>
                </c:pt>
                <c:pt idx="103">
                  <c:v>52.596934944547257</c:v>
                </c:pt>
                <c:pt idx="104">
                  <c:v>52.113134120129899</c:v>
                </c:pt>
                <c:pt idx="105">
                  <c:v>51.622588252344492</c:v>
                </c:pt>
                <c:pt idx="106">
                  <c:v>51.12575784139397</c:v>
                </c:pt>
                <c:pt idx="107">
                  <c:v>50.623049597953994</c:v>
                </c:pt>
                <c:pt idx="108">
                  <c:v>50.114815542468996</c:v>
                </c:pt>
                <c:pt idx="109">
                  <c:v>49.601352611277804</c:v>
                </c:pt>
                <c:pt idx="110">
                  <c:v>49.082902611807938</c:v>
                </c:pt>
                <c:pt idx="111">
                  <c:v>48.559652393723169</c:v>
                </c:pt>
                <c:pt idx="112">
                  <c:v>48.031734129059387</c:v>
                </c:pt>
                <c:pt idx="113">
                  <c:v>47.499225621050925</c:v>
                </c:pt>
                <c:pt idx="114">
                  <c:v>46.962150587941906</c:v>
                </c:pt>
                <c:pt idx="115">
                  <c:v>46.420478894448848</c:v>
                </c:pt>
                <c:pt idx="116">
                  <c:v>45.874126729709161</c:v>
                </c:pt>
                <c:pt idx="117">
                  <c:v>45.322956756718263</c:v>
                </c:pt>
                <c:pt idx="118">
                  <c:v>44.766778284619882</c:v>
                </c:pt>
                <c:pt idx="119">
                  <c:v>44.205347541876776</c:v>
                </c:pt>
                <c:pt idx="120">
                  <c:v>43.638368155203011</c:v>
                </c:pt>
                <c:pt idx="121">
                  <c:v>43.065491965776253</c:v>
                </c:pt>
                <c:pt idx="122">
                  <c:v>42.486320339783369</c:v>
                </c:pt>
                <c:pt idx="123">
                  <c:v>41.900406153400816</c:v>
                </c:pt>
                <c:pt idx="124">
                  <c:v>41.307256650836649</c:v>
                </c:pt>
                <c:pt idx="125">
                  <c:v>40.706337385403202</c:v>
                </c:pt>
                <c:pt idx="126">
                  <c:v>40.097077454497111</c:v>
                </c:pt>
                <c:pt idx="127">
                  <c:v>39.478876226196761</c:v>
                </c:pt>
                <c:pt idx="128">
                  <c:v>38.851111724246195</c:v>
                </c:pt>
                <c:pt idx="129">
                  <c:v>38.21315078627147</c:v>
                </c:pt>
                <c:pt idx="130">
                  <c:v>37.564361035145787</c:v>
                </c:pt>
                <c:pt idx="131">
                  <c:v>36.904124605456786</c:v>
                </c:pt>
                <c:pt idx="132">
                  <c:v>36.231853448876102</c:v>
                </c:pt>
                <c:pt idx="133">
                  <c:v>35.547005910161332</c:v>
                </c:pt>
                <c:pt idx="134">
                  <c:v>34.84910412956043</c:v>
                </c:pt>
                <c:pt idx="135">
                  <c:v>34.13775170082527</c:v>
                </c:pt>
                <c:pt idx="136">
                  <c:v>33.412650912238561</c:v>
                </c:pt>
                <c:pt idx="137">
                  <c:v>32.673618836449947</c:v>
                </c:pt>
                <c:pt idx="138">
                  <c:v>31.920601526394613</c:v>
                </c:pt>
                <c:pt idx="139">
                  <c:v>31.153685626768521</c:v>
                </c:pt>
                <c:pt idx="140">
                  <c:v>30.373106823641912</c:v>
                </c:pt>
                <c:pt idx="141">
                  <c:v>29.579254720440794</c:v>
                </c:pt>
                <c:pt idx="142">
                  <c:v>28.772673930309985</c:v>
                </c:pt>
                <c:pt idx="143">
                  <c:v>27.954061390502076</c:v>
                </c:pt>
                <c:pt idx="144">
                  <c:v>27.124260109248965</c:v>
                </c:pt>
                <c:pt idx="145">
                  <c:v>26.284249726575851</c:v>
                </c:pt>
                <c:pt idx="146">
                  <c:v>25.435134390187244</c:v>
                </c:pt>
                <c:pt idx="147">
                  <c:v>24.578128506489858</c:v>
                </c:pt>
                <c:pt idx="148">
                  <c:v>23.714540924781936</c:v>
                </c:pt>
                <c:pt idx="149">
                  <c:v>22.845758057956019</c:v>
                </c:pt>
                <c:pt idx="150">
                  <c:v>21.973226350654546</c:v>
                </c:pt>
                <c:pt idx="151">
                  <c:v>21.098434394407096</c:v>
                </c:pt>
                <c:pt idx="152">
                  <c:v>20.222894878495318</c:v>
                </c:pt>
                <c:pt idx="153">
                  <c:v>19.348126472962605</c:v>
                </c:pt>
                <c:pt idx="154">
                  <c:v>18.475635680290104</c:v>
                </c:pt>
                <c:pt idx="155">
                  <c:v>17.606898673508944</c:v>
                </c:pt>
                <c:pt idx="156">
                  <c:v>16.743343163537524</c:v>
                </c:pt>
                <c:pt idx="157">
                  <c:v>15.886330403697711</c:v>
                </c:pt>
                <c:pt idx="158">
                  <c:v>15.037137535038237</c:v>
                </c:pt>
                <c:pt idx="159">
                  <c:v>14.196940587586081</c:v>
                </c:pt>
                <c:pt idx="160">
                  <c:v>13.366798561663103</c:v>
                </c:pt>
                <c:pt idx="161">
                  <c:v>12.547639100285883</c:v>
                </c:pt>
                <c:pt idx="162">
                  <c:v>11.74024631008364</c:v>
                </c:pt>
                <c:pt idx="163">
                  <c:v>10.945251280091259</c:v>
                </c:pt>
                <c:pt idx="164">
                  <c:v>10.163125778145449</c:v>
                </c:pt>
                <c:pt idx="165">
                  <c:v>9.3941794751365926</c:v>
                </c:pt>
                <c:pt idx="166">
                  <c:v>8.6385608688786135</c:v>
                </c:pt>
                <c:pt idx="167">
                  <c:v>7.8962618704791643</c:v>
                </c:pt>
                <c:pt idx="168">
                  <c:v>7.167125800386895</c:v>
                </c:pt>
                <c:pt idx="169">
                  <c:v>6.4508583433459599</c:v>
                </c:pt>
                <c:pt idx="170">
                  <c:v>5.7470408528990831</c:v>
                </c:pt>
                <c:pt idx="171">
                  <c:v>5.0551452921496844</c:v>
                </c:pt>
                <c:pt idx="172">
                  <c:v>4.3745500552709071</c:v>
                </c:pt>
                <c:pt idx="173">
                  <c:v>3.7045559323664494</c:v>
                </c:pt>
                <c:pt idx="174">
                  <c:v>3.0444015501983954</c:v>
                </c:pt>
                <c:pt idx="175">
                  <c:v>2.393277729688049</c:v>
                </c:pt>
                <c:pt idx="176">
                  <c:v>1.7503403325226607</c:v>
                </c:pt>
                <c:pt idx="177">
                  <c:v>1.1147213087551551</c:v>
                </c:pt>
                <c:pt idx="178">
                  <c:v>0.48553779231833838</c:v>
                </c:pt>
                <c:pt idx="179">
                  <c:v>-0.1381007872388782</c:v>
                </c:pt>
                <c:pt idx="180">
                  <c:v>-0.75708750623813437</c:v>
                </c:pt>
                <c:pt idx="181">
                  <c:v>-1.3723145099425587</c:v>
                </c:pt>
                <c:pt idx="182">
                  <c:v>-1.9846711250518778</c:v>
                </c:pt>
                <c:pt idx="183">
                  <c:v>-2.5950432670614165</c:v>
                </c:pt>
                <c:pt idx="184">
                  <c:v>-3.2043138602549468</c:v>
                </c:pt>
                <c:pt idx="185">
                  <c:v>-3.8133639716084526</c:v>
                </c:pt>
                <c:pt idx="186">
                  <c:v>-4.4230743513424402</c:v>
                </c:pt>
                <c:pt idx="187">
                  <c:v>-5.0343270699069222</c:v>
                </c:pt>
                <c:pt idx="188">
                  <c:v>-5.6480069424727217</c:v>
                </c:pt>
                <c:pt idx="189">
                  <c:v>-6.2650024374201569</c:v>
                </c:pt>
                <c:pt idx="190">
                  <c:v>-6.8862057759883708</c:v>
                </c:pt>
                <c:pt idx="191">
                  <c:v>-7.5125119484683047</c:v>
                </c:pt>
                <c:pt idx="192">
                  <c:v>-8.1448164013862758</c:v>
                </c:pt>
                <c:pt idx="193">
                  <c:v>-8.7840111940066947</c:v>
                </c:pt>
                <c:pt idx="194">
                  <c:v>-9.4309794853708002</c:v>
                </c:pt>
                <c:pt idx="195">
                  <c:v>-10.08658829876037</c:v>
                </c:pt>
                <c:pt idx="196">
                  <c:v>-10.751679621537416</c:v>
                </c:pt>
                <c:pt idx="197">
                  <c:v>-11.427060035412604</c:v>
                </c:pt>
                <c:pt idx="198">
                  <c:v>-12.113489233292627</c:v>
                </c:pt>
                <c:pt idx="199">
                  <c:v>-12.81166795888473</c:v>
                </c:pt>
                <c:pt idx="200">
                  <c:v>-13.522226096205339</c:v>
                </c:pt>
              </c:numCache>
            </c:numRef>
          </c:yVal>
          <c:smooth val="1"/>
        </c:ser>
        <c:axId val="153500288"/>
        <c:axId val="153502464"/>
      </c:scatterChart>
      <c:valAx>
        <c:axId val="153500288"/>
        <c:scaling>
          <c:logBase val="10"/>
          <c:orientation val="minMax"/>
          <c:max val="3000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2557480936737957"/>
              <c:y val="0.93992613724675478"/>
            </c:manualLayout>
          </c:layout>
        </c:title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crossAx val="153502464"/>
        <c:crosses val="autoZero"/>
        <c:crossBetween val="midCat"/>
      </c:valAx>
      <c:valAx>
        <c:axId val="153502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>
            <c:manualLayout>
              <c:xMode val="edge"/>
              <c:yMode val="edge"/>
              <c:x val="1.5932801498265644E-3"/>
              <c:y val="0.43633300658188467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crossAx val="153500288"/>
        <c:crosses val="autoZero"/>
        <c:crossBetween val="midCat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449967775380394"/>
          <c:y val="3.9475614495016111E-2"/>
          <c:w val="0.8554601582275525"/>
          <c:h val="0.84300742802941664"/>
        </c:manualLayout>
      </c:layout>
      <c:scatterChart>
        <c:scatterStyle val="lineMarker"/>
        <c:ser>
          <c:idx val="2"/>
          <c:order val="0"/>
          <c:tx>
            <c:strRef>
              <c:f>'Minimum input voltage'!$C$9</c:f>
              <c:strCache>
                <c:ptCount val="1"/>
                <c:pt idx="0">
                  <c:v>Vin min (loss of reg)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'Minimum input voltage'!$B$10:$B$15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'Minimum input voltage'!$C$10:$C$15</c:f>
              <c:numCache>
                <c:formatCode>0.00</c:formatCode>
                <c:ptCount val="6"/>
                <c:pt idx="0">
                  <c:v>5.1946391752577323</c:v>
                </c:pt>
                <c:pt idx="1">
                  <c:v>5.2346391752577324</c:v>
                </c:pt>
                <c:pt idx="2">
                  <c:v>5.3546391752577325</c:v>
                </c:pt>
                <c:pt idx="3">
                  <c:v>5.4746391752577326</c:v>
                </c:pt>
                <c:pt idx="4">
                  <c:v>5.5546391752577327</c:v>
                </c:pt>
                <c:pt idx="5">
                  <c:v>5.6346391752577318</c:v>
                </c:pt>
              </c:numCache>
            </c:numRef>
          </c:yVal>
        </c:ser>
        <c:axId val="153645056"/>
        <c:axId val="153646976"/>
      </c:scatterChart>
      <c:valAx>
        <c:axId val="153645056"/>
        <c:scaling>
          <c:orientation val="minMax"/>
          <c:max val="1.25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Iout (A)</a:t>
                </a:r>
              </a:p>
            </c:rich>
          </c:tx>
          <c:layout>
            <c:manualLayout>
              <c:xMode val="edge"/>
              <c:yMode val="edge"/>
              <c:x val="0.4807231391449735"/>
              <c:y val="0.94593765293084064"/>
            </c:manualLayout>
          </c:layout>
        </c:title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crossAx val="153646976"/>
        <c:crosses val="autoZero"/>
        <c:crossBetween val="midCat"/>
        <c:majorUnit val="0.2"/>
        <c:minorUnit val="0.1"/>
      </c:valAx>
      <c:valAx>
        <c:axId val="15364697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Vin (V)</a:t>
                </a:r>
              </a:p>
            </c:rich>
          </c:tx>
          <c:layout/>
        </c:title>
        <c:numFmt formatCode="0.00" sourceLinked="1"/>
        <c:tickLblPos val="nextTo"/>
        <c:spPr>
          <a:ln w="25400">
            <a:solidFill>
              <a:schemeClr val="tx1"/>
            </a:solidFill>
          </a:ln>
        </c:spPr>
        <c:crossAx val="153645056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6358169641606268"/>
          <c:y val="0.45703854221143175"/>
          <c:w val="0.26141171855297446"/>
          <c:h val="0.12858957029863274"/>
        </c:manualLayout>
      </c:layout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583268</xdr:colOff>
      <xdr:row>19</xdr:row>
      <xdr:rowOff>9525</xdr:rowOff>
    </xdr:from>
    <xdr:to>
      <xdr:col>17</xdr:col>
      <xdr:colOff>1095935</xdr:colOff>
      <xdr:row>35</xdr:row>
      <xdr:rowOff>184338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566459</xdr:colOff>
      <xdr:row>0</xdr:row>
      <xdr:rowOff>0</xdr:rowOff>
    </xdr:from>
    <xdr:to>
      <xdr:col>17</xdr:col>
      <xdr:colOff>1075765</xdr:colOff>
      <xdr:row>19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1070164</xdr:colOff>
      <xdr:row>19</xdr:row>
      <xdr:rowOff>10084</xdr:rowOff>
    </xdr:from>
    <xdr:to>
      <xdr:col>26</xdr:col>
      <xdr:colOff>1008531</xdr:colOff>
      <xdr:row>35</xdr:row>
      <xdr:rowOff>188819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1075206</xdr:colOff>
      <xdr:row>0</xdr:row>
      <xdr:rowOff>0</xdr:rowOff>
    </xdr:from>
    <xdr:to>
      <xdr:col>26</xdr:col>
      <xdr:colOff>1008531</xdr:colOff>
      <xdr:row>19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19210</xdr:colOff>
      <xdr:row>19</xdr:row>
      <xdr:rowOff>14327</xdr:rowOff>
    </xdr:from>
    <xdr:to>
      <xdr:col>12</xdr:col>
      <xdr:colOff>582707</xdr:colOff>
      <xdr:row>35</xdr:row>
      <xdr:rowOff>188818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22411</xdr:colOff>
      <xdr:row>0</xdr:row>
      <xdr:rowOff>8726</xdr:rowOff>
    </xdr:from>
    <xdr:to>
      <xdr:col>12</xdr:col>
      <xdr:colOff>582706</xdr:colOff>
      <xdr:row>19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526675</xdr:colOff>
      <xdr:row>36</xdr:row>
      <xdr:rowOff>132790</xdr:rowOff>
    </xdr:from>
    <xdr:ext cx="3318088" cy="280205"/>
    <xdr:sp macro="" textlink="">
      <xdr:nvSpPr>
        <xdr:cNvPr id="9" name="TextBox 8"/>
        <xdr:cNvSpPr txBox="1"/>
      </xdr:nvSpPr>
      <xdr:spPr>
        <a:xfrm>
          <a:off x="6327400" y="6533590"/>
          <a:ext cx="3318088" cy="2802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Closed loop Bode plot (for phase margin reading)</a:t>
          </a:r>
        </a:p>
      </xdr:txBody>
    </xdr:sp>
    <xdr:clientData/>
  </xdr:oneCellAnchor>
  <xdr:oneCellAnchor>
    <xdr:from>
      <xdr:col>14</xdr:col>
      <xdr:colOff>0</xdr:colOff>
      <xdr:row>36</xdr:row>
      <xdr:rowOff>143996</xdr:rowOff>
    </xdr:from>
    <xdr:ext cx="2303131" cy="280205"/>
    <xdr:sp macro="" textlink="">
      <xdr:nvSpPr>
        <xdr:cNvPr id="10" name="TextBox 9"/>
        <xdr:cNvSpPr txBox="1"/>
      </xdr:nvSpPr>
      <xdr:spPr>
        <a:xfrm>
          <a:off x="10696575" y="6544796"/>
          <a:ext cx="2303131" cy="2802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0"/>
            <a:t>Compensator Bode plot (for info)</a:t>
          </a:r>
        </a:p>
      </xdr:txBody>
    </xdr:sp>
    <xdr:clientData/>
  </xdr:oneCellAnchor>
  <xdr:oneCellAnchor>
    <xdr:from>
      <xdr:col>17</xdr:col>
      <xdr:colOff>1844488</xdr:colOff>
      <xdr:row>36</xdr:row>
      <xdr:rowOff>139514</xdr:rowOff>
    </xdr:from>
    <xdr:ext cx="2184829" cy="280205"/>
    <xdr:sp macro="" textlink="">
      <xdr:nvSpPr>
        <xdr:cNvPr id="11" name="TextBox 10"/>
        <xdr:cNvSpPr txBox="1"/>
      </xdr:nvSpPr>
      <xdr:spPr>
        <a:xfrm>
          <a:off x="14341288" y="6540314"/>
          <a:ext cx="2184829" cy="2802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0"/>
            <a:t>Power stage Bode plot (for info)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</xdr:row>
      <xdr:rowOff>123825</xdr:rowOff>
    </xdr:from>
    <xdr:to>
      <xdr:col>11</xdr:col>
      <xdr:colOff>85725</xdr:colOff>
      <xdr:row>24</xdr:row>
      <xdr:rowOff>47626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semi.com/890100/Copy%20of%20NCV8901_DWS,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troduction"/>
      <sheetName val="2. Design Parameters"/>
      <sheetName val="3. Feedback Resistors"/>
      <sheetName val="3. Boost Inductor"/>
      <sheetName val="4. Current Sense Resistor"/>
      <sheetName val="5. Output Capacitors"/>
      <sheetName val="Input Capacitor"/>
      <sheetName val="6. Diode"/>
      <sheetName val="7. MOSFET"/>
      <sheetName val="8. Loop Compensation"/>
      <sheetName val="Design Information"/>
      <sheetName val="Calculations"/>
      <sheetName val="Sheet1"/>
    </sheetNames>
    <sheetDataSet>
      <sheetData sheetId="0" refreshError="1"/>
      <sheetData sheetId="1" refreshError="1"/>
      <sheetData sheetId="2" refreshError="1"/>
      <sheetData sheetId="3">
        <row r="12">
          <cell r="B12">
            <v>2.08E-6</v>
          </cell>
        </row>
      </sheetData>
      <sheetData sheetId="4" refreshError="1"/>
      <sheetData sheetId="5">
        <row r="15">
          <cell r="C15">
            <v>1.0416666666666666E-2</v>
          </cell>
        </row>
      </sheetData>
      <sheetData sheetId="6" refreshError="1"/>
      <sheetData sheetId="7" refreshError="1"/>
      <sheetData sheetId="8" refreshError="1"/>
      <sheetData sheetId="9">
        <row r="1">
          <cell r="AQ1" t="str">
            <v>°</v>
          </cell>
        </row>
        <row r="2">
          <cell r="Z2">
            <v>1</v>
          </cell>
          <cell r="AI2">
            <v>-0.23927531200898353</v>
          </cell>
        </row>
        <row r="3">
          <cell r="Z3">
            <v>1.0634378492473788</v>
          </cell>
          <cell r="AI3">
            <v>-0.25445422772829379</v>
          </cell>
        </row>
        <row r="4">
          <cell r="Z4">
            <v>1.1309000592118907</v>
          </cell>
          <cell r="AI4">
            <v>-0.27059602160855623</v>
          </cell>
        </row>
        <row r="5">
          <cell r="Z5">
            <v>1.2026419266820265</v>
          </cell>
          <cell r="AI5">
            <v>-0.28776176854376251</v>
          </cell>
        </row>
        <row r="6">
          <cell r="Z6">
            <v>1.278934943925458</v>
          </cell>
          <cell r="AI6">
            <v>-0.30601641626158638</v>
          </cell>
        </row>
        <row r="7">
          <cell r="Z7">
            <v>1.3600678260954062</v>
          </cell>
          <cell r="AI7">
            <v>-0.32542903067810408</v>
          </cell>
        </row>
        <row r="8">
          <cell r="Z8">
            <v>1.4463476038134566</v>
          </cell>
          <cell r="AI8">
            <v>-0.34607305675054162</v>
          </cell>
        </row>
        <row r="9">
          <cell r="Z9">
            <v>1.5381007850634825</v>
          </cell>
          <cell r="AI9">
            <v>-0.36802659579766672</v>
          </cell>
        </row>
        <row r="10">
          <cell r="Z10">
            <v>1.6356745907936145</v>
          </cell>
          <cell r="AI10">
            <v>-0.39137270031624344</v>
          </cell>
        </row>
        <row r="11">
          <cell r="Z11">
            <v>1.7394382689021479</v>
          </cell>
          <cell r="AI11">
            <v>-0.41619968738389718</v>
          </cell>
        </row>
        <row r="12">
          <cell r="Z12">
            <v>1.849784491579884</v>
          </cell>
          <cell r="AI12">
            <v>-0.44260147180396053</v>
          </cell>
        </row>
        <row r="13">
          <cell r="Z13">
            <v>1.967130841296868</v>
          </cell>
          <cell r="AI13">
            <v>-0.4706779202164183</v>
          </cell>
        </row>
        <row r="14">
          <cell r="Z14">
            <v>2.0919213910569279</v>
          </cell>
          <cell r="AI14">
            <v>-0.50053522747096824</v>
          </cell>
        </row>
        <row r="15">
          <cell r="Z15">
            <v>2.2246283849001642</v>
          </cell>
          <cell r="AI15">
            <v>-0.53228631663358184</v>
          </cell>
        </row>
        <row r="16">
          <cell r="Z16">
            <v>2.365754025012901</v>
          </cell>
          <cell r="AI16">
            <v>-0.56605126407666728</v>
          </cell>
        </row>
        <row r="17">
          <cell r="Z17">
            <v>2.5158323722080485</v>
          </cell>
          <cell r="AI17">
            <v>-0.60195775118496531</v>
          </cell>
        </row>
        <row r="18">
          <cell r="Z18">
            <v>2.6754313669678584</v>
          </cell>
          <cell r="AI18">
            <v>-0.64014154429451198</v>
          </cell>
        </row>
        <row r="19">
          <cell r="Z19">
            <v>2.8451549786972743</v>
          </cell>
          <cell r="AI19">
            <v>-0.68074700457035575</v>
          </cell>
        </row>
        <row r="20">
          <cell r="Z20">
            <v>3.0256454913213009</v>
          </cell>
          <cell r="AI20">
            <v>-0.72392762961934531</v>
          </cell>
        </row>
        <row r="21">
          <cell r="Z21">
            <v>3.2175859338757533</v>
          </cell>
          <cell r="AI21">
            <v>-0.7698466287279716</v>
          </cell>
        </row>
        <row r="22">
          <cell r="Z22">
            <v>3.42170266528945</v>
          </cell>
          <cell r="AI22">
            <v>-0.81867753370958052</v>
          </cell>
        </row>
        <row r="23">
          <cell r="Z23">
            <v>3.6387681231394358</v>
          </cell>
          <cell r="AI23">
            <v>-0.87060484744162547</v>
          </cell>
        </row>
        <row r="24">
          <cell r="Z24">
            <v>3.8696037467813236</v>
          </cell>
          <cell r="AI24">
            <v>-0.92582473226935946</v>
          </cell>
        </row>
        <row r="25">
          <cell r="Z25">
            <v>4.1150830859167291</v>
          </cell>
          <cell r="AI25">
            <v>-0.98454574054702648</v>
          </cell>
        </row>
        <row r="26">
          <cell r="Z26">
            <v>4.376135106361553</v>
          </cell>
          <cell r="AI26">
            <v>-1.046989589679993</v>
          </cell>
        </row>
        <row r="27">
          <cell r="Z27">
            <v>4.6537477055250784</v>
          </cell>
          <cell r="AI27">
            <v>-1.1133919841180082</v>
          </cell>
        </row>
        <row r="28">
          <cell r="Z28">
            <v>4.9489714509035139</v>
          </cell>
          <cell r="AI28">
            <v>-1.184003486830947</v>
          </cell>
        </row>
        <row r="29">
          <cell r="Z29">
            <v>5.2629235557355134</v>
          </cell>
          <cell r="AI29">
            <v>-1.25909044286813</v>
          </cell>
        </row>
        <row r="30">
          <cell r="Z30">
            <v>5.5967921068647417</v>
          </cell>
          <cell r="AI30">
            <v>-1.3389359576592914</v>
          </cell>
        </row>
        <row r="31">
          <cell r="Z31">
            <v>5.9518405608089449</v>
          </cell>
          <cell r="AI31">
            <v>-1.423840932754149</v>
          </cell>
        </row>
        <row r="32">
          <cell r="Z32">
            <v>6.3294125250499764</v>
          </cell>
          <cell r="AI32">
            <v>-1.5141251617122169</v>
          </cell>
        </row>
        <row r="33">
          <cell r="Z33">
            <v>6.7309368426385694</v>
          </cell>
          <cell r="AI33">
            <v>-1.6101284888399865</v>
          </cell>
        </row>
        <row r="34">
          <cell r="Z34">
            <v>7.1579329993555039</v>
          </cell>
          <cell r="AI34">
            <v>-1.7122120334188695</v>
          </cell>
        </row>
        <row r="35">
          <cell r="Z35">
            <v>7.6120168738914558</v>
          </cell>
          <cell r="AI35">
            <v>-1.820759481966252</v>
          </cell>
        </row>
        <row r="36">
          <cell r="Z36">
            <v>8.0949068528058863</v>
          </cell>
          <cell r="AI36">
            <v>-1.9361784509111435</v>
          </cell>
        </row>
        <row r="37">
          <cell r="Z37">
            <v>8.6084303334057619</v>
          </cell>
          <cell r="AI37">
            <v>-2.0589019218305231</v>
          </cell>
        </row>
        <row r="38">
          <cell r="Z38">
            <v>9.1545306391529166</v>
          </cell>
          <cell r="AI38">
            <v>-2.1893897510670457</v>
          </cell>
        </row>
        <row r="39">
          <cell r="Z39">
            <v>9.7352743737700074</v>
          </cell>
          <cell r="AI39">
            <v>-2.3281302551108847</v>
          </cell>
        </row>
        <row r="40">
          <cell r="Z40">
            <v>10.352859241875105</v>
          </cell>
          <cell r="AI40">
            <v>-2.4756418725558538</v>
          </cell>
        </row>
        <row r="41">
          <cell r="Z41">
            <v>11.009622365740512</v>
          </cell>
          <cell r="AI41">
            <v>-2.6324749027012446</v>
          </cell>
        </row>
        <row r="42">
          <cell r="Z42">
            <v>11.708049129648925</v>
          </cell>
          <cell r="AI42">
            <v>-2.7992133199336693</v>
          </cell>
        </row>
        <row r="43">
          <cell r="Z43">
            <v>12.4507825853165</v>
          </cell>
          <cell r="AI43">
            <v>-2.9764766618443934</v>
          </cell>
        </row>
        <row r="44">
          <cell r="Z44">
            <v>13.240633453975693</v>
          </cell>
          <cell r="AI44">
            <v>-3.164921987570589</v>
          </cell>
        </row>
        <row r="45">
          <cell r="Z45">
            <v>14.080590762968805</v>
          </cell>
          <cell r="AI45">
            <v>-3.3652459010351654</v>
          </cell>
        </row>
        <row r="46">
          <cell r="Z46">
            <v>14.973833157104059</v>
          </cell>
          <cell r="AI46">
            <v>-3.5781866315330149</v>
          </cell>
        </row>
        <row r="47">
          <cell r="Z47">
            <v>15.923740927579823</v>
          </cell>
          <cell r="AI47">
            <v>-3.804526161393651</v>
          </cell>
        </row>
        <row r="48">
          <cell r="Z48">
            <v>16.933908803997952</v>
          </cell>
          <cell r="AI48">
            <v>-4.0450923871503175</v>
          </cell>
        </row>
        <row r="49">
          <cell r="Z49">
            <v>18.008159557874837</v>
          </cell>
          <cell r="AI49">
            <v>-4.3007612966594388</v>
          </cell>
        </row>
        <row r="50">
          <cell r="Z50">
            <v>19.150558469130036</v>
          </cell>
          <cell r="AI50">
            <v>-4.5724591398221559</v>
          </cell>
        </row>
        <row r="51">
          <cell r="Z51">
            <v>20.365428710297824</v>
          </cell>
          <cell r="AI51">
            <v>-4.8611645648267992</v>
          </cell>
        </row>
        <row r="52">
          <cell r="Z52">
            <v>21.657367706679931</v>
          </cell>
          <cell r="AI52">
            <v>-5.1679106850031022</v>
          </cell>
        </row>
        <row r="53">
          <cell r="Z53">
            <v>23.031264534351347</v>
          </cell>
          <cell r="AI53">
            <v>-5.4937870332934695</v>
          </cell>
        </row>
        <row r="54">
          <cell r="Z54">
            <v>24.492318421858034</v>
          </cell>
          <cell r="AI54">
            <v>-5.8399413518123824</v>
          </cell>
        </row>
        <row r="55">
          <cell r="Z55">
            <v>26.046058425622668</v>
          </cell>
          <cell r="AI55">
            <v>-6.2075811528007314</v>
          </cell>
        </row>
        <row r="56">
          <cell r="Z56">
            <v>27.698364353515743</v>
          </cell>
          <cell r="AI56">
            <v>-6.5979749742753002</v>
          </cell>
        </row>
        <row r="57">
          <cell r="Z57">
            <v>29.45548901577305</v>
          </cell>
          <cell r="AI57">
            <v>-7.0124532386473106</v>
          </cell>
        </row>
        <row r="58">
          <cell r="Z58">
            <v>31.324081887463471</v>
          </cell>
          <cell r="AI58">
            <v>-7.4524086053463705</v>
          </cell>
        </row>
        <row r="59">
          <cell r="Z59">
            <v>33.311214272052936</v>
          </cell>
          <cell r="AI59">
            <v>-7.9192956889129551</v>
          </cell>
        </row>
        <row r="60">
          <cell r="Z60">
            <v>35.424406061290533</v>
          </cell>
          <cell r="AI60">
            <v>-8.4146299920454517</v>
          </cell>
        </row>
        <row r="61">
          <cell r="Z61">
            <v>37.67165419268462</v>
          </cell>
          <cell r="AI61">
            <v>-8.9399858787311821</v>
          </cell>
        </row>
        <row r="62">
          <cell r="Z62">
            <v>40.061462912259522</v>
          </cell>
          <cell r="AI62">
            <v>-9.4969933860733207</v>
          </cell>
        </row>
        <row r="63">
          <cell r="Z63">
            <v>42.602875957116908</v>
          </cell>
          <cell r="AI63">
            <v>-10.087333645138447</v>
          </cell>
        </row>
        <row r="64">
          <cell r="Z64">
            <v>45.305510779589277</v>
          </cell>
          <cell r="AI64">
            <v>-10.71273265184063</v>
          </cell>
        </row>
        <row r="65">
          <cell r="Z65">
            <v>48.179594942500358</v>
          </cell>
          <cell r="AI65">
            <v>-11.374953099657228</v>
          </cell>
        </row>
        <row r="66">
          <cell r="Z66">
            <v>51.236004823262483</v>
          </cell>
          <cell r="AI66">
            <v>-12.075783958499066</v>
          </cell>
        </row>
        <row r="67">
          <cell r="Z67">
            <v>54.486306773278585</v>
          </cell>
          <cell r="AI67">
            <v>-12.817027460634787</v>
          </cell>
        </row>
        <row r="68">
          <cell r="Z68">
            <v>57.94280088840825</v>
          </cell>
          <cell r="AI68">
            <v>-13.600483138279156</v>
          </cell>
        </row>
        <row r="69">
          <cell r="Z69">
            <v>61.61856755613799</v>
          </cell>
          <cell r="AI69">
            <v>-14.427928552311434</v>
          </cell>
        </row>
        <row r="70">
          <cell r="Z70">
            <v>65.527516955603716</v>
          </cell>
          <cell r="AI70">
            <v>-15.301096362582202</v>
          </cell>
        </row>
        <row r="71">
          <cell r="Z71">
            <v>69.684441697788372</v>
          </cell>
          <cell r="AI71">
            <v>-16.221647423442462</v>
          </cell>
        </row>
        <row r="72">
          <cell r="Z72">
            <v>74.105072805100434</v>
          </cell>
          <cell r="AI72">
            <v>-17.191139650437155</v>
          </cell>
        </row>
        <row r="73">
          <cell r="Z73">
            <v>78.806139242176371</v>
          </cell>
          <cell r="AI73">
            <v>-18.210992503162743</v>
          </cell>
        </row>
        <row r="74">
          <cell r="Z74">
            <v>83.805431223189501</v>
          </cell>
          <cell r="AI74">
            <v>-19.282447072840149</v>
          </cell>
        </row>
        <row r="75">
          <cell r="Z75">
            <v>89.121867535237712</v>
          </cell>
          <cell r="AI75">
            <v>-20.406521958198322</v>
          </cell>
        </row>
        <row r="76">
          <cell r="Z76">
            <v>94.775567132582992</v>
          </cell>
          <cell r="AI76">
            <v>-21.583965364858773</v>
          </cell>
        </row>
        <row r="77">
          <cell r="Z77">
            <v>100.78792527267464</v>
          </cell>
          <cell r="AI77">
            <v>-22.81520417296024</v>
          </cell>
        </row>
        <row r="78">
          <cell r="Z78">
            <v>107.18169448207877</v>
          </cell>
          <cell r="AI78">
            <v>-24.100291081113195</v>
          </cell>
        </row>
        <row r="79">
          <cell r="Z79">
            <v>113.98107065871142</v>
          </cell>
          <cell r="AI79">
            <v>-25.438851339921477</v>
          </cell>
        </row>
        <row r="80">
          <cell r="Z80">
            <v>121.21178463621371</v>
          </cell>
          <cell r="AI80">
            <v>-26.830031013502186</v>
          </cell>
        </row>
        <row r="81">
          <cell r="Z81">
            <v>128.90119955697148</v>
          </cell>
          <cell r="AI81">
            <v>-28.2724491196645</v>
          </cell>
        </row>
        <row r="82">
          <cell r="Z82">
            <v>137.07841442227294</v>
          </cell>
          <cell r="AI82">
            <v>-29.764156354399585</v>
          </cell>
        </row>
        <row r="83">
          <cell r="Z83">
            <v>145.77437421146283</v>
          </cell>
          <cell r="AI83">
            <v>-31.30260335043091</v>
          </cell>
        </row>
        <row r="84">
          <cell r="Z84">
            <v>155.02198698682062</v>
          </cell>
          <cell r="AI84">
            <v>-32.884621494262198</v>
          </cell>
        </row>
        <row r="85">
          <cell r="Z85">
            <v>164.85624842731968</v>
          </cell>
          <cell r="AI85">
            <v>-34.506419175507403</v>
          </cell>
        </row>
        <row r="86">
          <cell r="Z86">
            <v>175.3143742625403</v>
          </cell>
          <cell r="AI86">
            <v>-36.163595922812732</v>
          </cell>
        </row>
        <row r="87">
          <cell r="Z87">
            <v>186.43594110790573</v>
          </cell>
          <cell r="AI87">
            <v>-37.851176172540072</v>
          </cell>
        </row>
        <row r="88">
          <cell r="Z88">
            <v>198.26303623420247</v>
          </cell>
          <cell r="AI88">
            <v>-39.563663433664836</v>
          </cell>
        </row>
        <row r="89">
          <cell r="Z89">
            <v>210.84041683815525</v>
          </cell>
          <cell r="AI89">
            <v>-41.295114409760536</v>
          </cell>
        </row>
        <row r="90">
          <cell r="Z90">
            <v>224.21567941678887</v>
          </cell>
          <cell r="AI90">
            <v>-43.039231312269678</v>
          </cell>
        </row>
        <row r="91">
          <cell r="Z91">
            <v>238.43943988652958</v>
          </cell>
          <cell r="AI91">
            <v>-44.789469277411179</v>
          </cell>
        </row>
        <row r="92">
          <cell r="Z92">
            <v>253.56552512868072</v>
          </cell>
          <cell r="AI92">
            <v>-46.539154628138981</v>
          </cell>
        </row>
        <row r="93">
          <cell r="Z93">
            <v>269.65117668612646</v>
          </cell>
          <cell r="AI93">
            <v>-48.281608843558757</v>
          </cell>
        </row>
        <row r="94">
          <cell r="Z94">
            <v>286.75726738211927</v>
          </cell>
          <cell r="AI94">
            <v>-50.010272623071856</v>
          </cell>
        </row>
        <row r="95">
          <cell r="Z95">
            <v>304.94853168089651</v>
          </cell>
          <cell r="AI95">
            <v>-51.71882442373402</v>
          </cell>
        </row>
        <row r="96">
          <cell r="Z96">
            <v>324.29381066187881</v>
          </cell>
          <cell r="AI96">
            <v>-53.401288308039852</v>
          </cell>
        </row>
        <row r="97">
          <cell r="Z97">
            <v>344.8663125345048</v>
          </cell>
          <cell r="AI97">
            <v>-55.05212680522385</v>
          </cell>
        </row>
        <row r="98">
          <cell r="Z98">
            <v>366.74388967956821</v>
          </cell>
          <cell r="AI98">
            <v>-56.666315651713774</v>
          </cell>
        </row>
        <row r="99">
          <cell r="Z99">
            <v>390.00933326545766</v>
          </cell>
          <cell r="AI99">
            <v>-58.239398595228124</v>
          </cell>
        </row>
        <row r="100">
          <cell r="Z100">
            <v>414.75068655422291</v>
          </cell>
          <cell r="AI100">
            <v>-59.767521775892071</v>
          </cell>
        </row>
        <row r="101">
          <cell r="Z101">
            <v>441.06157808309626</v>
          </cell>
          <cell r="AI101">
            <v>-61.247448406705416</v>
          </cell>
        </row>
        <row r="102">
          <cell r="Z102">
            <v>469.04157598234281</v>
          </cell>
          <cell r="AI102">
            <v>-62.676555467625604</v>
          </cell>
        </row>
        <row r="103">
          <cell r="Z103">
            <v>498.79656477026373</v>
          </cell>
          <cell r="AI103">
            <v>-64.052814846134225</v>
          </cell>
        </row>
        <row r="104">
          <cell r="Z104">
            <v>530.4391460512702</v>
          </cell>
          <cell r="AI104">
            <v>-65.374761786953115</v>
          </cell>
        </row>
        <row r="105">
          <cell r="Z105">
            <v>564.08906463337905</v>
          </cell>
          <cell r="AI105">
            <v>-66.641453673345225</v>
          </cell>
        </row>
        <row r="106">
          <cell r="Z106">
            <v>599.87366167768641</v>
          </cell>
          <cell r="AI106">
            <v>-67.852422094975836</v>
          </cell>
        </row>
        <row r="107">
          <cell r="Z107">
            <v>637.92835659466812</v>
          </cell>
          <cell r="AI107">
            <v>-69.00762091829327</v>
          </cell>
        </row>
        <row r="108">
          <cell r="Z108">
            <v>678.39715951094945</v>
          </cell>
          <cell r="AI108">
            <v>-70.107372723387442</v>
          </cell>
        </row>
        <row r="109">
          <cell r="Z109">
            <v>721.43321624585462</v>
          </cell>
          <cell r="AI109">
            <v>-71.152315560209431</v>
          </cell>
        </row>
        <row r="110">
          <cell r="Z110">
            <v>767.19938786011153</v>
          </cell>
          <cell r="AI110">
            <v>-72.143351551585368</v>
          </cell>
        </row>
        <row r="111">
          <cell r="Z111">
            <v>815.86886696986198</v>
          </cell>
          <cell r="AI111">
            <v>-73.081598464030833</v>
          </cell>
        </row>
        <row r="112">
          <cell r="Z112">
            <v>867.62583315832671</v>
          </cell>
          <cell r="AI112">
            <v>-73.968345002142044</v>
          </cell>
        </row>
        <row r="113">
          <cell r="Z113">
            <v>922.66614996535543</v>
          </cell>
          <cell r="AI113">
            <v>-74.805010270607582</v>
          </cell>
        </row>
        <row r="114">
          <cell r="Z114">
            <v>981.19810609251715</v>
          </cell>
          <cell r="AI114">
            <v>-75.593107594085268</v>
          </cell>
        </row>
        <row r="115">
          <cell r="Z115">
            <v>1043.443203628628</v>
          </cell>
          <cell r="AI115">
            <v>-76.334212688044772</v>
          </cell>
        </row>
        <row r="116">
          <cell r="Z116">
            <v>1109.6369962786232</v>
          </cell>
          <cell r="AI116">
            <v>-77.029936028281867</v>
          </cell>
        </row>
        <row r="117">
          <cell r="Z117">
            <v>1180.0299807678607</v>
          </cell>
          <cell r="AI117">
            <v>-77.681899166166332</v>
          </cell>
        </row>
        <row r="118">
          <cell r="Z118">
            <v>1254.8885447951977</v>
          </cell>
          <cell r="AI118">
            <v>-78.291714673095356</v>
          </cell>
        </row>
        <row r="119">
          <cell r="Z119">
            <v>1334.4959751221782</v>
          </cell>
          <cell r="AI119">
            <v>-78.86096936344515</v>
          </cell>
        </row>
        <row r="120">
          <cell r="Z120">
            <v>1419.1535296132129</v>
          </cell>
          <cell r="AI120">
            <v>-79.391210433554718</v>
          </cell>
        </row>
        <row r="121">
          <cell r="Z121">
            <v>1509.1815772837017</v>
          </cell>
          <cell r="AI121">
            <v>-79.883934158888508</v>
          </cell>
        </row>
        <row r="122">
          <cell r="Z122">
            <v>1604.9208106703452</v>
          </cell>
          <cell r="AI122">
            <v>-80.340576807448983</v>
          </cell>
        </row>
        <row r="123">
          <cell r="Z123">
            <v>1706.7335351116335</v>
          </cell>
          <cell r="AI123">
            <v>-80.762507450733835</v>
          </cell>
        </row>
        <row r="124">
          <cell r="Z124">
            <v>1815.0050398174897</v>
          </cell>
          <cell r="AI124">
            <v>-81.151022380927287</v>
          </cell>
        </row>
        <row r="125">
          <cell r="Z125">
            <v>1930.1450559166665</v>
          </cell>
          <cell r="AI125">
            <v>-81.507340872261963</v>
          </cell>
        </row>
        <row r="126">
          <cell r="Z126">
            <v>2052.58930699948</v>
          </cell>
          <cell r="AI126">
            <v>-81.832602053935204</v>
          </cell>
        </row>
        <row r="127">
          <cell r="Z127">
            <v>2182.8011580236971</v>
          </cell>
          <cell r="AI127">
            <v>-82.127862690454464</v>
          </cell>
        </row>
        <row r="128">
          <cell r="Z128">
            <v>2321.2733688234066</v>
          </cell>
          <cell r="AI128">
            <v>-82.394095692125092</v>
          </cell>
        </row>
        <row r="129">
          <cell r="Z129">
            <v>2468.5299588567814</v>
          </cell>
          <cell r="AI129">
            <v>-82.632189203144534</v>
          </cell>
        </row>
        <row r="130">
          <cell r="Z130">
            <v>2625.1281902493761</v>
          </cell>
          <cell r="AI130">
            <v>-82.842946137261421</v>
          </cell>
        </row>
        <row r="131">
          <cell r="Z131">
            <v>2791.6606766374607</v>
          </cell>
          <cell r="AI131">
            <v>-83.027084051166227</v>
          </cell>
        </row>
        <row r="132">
          <cell r="Z132">
            <v>2968.757625791824</v>
          </cell>
          <cell r="AI132">
            <v>-83.185235263807513</v>
          </cell>
        </row>
        <row r="133">
          <cell r="Z133">
            <v>3157.0892245088098</v>
          </cell>
          <cell r="AI133">
            <v>-83.317947145819645</v>
          </cell>
        </row>
        <row r="134">
          <cell r="Z134">
            <v>3357.3681747937244</v>
          </cell>
          <cell r="AI134">
            <v>-83.425682517438872</v>
          </cell>
        </row>
        <row r="135">
          <cell r="Z135">
            <v>3570.3523909342362</v>
          </cell>
          <cell r="AI135">
            <v>-83.508820105895026</v>
          </cell>
        </row>
        <row r="136">
          <cell r="Z136">
            <v>3796.8478676703417</v>
          </cell>
          <cell r="AI136">
            <v>-83.567655024558576</v>
          </cell>
        </row>
        <row r="137">
          <cell r="Z137">
            <v>4037.7117303148448</v>
          </cell>
          <cell r="AI137">
            <v>-83.602399246344902</v>
          </cell>
        </row>
        <row r="138">
          <cell r="Z138">
            <v>4293.8554783669315</v>
          </cell>
          <cell r="AI138">
            <v>-83.613182053292022</v>
          </cell>
        </row>
        <row r="139">
          <cell r="Z139">
            <v>4566.248434893605</v>
          </cell>
          <cell r="AI139">
            <v>-83.600050453082403</v>
          </cell>
        </row>
        <row r="140">
          <cell r="Z140">
            <v>4855.9214147324665</v>
          </cell>
          <cell r="AI140">
            <v>-83.5629695618249</v>
          </cell>
        </row>
        <row r="141">
          <cell r="Z141">
            <v>5163.9706253973836</v>
          </cell>
          <cell r="AI141">
            <v>-83.5018229609027</v>
          </cell>
        </row>
        <row r="142">
          <cell r="Z142">
            <v>5491.5618154492358</v>
          </cell>
          <cell r="AI142">
            <v>-83.416413044366493</v>
          </cell>
        </row>
        <row r="143">
          <cell r="Z143">
            <v>5839.9346860303567</v>
          </cell>
          <cell r="AI143">
            <v>-83.306461382467688</v>
          </cell>
        </row>
        <row r="144">
          <cell r="Z144">
            <v>6210.4075822572904</v>
          </cell>
          <cell r="AI144">
            <v>-83.171609136728549</v>
          </cell>
        </row>
        <row r="145">
          <cell r="Z145">
            <v>6604.3824822253073</v>
          </cell>
          <cell r="AI145">
            <v>-83.011417572692821</v>
          </cell>
        </row>
        <row r="146">
          <cell r="Z146">
            <v>7023.3503025047467</v>
          </cell>
          <cell r="AI146">
            <v>-82.825368728446676</v>
          </cell>
        </row>
        <row r="147">
          <cell r="Z147">
            <v>7468.8965402065769</v>
          </cell>
          <cell r="AI147">
            <v>-82.612866310399383</v>
          </cell>
        </row>
        <row r="148">
          <cell r="Z148">
            <v>7942.7072729684578</v>
          </cell>
          <cell r="AI148">
            <v>-82.373236902914059</v>
          </cell>
        </row>
        <row r="149">
          <cell r="Z149">
            <v>8446.5755395671058</v>
          </cell>
          <cell r="AI149">
            <v>-82.10573159540364</v>
          </cell>
        </row>
        <row r="150">
          <cell r="Z150">
            <v>8982.4081253027471</v>
          </cell>
          <cell r="AI150">
            <v>-81.809528149658718</v>
          </cell>
        </row>
        <row r="151">
          <cell r="Z151">
            <v>9552.2327778341514</v>
          </cell>
          <cell r="AI151">
            <v>-81.483733851571529</v>
          </cell>
        </row>
        <row r="152">
          <cell r="Z152">
            <v>10158.205880770249</v>
          </cell>
          <cell r="AI152">
            <v>-81.127389215123486</v>
          </cell>
        </row>
        <row r="153">
          <cell r="Z153">
            <v>10802.620614058389</v>
          </cell>
          <cell r="AI153">
            <v>-80.739472732408217</v>
          </cell>
        </row>
        <row r="154">
          <cell r="Z154">
            <v>11487.915632049675</v>
          </cell>
          <cell r="AI154">
            <v>-80.318906891292016</v>
          </cell>
        </row>
        <row r="155">
          <cell r="Z155">
            <v>12216.684292082227</v>
          </cell>
          <cell r="AI155">
            <v>-79.864565711511219</v>
          </cell>
        </row>
        <row r="156">
          <cell r="Z156">
            <v>12991.684468506162</v>
          </cell>
          <cell r="AI156">
            <v>-79.375284079672412</v>
          </cell>
        </row>
        <row r="157">
          <cell r="Z157">
            <v>13815.848989288772</v>
          </cell>
          <cell r="AI157">
            <v>-78.849869192377128</v>
          </cell>
        </row>
        <row r="158">
          <cell r="Z158">
            <v>14692.296734695852</v>
          </cell>
          <cell r="AI158">
            <v>-78.287114442571095</v>
          </cell>
        </row>
        <row r="159">
          <cell r="Z159">
            <v>15624.344440049217</v>
          </cell>
          <cell r="AI159">
            <v>-77.685816104547811</v>
          </cell>
        </row>
        <row r="160">
          <cell r="Z160">
            <v>16615.519247226184</v>
          </cell>
          <cell r="AI160">
            <v>-77.0447931842522</v>
          </cell>
        </row>
        <row r="161">
          <cell r="Z161">
            <v>17669.572052398642</v>
          </cell>
          <cell r="AI161">
            <v>-76.362910799144842</v>
          </cell>
        </row>
        <row r="162">
          <cell r="Z162">
            <v>18790.49170052441</v>
          </cell>
          <cell r="AI162">
            <v>-75.639107430344211</v>
          </cell>
        </row>
        <row r="163">
          <cell r="Z163">
            <v>19982.5200803064</v>
          </cell>
          <cell r="AI163">
            <v>-74.872426342542155</v>
          </cell>
        </row>
        <row r="164">
          <cell r="Z164">
            <v>21250.168176743602</v>
          </cell>
          <cell r="AI164">
            <v>-74.062051386930293</v>
          </cell>
        </row>
        <row r="165">
          <cell r="Z165">
            <v>22598.233142021272</v>
          </cell>
          <cell r="AI165">
            <v>-73.207347281315336</v>
          </cell>
        </row>
        <row r="166">
          <cell r="Z166">
            <v>24031.816449341983</v>
          </cell>
          <cell r="AI166">
            <v>-72.307904292235307</v>
          </cell>
        </row>
        <row r="167">
          <cell r="Z167">
            <v>25556.343198396022</v>
          </cell>
          <cell r="AI167">
            <v>-71.363587020038352</v>
          </cell>
        </row>
        <row r="168">
          <cell r="Z168">
            <v>27177.582645530147</v>
          </cell>
          <cell r="AI168">
            <v>-70.374586706121903</v>
          </cell>
        </row>
        <row r="169">
          <cell r="Z169">
            <v>28901.670036305419</v>
          </cell>
          <cell r="AI169">
            <v>-69.341476143040538</v>
          </cell>
        </row>
        <row r="170">
          <cell r="Z170">
            <v>30735.129823066054</v>
          </cell>
          <cell r="AI170">
            <v>-68.265265880886076</v>
          </cell>
        </row>
        <row r="171">
          <cell r="Z171">
            <v>32684.900355380338</v>
          </cell>
          <cell r="AI171">
            <v>-67.147460003989934</v>
          </cell>
        </row>
        <row r="172">
          <cell r="Z172">
            <v>34758.360136790499</v>
          </cell>
          <cell r="AI172">
            <v>-65.99010932804147</v>
          </cell>
        </row>
        <row r="173">
          <cell r="Z173">
            <v>36963.355747234389</v>
          </cell>
          <cell r="AI173">
            <v>-64.795859478000963</v>
          </cell>
        </row>
        <row r="174">
          <cell r="Z174">
            <v>39308.231536804677</v>
          </cell>
          <cell r="AI174">
            <v>-63.567991001218999</v>
          </cell>
        </row>
        <row r="175">
          <cell r="Z175">
            <v>41801.861203217486</v>
          </cell>
          <cell r="AI175">
            <v>-62.31044850477452</v>
          </cell>
        </row>
        <row r="176">
          <cell r="Z176">
            <v>44453.681372487059</v>
          </cell>
          <cell r="AI176">
            <v>-61.027855839467477</v>
          </cell>
        </row>
        <row r="177">
          <cell r="Z177">
            <v>47273.727309885995</v>
          </cell>
          <cell r="AI177">
            <v>-59.725514635927944</v>
          </cell>
        </row>
        <row r="178">
          <cell r="Z178">
            <v>50272.670896332245</v>
          </cell>
          <cell r="AI178">
            <v>-58.409384063545794</v>
          </cell>
        </row>
        <row r="179">
          <cell r="Z179">
            <v>53461.861013916772</v>
          </cell>
          <cell r="AI179">
            <v>-57.086040533777485</v>
          </cell>
        </row>
        <row r="180">
          <cell r="Z180">
            <v>56853.366493401947</v>
          </cell>
          <cell r="AI180">
            <v>-55.762617171165033</v>
          </cell>
        </row>
        <row r="181">
          <cell r="Z181">
            <v>60460.02178621637</v>
          </cell>
          <cell r="AI181">
            <v>-54.446724151684151</v>
          </cell>
        </row>
        <row r="182">
          <cell r="Z182">
            <v>64295.47553378361</v>
          </cell>
          <cell r="AI182">
            <v>-53.146352344260698</v>
          </cell>
        </row>
        <row r="183">
          <cell r="Z183">
            <v>68374.242217984312</v>
          </cell>
          <cell r="AI183">
            <v>-51.869763947058459</v>
          </cell>
        </row>
        <row r="184">
          <cell r="Z184">
            <v>72711.757088212587</v>
          </cell>
          <cell r="AI184">
            <v>-50.62537483873875</v>
          </cell>
        </row>
        <row r="185">
          <cell r="Z185">
            <v>77324.434572886516</v>
          </cell>
          <cell r="AI185">
            <v>-49.421634037211462</v>
          </cell>
        </row>
        <row r="186">
          <cell r="Z186">
            <v>82229.730396460247</v>
          </cell>
          <cell r="AI186">
            <v>-48.266905885579291</v>
          </cell>
        </row>
        <row r="187">
          <cell r="Z187">
            <v>87446.207637003507</v>
          </cell>
          <cell r="AI187">
            <v>-47.169360335137043</v>
          </cell>
        </row>
        <row r="188">
          <cell r="Z188">
            <v>92993.606974334747</v>
          </cell>
          <cell r="AI188">
            <v>-46.136875999393219</v>
          </cell>
        </row>
        <row r="189">
          <cell r="Z189">
            <v>98892.921394542427</v>
          </cell>
          <cell r="AI189">
            <v>-45.176959599117851</v>
          </cell>
        </row>
        <row r="190">
          <cell r="Z190">
            <v>105166.47563360249</v>
          </cell>
          <cell r="AI190">
            <v>-44.296684134785608</v>
          </cell>
        </row>
        <row r="191">
          <cell r="Z191">
            <v>111838.01066072512</v>
          </cell>
          <cell r="AI191">
            <v>-43.50264675564101</v>
          </cell>
        </row>
        <row r="192">
          <cell r="Z192">
            <v>118932.77352114675</v>
          </cell>
          <cell r="AI192">
            <v>-42.800945983951806</v>
          </cell>
        </row>
        <row r="193">
          <cell r="Z193">
            <v>126477.61287835392</v>
          </cell>
          <cell r="AI193">
            <v>-42.197176813222654</v>
          </cell>
        </row>
        <row r="194">
          <cell r="Z194">
            <v>134501.0806172993</v>
          </cell>
          <cell r="AI194">
            <v>-41.696441306611348</v>
          </cell>
        </row>
        <row r="195">
          <cell r="Z195">
            <v>143033.53989310883</v>
          </cell>
          <cell r="AI195">
            <v>-41.303371711348923</v>
          </cell>
        </row>
        <row r="196">
          <cell r="Z196">
            <v>152107.28003416685</v>
          </cell>
          <cell r="AI196">
            <v>-41.022162773651218</v>
          </cell>
        </row>
        <row r="197">
          <cell r="Z197">
            <v>161756.63873440344</v>
          </cell>
          <cell r="AI197">
            <v>-40.856609854514879</v>
          </cell>
        </row>
        <row r="198">
          <cell r="Z198">
            <v>172018.13199719929</v>
          </cell>
          <cell r="AI198">
            <v>-40.810149560286554</v>
          </cell>
        </row>
        <row r="199">
          <cell r="Z199">
            <v>182930.59232265301</v>
          </cell>
          <cell r="AI199">
            <v>-40.885899856543205</v>
          </cell>
        </row>
        <row r="200">
          <cell r="Z200">
            <v>194535.31566115122</v>
          </cell>
          <cell r="AI200">
            <v>-41.086696975273121</v>
          </cell>
        </row>
        <row r="201">
          <cell r="Z201">
            <v>206876.21768935499</v>
          </cell>
          <cell r="AI201">
            <v>-41.415126807756721</v>
          </cell>
        </row>
        <row r="202">
          <cell r="AI202">
            <v>-41.873548864724313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3"/>
  <sheetViews>
    <sheetView tabSelected="1" zoomScaleNormal="100" workbookViewId="0">
      <selection activeCell="B4" sqref="B4"/>
    </sheetView>
  </sheetViews>
  <sheetFormatPr defaultRowHeight="15"/>
  <cols>
    <col min="1" max="1" width="49.28515625" style="7" customWidth="1"/>
    <col min="2" max="2" width="12.85546875" style="7" customWidth="1"/>
    <col min="3" max="3" width="8.28515625" style="7" customWidth="1"/>
    <col min="4" max="4" width="9.5703125" style="8" customWidth="1"/>
    <col min="5" max="5" width="6.85546875" style="49" customWidth="1"/>
    <col min="6" max="6" width="9.140625" style="52" hidden="1" customWidth="1"/>
    <col min="7" max="7" width="13.85546875" style="52" hidden="1" customWidth="1"/>
    <col min="8" max="8" width="9.140625" style="83"/>
    <col min="9" max="9" width="9.140625" style="7" customWidth="1"/>
    <col min="10" max="11" width="12.28515625" style="7" bestFit="1" customWidth="1"/>
    <col min="12" max="12" width="12.28515625" style="7" customWidth="1"/>
    <col min="13" max="16" width="9.140625" style="7"/>
    <col min="17" max="17" width="8.7109375" style="7" customWidth="1"/>
    <col min="18" max="18" width="30.7109375" style="15" customWidth="1"/>
    <col min="19" max="23" width="30.7109375" style="15" hidden="1" customWidth="1"/>
    <col min="24" max="24" width="10.7109375" style="15" customWidth="1"/>
    <col min="25" max="25" width="5.85546875" style="49" customWidth="1"/>
    <col min="26" max="26" width="7.7109375" style="49" customWidth="1"/>
    <col min="27" max="27" width="18" style="49" customWidth="1"/>
    <col min="28" max="28" width="4.85546875" style="49" customWidth="1"/>
    <col min="29" max="29" width="13.140625" style="49" customWidth="1"/>
    <col min="30" max="30" width="39.28515625" style="49" customWidth="1"/>
    <col min="31" max="31" width="40.42578125" style="49" customWidth="1"/>
    <col min="32" max="32" width="37.5703125" style="49" customWidth="1"/>
    <col min="33" max="33" width="14.140625" style="49" customWidth="1"/>
    <col min="34" max="34" width="14.5703125" style="49" customWidth="1"/>
    <col min="35" max="35" width="14" style="49" customWidth="1"/>
    <col min="36" max="36" width="13.28515625" style="49" customWidth="1"/>
    <col min="37" max="37" width="14.42578125" style="49" customWidth="1"/>
    <col min="38" max="38" width="39" style="49" customWidth="1"/>
    <col min="39" max="39" width="40.28515625" style="49" customWidth="1"/>
    <col min="40" max="40" width="35.7109375" style="49" customWidth="1"/>
    <col min="41" max="42" width="14.7109375" style="49" customWidth="1"/>
    <col min="43" max="44" width="14.28515625" style="49" customWidth="1"/>
    <col min="45" max="45" width="15" style="49" customWidth="1"/>
    <col min="46" max="46" width="14.140625" style="49" customWidth="1"/>
    <col min="47" max="47" width="10.7109375" style="7" customWidth="1"/>
    <col min="48" max="48" width="8.7109375" style="7" customWidth="1"/>
    <col min="49" max="16384" width="9.140625" style="7"/>
  </cols>
  <sheetData>
    <row r="1" spans="1:46">
      <c r="A1" s="6" t="s">
        <v>0</v>
      </c>
      <c r="B1" s="22" t="s">
        <v>1</v>
      </c>
      <c r="D1" s="7"/>
      <c r="S1" s="15" t="s">
        <v>9</v>
      </c>
      <c r="T1" s="15">
        <f>B16</f>
        <v>0.45666666666666672</v>
      </c>
      <c r="Z1" s="49" t="s">
        <v>10</v>
      </c>
      <c r="AA1" s="49" t="s">
        <v>11</v>
      </c>
      <c r="AB1" s="49" t="s">
        <v>12</v>
      </c>
      <c r="AC1" s="49" t="s">
        <v>13</v>
      </c>
      <c r="AD1" s="49" t="s">
        <v>14</v>
      </c>
      <c r="AE1" s="49" t="s">
        <v>15</v>
      </c>
      <c r="AF1" s="49" t="s">
        <v>16</v>
      </c>
      <c r="AG1" s="49" t="s">
        <v>17</v>
      </c>
      <c r="AH1" s="49" t="s">
        <v>18</v>
      </c>
      <c r="AI1" s="50" t="s">
        <v>19</v>
      </c>
      <c r="AJ1" s="50" t="s">
        <v>20</v>
      </c>
      <c r="AK1" s="50" t="s">
        <v>21</v>
      </c>
      <c r="AL1" s="50" t="s">
        <v>22</v>
      </c>
      <c r="AM1" s="50" t="s">
        <v>23</v>
      </c>
      <c r="AN1" s="50" t="s">
        <v>24</v>
      </c>
      <c r="AO1" s="50" t="s">
        <v>25</v>
      </c>
      <c r="AP1" s="49" t="s">
        <v>18</v>
      </c>
      <c r="AQ1" s="50" t="s">
        <v>19</v>
      </c>
      <c r="AR1" s="50" t="s">
        <v>20</v>
      </c>
      <c r="AS1" s="50" t="s">
        <v>20</v>
      </c>
      <c r="AT1" s="50" t="s">
        <v>19</v>
      </c>
    </row>
    <row r="2" spans="1:46" ht="10.5" customHeight="1">
      <c r="A2" s="3"/>
      <c r="B2" s="80"/>
      <c r="C2" s="9"/>
      <c r="D2" s="9"/>
      <c r="S2" s="15" t="s">
        <v>27</v>
      </c>
      <c r="T2" s="15">
        <f>1-D_</f>
        <v>0.54333333333333322</v>
      </c>
      <c r="V2" s="15" t="s">
        <v>28</v>
      </c>
      <c r="W2" s="15">
        <f>G10</f>
        <v>6283185.307179587</v>
      </c>
      <c r="Y2" s="49">
        <v>0</v>
      </c>
      <c r="Z2" s="49">
        <f>10^(LOG($G$6/$G$5,10)*Y2/200)</f>
        <v>1</v>
      </c>
      <c r="AA2" s="49" t="str">
        <f>IMPRODUCT(COMPLEX(0,1),2*PI()*Z2)</f>
        <v>6.28318530717959i</v>
      </c>
      <c r="AB2" s="49">
        <f t="shared" ref="AB2:AB65" si="0">$B$22/$G$3</f>
        <v>11.052166224580018</v>
      </c>
      <c r="AC2" s="51">
        <f>1/(1+D7*B22/(D23/1000000)*(G8*(1-B16)-0.5))</f>
        <v>0.73289708506841178</v>
      </c>
      <c r="AD2" s="49" t="str">
        <f>IMDIV(IMSUM(1,IMDIV(AA2,$G$12)),IMSUM(1,IMDIV(AA2,$G$14)))</f>
        <v>0.999999963245412-0.000191557841873155i</v>
      </c>
      <c r="AE2" s="49" t="str">
        <f>IMDIV(1,IMSUM(1,IMDIV(AA2,IMPRODUCT($G$10*$G$11)),IMDIV(IMPRODUCT(AA2,AA2),$G$10*$G$10)))</f>
        <v>0.999999999999538-1.20906437268221E-06i</v>
      </c>
      <c r="AF2" s="49" t="str">
        <f>IF(D_&lt;Dmax,IMPRODUCT(AB2,AC$2,AD2,AE2),0)</f>
        <v>8.10010011009062-0.00156143129589518i</v>
      </c>
      <c r="AG2" s="49">
        <f>IMABS(AF2)</f>
        <v>8.100100260586764</v>
      </c>
      <c r="AH2" s="49">
        <f>IMARGUMENT(AF2)</f>
        <v>-1.9276691094343278E-4</v>
      </c>
      <c r="AI2" s="49">
        <f t="shared" ref="AI2:AI65" si="1">AH2/(PI())*180</f>
        <v>-1.1044730426832901E-2</v>
      </c>
      <c r="AJ2" s="49">
        <f>20*LOG(AG2,10)</f>
        <v>18.169807889548558</v>
      </c>
      <c r="AK2" s="28">
        <f>-0.8/B48*B13*B52</f>
        <v>-158.14400000000001</v>
      </c>
      <c r="AL2" s="49" t="str">
        <f>IMDIV(1,IMSUM(1,IMDIV(AA2,wp2e)))</f>
        <v>0.999975096329128-0.00499029565045194i</v>
      </c>
      <c r="AM2" s="49" t="str">
        <f>IMDIV(IMSUM(1,IMDIV(AA2,wz2e)),IMSUM(1,IMDIV(AA2,wp1e)))</f>
        <v>1.00000000013239+0.000039018580757136i</v>
      </c>
      <c r="AN2" s="49" t="str">
        <f>IMPRODUCT($AK$2,AL2,AM2)</f>
        <v>-158.140092447701+0.783014914683752i</v>
      </c>
      <c r="AO2" s="49">
        <f>IMABS(AN2)</f>
        <v>158.14203094599497</v>
      </c>
      <c r="AP2" s="49">
        <f>IMARGUMENT(AN2)</f>
        <v>3.1366412936673025</v>
      </c>
      <c r="AQ2" s="49">
        <f>AP2/(PI())*180</f>
        <v>179.71630797359106</v>
      </c>
      <c r="AR2" s="49">
        <f>20*LOG(AO2,10)</f>
        <v>43.980946238866039</v>
      </c>
      <c r="AS2" s="49">
        <f>AR2+AJ2</f>
        <v>62.150754128414597</v>
      </c>
      <c r="AT2" s="49">
        <f>AQ2+AI2</f>
        <v>179.70526324316421</v>
      </c>
    </row>
    <row r="3" spans="1:46" ht="9" customHeight="1">
      <c r="A3" s="3"/>
      <c r="B3" s="80"/>
      <c r="C3" s="9"/>
      <c r="D3" s="9"/>
      <c r="F3" s="64" t="s">
        <v>66</v>
      </c>
      <c r="G3" s="65">
        <v>0.377</v>
      </c>
      <c r="S3" s="15" t="s">
        <v>30</v>
      </c>
      <c r="T3" s="15">
        <f>D7</f>
        <v>4.9999999999999998E-7</v>
      </c>
      <c r="U3" s="15" t="s">
        <v>11</v>
      </c>
      <c r="V3" s="15" t="s">
        <v>31</v>
      </c>
      <c r="W3" s="15">
        <f>G11</f>
        <v>0.82708582156144617</v>
      </c>
      <c r="Y3" s="49">
        <v>1</v>
      </c>
      <c r="Z3" s="49">
        <f t="shared" ref="Z3:Z66" si="2">10^(LOG($G$6/$G$5,10)*Y3/200)</f>
        <v>1.0634378492473788</v>
      </c>
      <c r="AA3" s="49" t="str">
        <f>IMPRODUCT(COMPLEX(0,1),2*PI()*Z3)</f>
        <v>6.68177706948979i</v>
      </c>
      <c r="AB3" s="49">
        <f t="shared" si="0"/>
        <v>11.052166224580018</v>
      </c>
      <c r="AD3" s="49" t="str">
        <f t="shared" ref="AD3:AD66" si="3">IMDIV(IMSUM(1,IMDIV(AA3,$G$12)),IMSUM(1,IMDIV(AA3,$G$14)))</f>
        <v>0.999999958434235-0.000203709858386366i</v>
      </c>
      <c r="AE3" s="49" t="str">
        <f t="shared" ref="AE3:AE66" si="4">IMDIV(1,IMSUM(1,IMDIV(AA3,IMPRODUCT($G$10*$G$11)),IMDIV(IMPRODUCT(AA3,AA3),$G$10*$G$10)))</f>
        <v>0.999999999999478-1.28576481608689E-06i</v>
      </c>
      <c r="AF3" s="49" t="str">
        <f>IF(D_&lt;Dmax,IMPRODUCT(AB3,AC$2,AD3,AE3),0)</f>
        <v>8.10010007087355-0.00166048513105232i</v>
      </c>
      <c r="AG3" s="49">
        <f t="shared" ref="AG3:AG66" si="5">IMABS(AF3)</f>
        <v>8.100100241069649</v>
      </c>
      <c r="AH3" s="49">
        <f>IMARGUMENT(AF3)</f>
        <v>-2.0499562885197895E-4</v>
      </c>
      <c r="AI3" s="49">
        <f t="shared" si="1"/>
        <v>-1.1745384351848643E-2</v>
      </c>
      <c r="AJ3" s="49">
        <f>20*LOG(AG3,10)</f>
        <v>18.169807868619991</v>
      </c>
      <c r="AL3" s="49" t="str">
        <f>IMDIV(1,IMSUM(1,IMDIV(AA3,wp2e)))</f>
        <v>0.999971836528946-0.00530685197386091i</v>
      </c>
      <c r="AM3" s="49" t="str">
        <f>IMDIV(IMSUM(1,IMDIV(AA3,wz2e)),IMSUM(1,IMDIV(AA3,wp1e)))</f>
        <v>1.00000000014972+0.0000414938356009914i</v>
      </c>
      <c r="AN3" s="49" t="str">
        <f>IMPRODUCT($AK$2,AL3,AM3)</f>
        <v>-158.139580963279+0.832684982351358i</v>
      </c>
      <c r="AO3" s="49">
        <f t="shared" ref="AO3:AO66" si="6">IMABS(AN3)</f>
        <v>158.14177320215336</v>
      </c>
      <c r="AP3" s="49">
        <f t="shared" ref="AP3:AP66" si="7">IMARGUMENT(AN3)</f>
        <v>3.136327195809677</v>
      </c>
      <c r="AQ3" s="49">
        <f t="shared" ref="AQ3:AQ66" si="8">AP3/(PI())*180</f>
        <v>179.69831149199501</v>
      </c>
      <c r="AR3" s="49">
        <f t="shared" ref="AR3:AR66" si="9">20*LOG(AO3,10)</f>
        <v>43.980932082374089</v>
      </c>
      <c r="AS3" s="49">
        <f>AR3+AJ3</f>
        <v>62.15073995099408</v>
      </c>
      <c r="AT3" s="49">
        <f>AQ3+AI3</f>
        <v>179.68656610764316</v>
      </c>
    </row>
    <row r="4" spans="1:46">
      <c r="A4" s="3" t="s">
        <v>60</v>
      </c>
      <c r="B4" s="2">
        <v>12</v>
      </c>
      <c r="C4" s="9" t="s">
        <v>70</v>
      </c>
      <c r="D4" s="27">
        <v>3.3</v>
      </c>
      <c r="F4" s="42" t="s">
        <v>36</v>
      </c>
      <c r="G4" s="61">
        <f>(B4-B5)/D23*G3*1000000</f>
        <v>1199545.4545454544</v>
      </c>
      <c r="Y4" s="49">
        <v>2</v>
      </c>
      <c r="Z4" s="49">
        <f t="shared" si="2"/>
        <v>1.1309000592118907</v>
      </c>
      <c r="AA4" s="49" t="str">
        <f t="shared" ref="AA4:AA67" si="10">IMPRODUCT(COMPLEX(0,1),2*PI()*Z4)</f>
        <v>7.10565463592868i</v>
      </c>
      <c r="AB4" s="49">
        <f t="shared" si="0"/>
        <v>11.052166224580018</v>
      </c>
      <c r="AD4" s="49" t="str">
        <f t="shared" si="3"/>
        <v>0.999999952993274-0.000216632772492262i</v>
      </c>
      <c r="AE4" s="49" t="str">
        <f t="shared" si="4"/>
        <v>0.999999999999409-0.0000013673309706575i</v>
      </c>
      <c r="AF4" s="49" t="str">
        <f t="shared" ref="AF4:AF10" si="11">IF(D_&lt;Dmax,IMPRODUCT(AB4,AC$2,AD4,AE4),0)</f>
        <v>8.10010002652294-0.00176582272684998i</v>
      </c>
      <c r="AG4" s="49">
        <f t="shared" si="5"/>
        <v>8.1001002189977154</v>
      </c>
      <c r="AH4" s="49">
        <f t="shared" ref="AH4:AH35" si="12">IMARGUMENT(AF4)</f>
        <v>-2.1800011025727601E-4</v>
      </c>
      <c r="AI4" s="49">
        <f t="shared" si="1"/>
        <v>-1.2490486251128523E-2</v>
      </c>
      <c r="AJ4" s="49">
        <f t="shared" ref="AJ4:AJ35" si="13">20*LOG(AG4,10)</f>
        <v>18.169807844951841</v>
      </c>
      <c r="AL4" s="49" t="str">
        <f t="shared" ref="AL4:AL35" si="14">IMDIV(1,IMSUM(1,IMDIV(AA4,wp2e)))</f>
        <v>0.999968150046336-0.00564348644407956i</v>
      </c>
      <c r="AM4" s="49" t="str">
        <f t="shared" ref="AM4:AM35" si="15">IMDIV(IMSUM(1,IMDIV(AA4,wz2e)),IMSUM(1,IMDIV(AA4,wp1e)))</f>
        <v>1.00000000016931+0.0000441261152884675i</v>
      </c>
      <c r="AN4" s="49" t="str">
        <f t="shared" ref="AN4:AN35" si="16">IMPRODUCT($AK$2,AL4,AM4)</f>
        <v>-158.139002529533+0.885505462245352i</v>
      </c>
      <c r="AO4" s="49">
        <f t="shared" si="6"/>
        <v>158.14148172114523</v>
      </c>
      <c r="AP4" s="49">
        <f t="shared" si="7"/>
        <v>3.1359931734280582</v>
      </c>
      <c r="AQ4" s="49">
        <f t="shared" si="8"/>
        <v>179.67917341926537</v>
      </c>
      <c r="AR4" s="49">
        <f t="shared" si="9"/>
        <v>43.980916072852061</v>
      </c>
      <c r="AS4" s="49">
        <f t="shared" ref="AS4:AS35" si="17">AR4+AJ4</f>
        <v>62.150723917803901</v>
      </c>
      <c r="AT4" s="49">
        <f t="shared" ref="AT4:AT35" si="18">AQ4+AI4</f>
        <v>179.66668293301424</v>
      </c>
    </row>
    <row r="5" spans="1:46">
      <c r="A5" s="3" t="s">
        <v>86</v>
      </c>
      <c r="B5" s="2">
        <v>5</v>
      </c>
      <c r="C5" s="9" t="s">
        <v>70</v>
      </c>
      <c r="D5" s="27">
        <v>4</v>
      </c>
      <c r="F5" s="42" t="s">
        <v>26</v>
      </c>
      <c r="G5" s="66">
        <v>1</v>
      </c>
      <c r="S5" s="15" t="s">
        <v>32</v>
      </c>
      <c r="V5" s="15" t="s">
        <v>33</v>
      </c>
      <c r="W5" s="15">
        <f>G12</f>
        <v>20000000</v>
      </c>
      <c r="Y5" s="49">
        <v>3</v>
      </c>
      <c r="Z5" s="49">
        <f t="shared" si="2"/>
        <v>1.2026419266820265</v>
      </c>
      <c r="AA5" s="49" t="str">
        <f t="shared" si="10"/>
        <v>7.55642208352666i</v>
      </c>
      <c r="AB5" s="49">
        <f t="shared" si="0"/>
        <v>11.052166224580018</v>
      </c>
      <c r="AD5" s="49" t="str">
        <f t="shared" si="3"/>
        <v>0.999999946840091-0.000230375488235801i</v>
      </c>
      <c r="AE5" s="49" t="str">
        <f t="shared" si="4"/>
        <v>0.999999999999332-1.45407150664547E-06i</v>
      </c>
      <c r="AF5" s="49" t="str">
        <f t="shared" si="11"/>
        <v>8.10009997636685-0.0018778427112198i</v>
      </c>
      <c r="AG5" s="49">
        <f t="shared" si="5"/>
        <v>8.1001001940365835</v>
      </c>
      <c r="AH5" s="49">
        <f t="shared" si="12"/>
        <v>-2.3182956791362365E-4</v>
      </c>
      <c r="AI5" s="49">
        <f t="shared" si="1"/>
        <v>-1.3282855807792123E-2</v>
      </c>
      <c r="AJ5" s="49">
        <f t="shared" si="13"/>
        <v>18.16980781818555</v>
      </c>
      <c r="AL5" s="49" t="str">
        <f t="shared" si="14"/>
        <v>0.999963981035684-0.00600147206524651i</v>
      </c>
      <c r="AM5" s="49" t="str">
        <f t="shared" si="15"/>
        <v>1.00000000019148+0.0000469253811379193i</v>
      </c>
      <c r="AN5" s="49" t="str">
        <f t="shared" si="16"/>
        <v>-158.138348383917+0.941676098288965i</v>
      </c>
      <c r="AO5" s="49">
        <f t="shared" si="6"/>
        <v>158.14115208720085</v>
      </c>
      <c r="AP5" s="49">
        <f t="shared" si="7"/>
        <v>3.1356379627902831</v>
      </c>
      <c r="AQ5" s="49">
        <f t="shared" si="8"/>
        <v>179.6588213488827</v>
      </c>
      <c r="AR5" s="49">
        <f t="shared" si="9"/>
        <v>43.980897967753933</v>
      </c>
      <c r="AS5" s="49">
        <f t="shared" si="17"/>
        <v>62.150705785939479</v>
      </c>
      <c r="AT5" s="49">
        <f t="shared" si="18"/>
        <v>179.64553849307489</v>
      </c>
    </row>
    <row r="6" spans="1:46" ht="9.75" customHeight="1">
      <c r="A6" s="37" t="s">
        <v>92</v>
      </c>
      <c r="B6" s="46">
        <v>1.2</v>
      </c>
      <c r="C6" s="27" t="s">
        <v>71</v>
      </c>
      <c r="D6" s="42">
        <v>5</v>
      </c>
      <c r="F6" s="42" t="s">
        <v>29</v>
      </c>
      <c r="G6" s="66">
        <v>220000</v>
      </c>
      <c r="S6" s="15" t="s">
        <v>35</v>
      </c>
      <c r="T6" s="15">
        <f>D_</f>
        <v>0.45666666666666672</v>
      </c>
      <c r="Y6" s="49">
        <v>4</v>
      </c>
      <c r="Z6" s="49">
        <f t="shared" si="2"/>
        <v>1.278934943925458</v>
      </c>
      <c r="AA6" s="49" t="str">
        <f t="shared" si="10"/>
        <v>8.03578524851099i</v>
      </c>
      <c r="AB6" s="49">
        <f t="shared" si="0"/>
        <v>11.052166224580018</v>
      </c>
      <c r="AD6" s="49" t="str">
        <f t="shared" si="3"/>
        <v>0.999999939881456-0.000244990012021203i</v>
      </c>
      <c r="AE6" s="49" t="str">
        <f t="shared" si="4"/>
        <v>0.999999999999245-1.54631467567912E-06i</v>
      </c>
      <c r="AF6" s="49" t="str">
        <f t="shared" si="11"/>
        <v>8.10009991964531-0.00199696900012546i</v>
      </c>
      <c r="AG6" s="49">
        <f t="shared" si="5"/>
        <v>8.1001001658080209</v>
      </c>
      <c r="AH6" s="49">
        <f t="shared" si="12"/>
        <v>-2.4653633652388352E-4</v>
      </c>
      <c r="AI6" s="49">
        <f t="shared" si="1"/>
        <v>-1.4125491579435495E-2</v>
      </c>
      <c r="AJ6" s="49">
        <f t="shared" si="13"/>
        <v>18.169807787915531</v>
      </c>
      <c r="AL6" s="49" t="str">
        <f t="shared" si="14"/>
        <v>0.999959266343177-0.00638216245422474i</v>
      </c>
      <c r="AM6" s="49" t="str">
        <f t="shared" si="15"/>
        <v>1.00000000021654+0.0000499022263923136i</v>
      </c>
      <c r="AN6" s="49" t="str">
        <f t="shared" si="16"/>
        <v>-158.13760861717+1.00140928314822i</v>
      </c>
      <c r="AO6" s="49">
        <f t="shared" si="6"/>
        <v>158.1407793066343</v>
      </c>
      <c r="AP6" s="49">
        <f t="shared" si="7"/>
        <v>3.1352602200437172</v>
      </c>
      <c r="AQ6" s="49">
        <f t="shared" si="8"/>
        <v>179.63717828376278</v>
      </c>
      <c r="AR6" s="49">
        <f t="shared" si="9"/>
        <v>43.980877492788153</v>
      </c>
      <c r="AS6" s="49">
        <f t="shared" si="17"/>
        <v>62.150685280703684</v>
      </c>
      <c r="AT6" s="49">
        <f t="shared" si="18"/>
        <v>179.62305279218333</v>
      </c>
    </row>
    <row r="7" spans="1:46" ht="9" customHeight="1">
      <c r="A7" s="37" t="s">
        <v>2</v>
      </c>
      <c r="B7" s="53">
        <f>IF(B4&lt;19,2,1)</f>
        <v>2</v>
      </c>
      <c r="C7" s="42" t="s">
        <v>76</v>
      </c>
      <c r="D7" s="43">
        <f>1/B7/1000000</f>
        <v>4.9999999999999998E-7</v>
      </c>
      <c r="E7" s="28" t="s">
        <v>73</v>
      </c>
      <c r="F7" s="64" t="s">
        <v>41</v>
      </c>
      <c r="G7" s="62">
        <v>754000</v>
      </c>
      <c r="S7" s="15" t="s">
        <v>36</v>
      </c>
      <c r="T7" s="17">
        <f>G4</f>
        <v>1199545.4545454544</v>
      </c>
      <c r="U7" s="15" t="s">
        <v>37</v>
      </c>
      <c r="V7" s="15" t="s">
        <v>38</v>
      </c>
      <c r="W7" s="15">
        <f>G14</f>
        <v>32746.753246753236</v>
      </c>
      <c r="Y7" s="49">
        <v>5</v>
      </c>
      <c r="Z7" s="49">
        <f t="shared" si="2"/>
        <v>1.3600678260954062</v>
      </c>
      <c r="AA7" s="49" t="str">
        <f t="shared" si="10"/>
        <v>8.54555818169034i</v>
      </c>
      <c r="AB7" s="49">
        <f t="shared" si="0"/>
        <v>11.052166224580018</v>
      </c>
      <c r="AD7" s="49" t="str">
        <f t="shared" si="3"/>
        <v>0.999999932011935-0.000260531649417296i</v>
      </c>
      <c r="AE7" s="49" t="str">
        <f t="shared" si="4"/>
        <v>0.999999999999146-1.64440955296405E-06i</v>
      </c>
      <c r="AF7" s="49" t="str">
        <f t="shared" si="11"/>
        <v>8.10009985549893-0.00212365240176753i</v>
      </c>
      <c r="AG7" s="49">
        <f t="shared" si="5"/>
        <v>8.1001001338843537</v>
      </c>
      <c r="AH7" s="49">
        <f t="shared" si="12"/>
        <v>-2.6217607078862261E-4</v>
      </c>
      <c r="AI7" s="49">
        <f t="shared" si="1"/>
        <v>-1.5021582345511184E-2</v>
      </c>
      <c r="AJ7" s="49">
        <f t="shared" si="13"/>
        <v>18.169807753683184</v>
      </c>
      <c r="AL7" s="49" t="str">
        <f t="shared" si="14"/>
        <v>0.99995393455071-0.00678699692534201i</v>
      </c>
      <c r="AM7" s="49" t="str">
        <f t="shared" si="15"/>
        <v>1.00000000024489+0.000053067916307167i</v>
      </c>
      <c r="AN7" s="49" t="str">
        <f t="shared" si="16"/>
        <v>-158.13677202332+1.06493085606606i</v>
      </c>
      <c r="AO7" s="49">
        <f t="shared" si="6"/>
        <v>158.14035773224896</v>
      </c>
      <c r="AP7" s="49">
        <f t="shared" si="7"/>
        <v>3.1348585161423057</v>
      </c>
      <c r="AQ7" s="49">
        <f t="shared" si="8"/>
        <v>179.61416234559798</v>
      </c>
      <c r="AR7" s="49">
        <f t="shared" si="9"/>
        <v>43.980854337764626</v>
      </c>
      <c r="AS7" s="49">
        <f t="shared" si="17"/>
        <v>62.150662091447813</v>
      </c>
      <c r="AT7" s="49">
        <f t="shared" si="18"/>
        <v>179.59914076325248</v>
      </c>
    </row>
    <row r="8" spans="1:46">
      <c r="A8" s="3" t="s">
        <v>74</v>
      </c>
      <c r="B8" s="2">
        <v>0.1</v>
      </c>
      <c r="C8" s="9" t="s">
        <v>69</v>
      </c>
      <c r="D8" s="27"/>
      <c r="F8" s="38" t="s">
        <v>39</v>
      </c>
      <c r="G8" s="27">
        <f>1+G7/G4</f>
        <v>1.6285714285714286</v>
      </c>
      <c r="I8" s="15"/>
      <c r="J8" s="15"/>
      <c r="S8" s="15" t="s">
        <v>39</v>
      </c>
      <c r="T8" s="15">
        <f>1+(T$10/T$7)</f>
        <v>1.0425161045850702</v>
      </c>
      <c r="Y8" s="49">
        <v>6</v>
      </c>
      <c r="Z8" s="49">
        <f t="shared" si="2"/>
        <v>1.4463476038134566</v>
      </c>
      <c r="AA8" s="49" t="str">
        <f t="shared" si="10"/>
        <v>9.08767001335511i</v>
      </c>
      <c r="AB8" s="49">
        <f t="shared" si="0"/>
        <v>11.052166224580018</v>
      </c>
      <c r="AD8" s="49" t="str">
        <f t="shared" si="3"/>
        <v>0.999999923112295-0.000277059214447429i</v>
      </c>
      <c r="AE8" s="49" t="str">
        <f t="shared" si="4"/>
        <v>0.999999999999034-1.74872735828616E-06i</v>
      </c>
      <c r="AF8" s="49" t="str">
        <f t="shared" si="11"/>
        <v>8.10009978295579-0.00225837232255298i</v>
      </c>
      <c r="AG8" s="49">
        <f t="shared" si="5"/>
        <v>8.1001000977818762</v>
      </c>
      <c r="AH8" s="49">
        <f t="shared" si="12"/>
        <v>-2.7880795601897352E-4</v>
      </c>
      <c r="AI8" s="49">
        <f t="shared" si="1"/>
        <v>-1.5974519174556261E-2</v>
      </c>
      <c r="AJ8" s="49">
        <f t="shared" si="13"/>
        <v>18.169807714969821</v>
      </c>
      <c r="AL8" s="49" t="str">
        <f t="shared" si="14"/>
        <v>0.999947904894802-0.00721750589178999i</v>
      </c>
      <c r="AM8" s="49" t="str">
        <f t="shared" si="15"/>
        <v>1.00000000027694+0.0000564344307815762i</v>
      </c>
      <c r="AN8" s="49" t="str">
        <f t="shared" si="16"/>
        <v>-158.135825930033+1.13248095038247i</v>
      </c>
      <c r="AO8" s="49">
        <f t="shared" si="6"/>
        <v>158.13988097781242</v>
      </c>
      <c r="AP8" s="49">
        <f t="shared" si="7"/>
        <v>3.1344313314537762</v>
      </c>
      <c r="AQ8" s="49">
        <f t="shared" si="8"/>
        <v>179.5896864658726</v>
      </c>
      <c r="AR8" s="49">
        <f t="shared" si="9"/>
        <v>43.980828151895807</v>
      </c>
      <c r="AS8" s="49">
        <f t="shared" si="17"/>
        <v>62.150635866865628</v>
      </c>
      <c r="AT8" s="49">
        <f t="shared" si="18"/>
        <v>179.57371194669804</v>
      </c>
    </row>
    <row r="9" spans="1:46">
      <c r="A9" s="3" t="s">
        <v>122</v>
      </c>
      <c r="B9" s="2">
        <v>25</v>
      </c>
      <c r="C9" s="10" t="s">
        <v>69</v>
      </c>
      <c r="D9" s="23"/>
      <c r="F9" s="37"/>
      <c r="G9" s="38"/>
      <c r="I9" s="15"/>
      <c r="J9" s="15"/>
      <c r="S9" s="15" t="s">
        <v>40</v>
      </c>
      <c r="T9" s="15">
        <f>B22</f>
        <v>4.166666666666667</v>
      </c>
      <c r="U9" s="16" t="s">
        <v>34</v>
      </c>
      <c r="Y9" s="49">
        <v>7</v>
      </c>
      <c r="Z9" s="49">
        <f t="shared" si="2"/>
        <v>1.5381007850634825</v>
      </c>
      <c r="AA9" s="49" t="str">
        <f t="shared" si="10"/>
        <v>9.66417225367226i</v>
      </c>
      <c r="AB9" s="49">
        <f t="shared" si="0"/>
        <v>11.052166224580018</v>
      </c>
      <c r="AD9" s="49" t="str">
        <f t="shared" si="3"/>
        <v>0.99999991304769-0.000294635252155891i</v>
      </c>
      <c r="AE9" s="49" t="str">
        <f t="shared" si="4"/>
        <v>0.999999999998908-1.85966286081616E-06i</v>
      </c>
      <c r="AF9" s="49" t="str">
        <f t="shared" si="11"/>
        <v>8.10009970091673-0.00240163858128431i</v>
      </c>
      <c r="AG9" s="49">
        <f t="shared" si="5"/>
        <v>8.1001000569535648</v>
      </c>
      <c r="AH9" s="49">
        <f t="shared" si="12"/>
        <v>-2.9649493211016803E-4</v>
      </c>
      <c r="AI9" s="49">
        <f t="shared" si="1"/>
        <v>-1.6987908256930501E-2</v>
      </c>
      <c r="AJ9" s="49">
        <f t="shared" si="13"/>
        <v>18.169807671188853</v>
      </c>
      <c r="AL9" s="49" t="str">
        <f t="shared" si="14"/>
        <v>0.999941086044196-0.00767531660257461i</v>
      </c>
      <c r="AM9" s="49" t="str">
        <f t="shared" si="15"/>
        <v>1.00000000031319+0.0000600145096936703i</v>
      </c>
      <c r="AN9" s="49" t="str">
        <f t="shared" si="16"/>
        <v>-158.134756006828+1.20431489370522i</v>
      </c>
      <c r="AO9" s="49">
        <f t="shared" si="6"/>
        <v>158.13934182138937</v>
      </c>
      <c r="AP9" s="49">
        <f t="shared" si="7"/>
        <v>3.133977050027104</v>
      </c>
      <c r="AQ9" s="49">
        <f t="shared" si="8"/>
        <v>179.56365805741311</v>
      </c>
      <c r="AR9" s="49">
        <f t="shared" si="9"/>
        <v>43.980798538485558</v>
      </c>
      <c r="AS9" s="49">
        <f t="shared" si="17"/>
        <v>62.150606209674407</v>
      </c>
      <c r="AT9" s="49">
        <f t="shared" si="18"/>
        <v>179.54667014915617</v>
      </c>
    </row>
    <row r="10" spans="1:46" s="31" customFormat="1" ht="9.75" customHeight="1">
      <c r="A10" s="37" t="s">
        <v>83</v>
      </c>
      <c r="B10" s="45">
        <v>0.36</v>
      </c>
      <c r="C10" s="45" t="s">
        <v>84</v>
      </c>
      <c r="D10" s="25"/>
      <c r="E10" s="52"/>
      <c r="F10" s="42" t="s">
        <v>28</v>
      </c>
      <c r="G10" s="52">
        <f>PI()/D7</f>
        <v>6283185.307179587</v>
      </c>
      <c r="H10" s="84"/>
      <c r="I10" s="39"/>
      <c r="J10" s="39"/>
      <c r="R10" s="39"/>
      <c r="S10" s="39" t="s">
        <v>41</v>
      </c>
      <c r="T10" s="39">
        <v>51000</v>
      </c>
      <c r="U10" s="39" t="s">
        <v>37</v>
      </c>
      <c r="V10" s="39"/>
      <c r="W10" s="39"/>
      <c r="X10" s="39"/>
      <c r="Y10" s="52">
        <v>8</v>
      </c>
      <c r="Z10" s="52">
        <f t="shared" si="2"/>
        <v>1.6356745907936145</v>
      </c>
      <c r="AA10" s="52" t="str">
        <f t="shared" si="10"/>
        <v>10.2772465562014i</v>
      </c>
      <c r="AB10" s="52">
        <f t="shared" si="0"/>
        <v>11.052166224580018</v>
      </c>
      <c r="AC10" s="52"/>
      <c r="AD10" s="52" t="str">
        <f t="shared" si="3"/>
        <v>0.999999901665629-0.000313326275292972i</v>
      </c>
      <c r="AE10" s="52" t="str">
        <f t="shared" si="4"/>
        <v>0.999999999998764-1.97763587303189E-06i</v>
      </c>
      <c r="AF10" s="52" t="str">
        <f t="shared" si="11"/>
        <v>8.10009960813877-0.00255399333843306i</v>
      </c>
      <c r="AG10" s="52">
        <f t="shared" si="5"/>
        <v>8.1001000107808423</v>
      </c>
      <c r="AH10" s="52">
        <f t="shared" si="12"/>
        <v>-3.1530393172331538E-4</v>
      </c>
      <c r="AI10" s="52">
        <f t="shared" si="1"/>
        <v>-1.8065584551627038E-2</v>
      </c>
      <c r="AJ10" s="52">
        <f t="shared" si="13"/>
        <v>18.169807621676973</v>
      </c>
      <c r="AK10" s="52"/>
      <c r="AL10" s="52" t="str">
        <f t="shared" si="14"/>
        <v>0.999933374717696-0.00816215923486608i</v>
      </c>
      <c r="AM10" s="52" t="str">
        <f t="shared" si="15"/>
        <v>1.00000000035419+0.0000638217011120451i</v>
      </c>
      <c r="AN10" s="52" t="str">
        <f t="shared" si="16"/>
        <v>-158.133546048194+1.28070416384543i</v>
      </c>
      <c r="AO10" s="52">
        <f t="shared" si="6"/>
        <v>158.13873209600357</v>
      </c>
      <c r="AP10" s="52">
        <f t="shared" si="7"/>
        <v>3.1334939534991633</v>
      </c>
      <c r="AQ10" s="52">
        <f t="shared" si="8"/>
        <v>179.53597866526471</v>
      </c>
      <c r="AR10" s="52">
        <f t="shared" si="9"/>
        <v>43.980765048921491</v>
      </c>
      <c r="AS10" s="52">
        <f t="shared" si="17"/>
        <v>62.150572670598464</v>
      </c>
      <c r="AT10" s="52">
        <f t="shared" si="18"/>
        <v>179.51791308071307</v>
      </c>
    </row>
    <row r="11" spans="1:46" s="31" customFormat="1" ht="6" customHeight="1">
      <c r="A11" s="3"/>
      <c r="B11" s="21"/>
      <c r="C11" s="21"/>
      <c r="D11" s="25"/>
      <c r="E11" s="52"/>
      <c r="F11" s="42" t="s">
        <v>31</v>
      </c>
      <c r="G11" s="52">
        <f>1/(PI()*(G8*(1-B16)-0.5))</f>
        <v>0.82708582156144617</v>
      </c>
      <c r="H11" s="84"/>
      <c r="I11" s="39"/>
      <c r="J11" s="39"/>
      <c r="R11" s="39"/>
      <c r="S11" s="39" t="s">
        <v>42</v>
      </c>
      <c r="T11" s="39">
        <v>1</v>
      </c>
      <c r="U11" s="39"/>
      <c r="V11" s="39"/>
      <c r="W11" s="39"/>
      <c r="X11" s="39"/>
      <c r="Y11" s="52">
        <v>9</v>
      </c>
      <c r="Z11" s="52">
        <f t="shared" si="2"/>
        <v>1.7394382689021479</v>
      </c>
      <c r="AA11" s="52" t="str">
        <f t="shared" si="10"/>
        <v>10.9292129739119i</v>
      </c>
      <c r="AB11" s="52">
        <f t="shared" si="0"/>
        <v>11.052166224580018</v>
      </c>
      <c r="AC11" s="52"/>
      <c r="AD11" s="52" t="str">
        <f t="shared" si="3"/>
        <v>0.999999888793655-0.000333203016014237i</v>
      </c>
      <c r="AE11" s="52" t="str">
        <f t="shared" si="4"/>
        <v>0.999999999998603-0.0000021030928394119i</v>
      </c>
      <c r="AF11" s="52" t="str">
        <f>IMPRODUCT(AB11,AC$2,AD11,AE11)</f>
        <v>8.10009950321617-0.00271601314779754i</v>
      </c>
      <c r="AG11" s="52">
        <f t="shared" si="5"/>
        <v>8.1000999585641065</v>
      </c>
      <c r="AH11" s="52">
        <f t="shared" si="12"/>
        <v>-3.3530613357673377E-4</v>
      </c>
      <c r="AI11" s="52">
        <f t="shared" si="1"/>
        <v>-1.9211626298796667E-2</v>
      </c>
      <c r="AJ11" s="52">
        <f t="shared" si="13"/>
        <v>18.169807565683985</v>
      </c>
      <c r="AK11" s="52"/>
      <c r="AL11" s="52" t="str">
        <f t="shared" si="14"/>
        <v>0.999924654121408-0.0086798733625656i</v>
      </c>
      <c r="AM11" s="52" t="str">
        <f t="shared" si="15"/>
        <v>1.00000000040056+0.0000678704125656289i</v>
      </c>
      <c r="AN11" s="52" t="str">
        <f t="shared" si="16"/>
        <v>-158.132177728389+1.36193740378444i</v>
      </c>
      <c r="AO11" s="52">
        <f t="shared" si="6"/>
        <v>158.1380425660272</v>
      </c>
      <c r="AP11" s="52">
        <f t="shared" si="7"/>
        <v>3.1329802146182568</v>
      </c>
      <c r="AQ11" s="52">
        <f t="shared" si="8"/>
        <v>179.50654359561699</v>
      </c>
      <c r="AR11" s="52">
        <f t="shared" si="9"/>
        <v>43.980727175882699</v>
      </c>
      <c r="AS11" s="52">
        <f t="shared" si="17"/>
        <v>62.150534741566688</v>
      </c>
      <c r="AT11" s="52">
        <f t="shared" si="18"/>
        <v>179.48733196931821</v>
      </c>
    </row>
    <row r="12" spans="1:46">
      <c r="A12" s="3" t="s">
        <v>87</v>
      </c>
      <c r="B12" s="2">
        <v>2</v>
      </c>
      <c r="C12" s="21" t="s">
        <v>72</v>
      </c>
      <c r="D12" s="25"/>
      <c r="F12" s="42" t="s">
        <v>33</v>
      </c>
      <c r="G12" s="67">
        <f>1/(D30*B31)*1000000</f>
        <v>20000000</v>
      </c>
      <c r="I12" s="15"/>
      <c r="J12" s="15"/>
      <c r="S12" s="15" t="s">
        <v>43</v>
      </c>
      <c r="T12" s="15">
        <v>0.68</v>
      </c>
      <c r="U12" s="16" t="s">
        <v>34</v>
      </c>
      <c r="Y12" s="49">
        <v>10</v>
      </c>
      <c r="Z12" s="49">
        <f t="shared" si="2"/>
        <v>1.849784491579884</v>
      </c>
      <c r="AA12" s="49" t="str">
        <f t="shared" si="10"/>
        <v>11.6225387389434i</v>
      </c>
      <c r="AB12" s="49">
        <f t="shared" si="0"/>
        <v>11.052166224580018</v>
      </c>
      <c r="AD12" s="49" t="str">
        <f t="shared" si="3"/>
        <v>0.99999987423674-0.000354340693546352i</v>
      </c>
      <c r="AE12" s="49" t="str">
        <f t="shared" si="4"/>
        <v>0.99999999999842-2.23650852591223E-06i</v>
      </c>
      <c r="AF12" s="49" t="str">
        <f t="shared" ref="AF12:AF75" si="19">IMPRODUCT(AB12,AC$2,AD12,AE12)</f>
        <v>8.1000993845592-0.00288831113830747i</v>
      </c>
      <c r="AG12" s="49">
        <f t="shared" si="5"/>
        <v>8.1000998995122018</v>
      </c>
      <c r="AH12" s="49">
        <f t="shared" si="12"/>
        <v>-3.5657723180528261E-4</v>
      </c>
      <c r="AI12" s="49">
        <f t="shared" si="1"/>
        <v>-2.0430370452900717E-2</v>
      </c>
      <c r="AJ12" s="49">
        <f t="shared" si="13"/>
        <v>18.169807502361518</v>
      </c>
      <c r="AL12" s="49" t="str">
        <f t="shared" si="14"/>
        <v>0.999914792181825-0.00923041482287594i</v>
      </c>
      <c r="AM12" s="49" t="str">
        <f t="shared" si="15"/>
        <v>1.00000000045299+0.0000721759655659955i</v>
      </c>
      <c r="AN12" s="49" t="str">
        <f t="shared" si="16"/>
        <v>-158.130630324197+1.4483214990904i</v>
      </c>
      <c r="AO12" s="49">
        <f t="shared" si="6"/>
        <v>158.13726278740435</v>
      </c>
      <c r="AP12" s="49">
        <f t="shared" si="7"/>
        <v>3.1324338903609084</v>
      </c>
      <c r="AQ12" s="49">
        <f t="shared" si="8"/>
        <v>179.47524152142529</v>
      </c>
      <c r="AR12" s="49">
        <f t="shared" si="9"/>
        <v>43.980684345658865</v>
      </c>
      <c r="AS12" s="49">
        <f t="shared" si="17"/>
        <v>62.15049184802038</v>
      </c>
      <c r="AT12" s="49">
        <f t="shared" si="18"/>
        <v>179.45481115097238</v>
      </c>
    </row>
    <row r="13" spans="1:46">
      <c r="A13" s="37" t="s">
        <v>85</v>
      </c>
      <c r="B13" s="53">
        <v>2.7999999999999998E-4</v>
      </c>
      <c r="C13" s="45" t="s">
        <v>73</v>
      </c>
      <c r="D13" s="25"/>
      <c r="F13" s="42"/>
      <c r="G13" s="68"/>
      <c r="I13" s="15"/>
      <c r="J13" s="15"/>
      <c r="S13" s="15" t="s">
        <v>44</v>
      </c>
      <c r="T13" s="18">
        <f>D30</f>
        <v>10</v>
      </c>
      <c r="Y13" s="49">
        <v>11</v>
      </c>
      <c r="Z13" s="49">
        <f t="shared" si="2"/>
        <v>1.967130841296868</v>
      </c>
      <c r="AA13" s="49" t="str">
        <f t="shared" si="10"/>
        <v>12.3598475993363i</v>
      </c>
      <c r="AB13" s="49">
        <f t="shared" si="0"/>
        <v>11.052166224580018</v>
      </c>
      <c r="AD13" s="49" t="str">
        <f t="shared" si="3"/>
        <v>0.999999857774324-0.000376819298832226i</v>
      </c>
      <c r="AE13" s="49" t="str">
        <f t="shared" si="4"/>
        <v>0.999999999998213-2.37838781662009E-06i</v>
      </c>
      <c r="AF13" s="49" t="str">
        <f t="shared" si="19"/>
        <v>8.10009925037003-0.00307153933423094i</v>
      </c>
      <c r="AG13" s="49">
        <f t="shared" si="5"/>
        <v>8.1000998327303986</v>
      </c>
      <c r="AH13" s="49">
        <f t="shared" si="12"/>
        <v>-3.7919772240701979E-4</v>
      </c>
      <c r="AI13" s="49">
        <f t="shared" si="1"/>
        <v>-2.1726429094895604E-2</v>
      </c>
      <c r="AJ13" s="49">
        <f t="shared" si="13"/>
        <v>18.169807430750129</v>
      </c>
      <c r="AL13" s="49" t="str">
        <f t="shared" si="14"/>
        <v>0.999903639548157-0.00981586300362623i</v>
      </c>
      <c r="AM13" s="49" t="str">
        <f t="shared" si="15"/>
        <v>1.00000000051228+0.0000767546535884592i</v>
      </c>
      <c r="AN13" s="49" t="str">
        <f t="shared" si="16"/>
        <v>-158.128880401481+1.54018272135451i</v>
      </c>
      <c r="AO13" s="49">
        <f t="shared" si="6"/>
        <v>158.13638094961274</v>
      </c>
      <c r="AP13" s="49">
        <f t="shared" si="7"/>
        <v>3.1318529146169549</v>
      </c>
      <c r="AQ13" s="49">
        <f t="shared" si="8"/>
        <v>179.44195406329729</v>
      </c>
      <c r="AR13" s="49">
        <f t="shared" si="9"/>
        <v>43.980635909465164</v>
      </c>
      <c r="AS13" s="49">
        <f t="shared" si="17"/>
        <v>62.15044334021529</v>
      </c>
      <c r="AT13" s="49">
        <f t="shared" si="18"/>
        <v>179.4202276342024</v>
      </c>
    </row>
    <row r="14" spans="1:46">
      <c r="A14" s="3"/>
      <c r="B14" s="22" t="s">
        <v>75</v>
      </c>
      <c r="C14" s="11"/>
      <c r="D14" s="26" t="s">
        <v>65</v>
      </c>
      <c r="F14" s="42" t="s">
        <v>38</v>
      </c>
      <c r="G14" s="67">
        <f>(1/(B22*D30*1000000)+(G8*(1-B16)-0.5)/(D23/1000000*D30*1000000*B7)/1000000)*10^12</f>
        <v>32746.753246753236</v>
      </c>
      <c r="I14" s="15"/>
      <c r="J14" s="15"/>
      <c r="S14" s="15" t="s">
        <v>45</v>
      </c>
      <c r="T14" s="15">
        <f>B31</f>
        <v>5.0000000000000001E-3</v>
      </c>
      <c r="Y14" s="49">
        <v>12</v>
      </c>
      <c r="Z14" s="49">
        <f t="shared" si="2"/>
        <v>2.0919213910569279</v>
      </c>
      <c r="AA14" s="49" t="str">
        <f t="shared" si="10"/>
        <v>13.1439297480636i</v>
      </c>
      <c r="AB14" s="49">
        <f t="shared" si="0"/>
        <v>11.052166224580018</v>
      </c>
      <c r="AD14" s="49" t="str">
        <f t="shared" si="3"/>
        <v>0.999999839156978-0.000400723897232396i</v>
      </c>
      <c r="AE14" s="49" t="str">
        <f t="shared" si="4"/>
        <v>0.999999999997979-2.52926762438334E-06i</v>
      </c>
      <c r="AF14" s="49" t="str">
        <f t="shared" si="19"/>
        <v>8.10009909861549-0.00326639112256187i</v>
      </c>
      <c r="AG14" s="49">
        <f t="shared" si="5"/>
        <v>8.1000997572068467</v>
      </c>
      <c r="AH14" s="49">
        <f t="shared" si="12"/>
        <v>-4.0325320786105699E-4</v>
      </c>
      <c r="AI14" s="49">
        <f t="shared" si="1"/>
        <v>-2.3104706885550275E-2</v>
      </c>
      <c r="AJ14" s="49">
        <f t="shared" si="13"/>
        <v>18.169807349764802</v>
      </c>
      <c r="AL14" s="49" t="str">
        <f t="shared" si="14"/>
        <v>0.999891027333842-0.0104384285750369i</v>
      </c>
      <c r="AM14" s="49" t="str">
        <f t="shared" si="15"/>
        <v>1.00000000057934+0.0000816238037313629i</v>
      </c>
      <c r="AN14" s="49" t="str">
        <f t="shared" si="16"/>
        <v>-158.126901460815+1.63786794136318i</v>
      </c>
      <c r="AO14" s="49">
        <f t="shared" si="6"/>
        <v>158.13538369698176</v>
      </c>
      <c r="AP14" s="49">
        <f t="shared" si="7"/>
        <v>3.1312350904165478</v>
      </c>
      <c r="AQ14" s="49">
        <f t="shared" si="8"/>
        <v>179.4065553441329</v>
      </c>
      <c r="AR14" s="49">
        <f t="shared" si="9"/>
        <v>43.980581133621968</v>
      </c>
      <c r="AS14" s="49">
        <f t="shared" si="17"/>
        <v>62.15038848338677</v>
      </c>
      <c r="AT14" s="49">
        <f t="shared" si="18"/>
        <v>179.38345063724734</v>
      </c>
    </row>
    <row r="15" spans="1:46">
      <c r="A15" s="4" t="s">
        <v>61</v>
      </c>
      <c r="F15" s="38" t="s">
        <v>49</v>
      </c>
      <c r="G15" s="38">
        <v>3530000</v>
      </c>
      <c r="I15" s="15"/>
      <c r="J15" s="15"/>
      <c r="S15" s="19" t="s">
        <v>46</v>
      </c>
      <c r="Y15" s="49">
        <v>13</v>
      </c>
      <c r="Z15" s="49">
        <f t="shared" si="2"/>
        <v>2.2246283849001642</v>
      </c>
      <c r="AA15" s="49" t="str">
        <f t="shared" si="10"/>
        <v>13.9777523819394i</v>
      </c>
      <c r="AB15" s="49">
        <f t="shared" si="0"/>
        <v>11.052166224580018</v>
      </c>
      <c r="AD15" s="49" t="str">
        <f t="shared" si="3"/>
        <v>0.999999818102621-0.000426144950427923i</v>
      </c>
      <c r="AE15" s="49" t="str">
        <f t="shared" si="4"/>
        <v>0.999999999997714-2.68971892264607E-06i</v>
      </c>
      <c r="AF15" s="49" t="str">
        <f t="shared" si="19"/>
        <v>8.10009892699628-0.00347360387692332i</v>
      </c>
      <c r="AG15" s="49">
        <f t="shared" si="5"/>
        <v>8.1000996717972651</v>
      </c>
      <c r="AH15" s="49">
        <f t="shared" si="12"/>
        <v>-4.2883472106931473E-4</v>
      </c>
      <c r="AI15" s="49">
        <f t="shared" si="1"/>
        <v>-2.4570419625941614E-2</v>
      </c>
      <c r="AJ15" s="49">
        <f t="shared" si="13"/>
        <v>18.169807258178498</v>
      </c>
      <c r="AL15" s="49" t="str">
        <f t="shared" si="14"/>
        <v>0.999876764563285-0.011100461690508i</v>
      </c>
      <c r="AM15" s="49" t="str">
        <f t="shared" si="15"/>
        <v>1.00000000065518+0.0000868018422868983i</v>
      </c>
      <c r="AN15" s="49" t="str">
        <f t="shared" si="16"/>
        <v>-158.124663536849+1.74174591586355i</v>
      </c>
      <c r="AO15" s="49">
        <f t="shared" si="6"/>
        <v>158.13425592665595</v>
      </c>
      <c r="AP15" s="49">
        <f t="shared" si="7"/>
        <v>3.1305780816712141</v>
      </c>
      <c r="AQ15" s="49">
        <f t="shared" si="8"/>
        <v>179.36891151592212</v>
      </c>
      <c r="AR15" s="49">
        <f t="shared" si="9"/>
        <v>43.980519188450124</v>
      </c>
      <c r="AS15" s="49">
        <f t="shared" si="17"/>
        <v>62.150326446628625</v>
      </c>
      <c r="AT15" s="49">
        <f t="shared" si="18"/>
        <v>179.34434109629618</v>
      </c>
    </row>
    <row r="16" spans="1:46">
      <c r="A16" s="3" t="s">
        <v>119</v>
      </c>
      <c r="B16" s="54">
        <f>(B5+B6*B24+B10*B6)/(B4)</f>
        <v>0.45666666666666672</v>
      </c>
      <c r="C16" s="12" t="s">
        <v>112</v>
      </c>
      <c r="F16" s="38" t="s">
        <v>53</v>
      </c>
      <c r="G16" s="27">
        <f>1/D56/G18</f>
        <v>148148.14814814815</v>
      </c>
      <c r="S16" s="15" t="s">
        <v>47</v>
      </c>
      <c r="T16" s="15">
        <f>1*10^-13</f>
        <v>1E-13</v>
      </c>
      <c r="U16" s="15" t="s">
        <v>48</v>
      </c>
      <c r="Y16" s="49">
        <v>14</v>
      </c>
      <c r="Z16" s="49">
        <f t="shared" si="2"/>
        <v>2.365754025012901</v>
      </c>
      <c r="AA16" s="49" t="str">
        <f t="shared" si="10"/>
        <v>14.864470930362i</v>
      </c>
      <c r="AB16" s="49">
        <f t="shared" si="0"/>
        <v>11.052166224580018</v>
      </c>
      <c r="AD16" s="49" t="str">
        <f t="shared" si="3"/>
        <v>0.999999794292248-0.000453178658742649i</v>
      </c>
      <c r="AE16" s="49" t="str">
        <f t="shared" si="4"/>
        <v>0.999999999997415-0.0000028603489061797i</v>
      </c>
      <c r="AF16" s="49" t="str">
        <f t="shared" si="19"/>
        <v>8.10009873291212-0.00369396174791363i</v>
      </c>
      <c r="AG16" s="49">
        <f t="shared" si="5"/>
        <v>8.1000995752075742</v>
      </c>
      <c r="AH16" s="49">
        <f t="shared" si="12"/>
        <v>-4.5603906984795895E-4</v>
      </c>
      <c r="AI16" s="49">
        <f t="shared" si="1"/>
        <v>-2.6129113995359804E-2</v>
      </c>
      <c r="AJ16" s="49">
        <f t="shared" si="13"/>
        <v>18.16980715460355</v>
      </c>
      <c r="AL16" s="49" t="str">
        <f t="shared" si="14"/>
        <v>0.999860635285487-0.0118044606818427i</v>
      </c>
      <c r="AM16" s="49" t="str">
        <f t="shared" si="15"/>
        <v>1.00000000074094+0.0000923083644716001i</v>
      </c>
      <c r="AN16" s="49" t="str">
        <f t="shared" si="16"/>
        <v>-158.122132745429+1.85220865190958i</v>
      </c>
      <c r="AO16" s="49">
        <f t="shared" si="6"/>
        <v>158.13298056020221</v>
      </c>
      <c r="AP16" s="49">
        <f t="shared" si="7"/>
        <v>3.129879404399603</v>
      </c>
      <c r="AQ16" s="49">
        <f t="shared" si="8"/>
        <v>179.32888025701706</v>
      </c>
      <c r="AR16" s="49">
        <f t="shared" si="9"/>
        <v>43.980449135716313</v>
      </c>
      <c r="AS16" s="49">
        <f t="shared" si="17"/>
        <v>62.150256290319859</v>
      </c>
      <c r="AT16" s="49">
        <f t="shared" si="18"/>
        <v>179.30275114302171</v>
      </c>
    </row>
    <row r="17" spans="1:46">
      <c r="A17" s="3" t="s">
        <v>120</v>
      </c>
      <c r="B17" s="54">
        <f>B8/100*B4</f>
        <v>1.2E-2</v>
      </c>
      <c r="C17" s="10" t="s">
        <v>70</v>
      </c>
      <c r="F17" s="37" t="s">
        <v>55</v>
      </c>
      <c r="G17" s="27">
        <f>1/B52/G18</f>
        <v>1259.0494176896443</v>
      </c>
      <c r="S17" s="15" t="s">
        <v>49</v>
      </c>
      <c r="T17" s="15">
        <f>B52</f>
        <v>3530000</v>
      </c>
      <c r="U17" s="16" t="s">
        <v>34</v>
      </c>
      <c r="Y17" s="49">
        <v>15</v>
      </c>
      <c r="Z17" s="49">
        <f t="shared" si="2"/>
        <v>2.5158323722080485</v>
      </c>
      <c r="AA17" s="49" t="str">
        <f t="shared" si="10"/>
        <v>15.8074409963844i</v>
      </c>
      <c r="AB17" s="49">
        <f t="shared" si="0"/>
        <v>11.052166224580018</v>
      </c>
      <c r="AD17" s="49" t="str">
        <f t="shared" si="3"/>
        <v>0.999999767365097-0.00048192732517988i</v>
      </c>
      <c r="AE17" s="49" t="str">
        <f t="shared" si="4"/>
        <v>0.999999999997077-3.04180328888604E-06i</v>
      </c>
      <c r="AF17" s="49" t="str">
        <f t="shared" si="19"/>
        <v>8.10009851342233-0.00392829863045175i</v>
      </c>
      <c r="AG17" s="49">
        <f t="shared" si="5"/>
        <v>8.1000994659742762</v>
      </c>
      <c r="AH17" s="49">
        <f t="shared" si="12"/>
        <v>-4.8496920327204603E-4</v>
      </c>
      <c r="AI17" s="49">
        <f t="shared" si="1"/>
        <v>-2.7786688541310355E-2</v>
      </c>
      <c r="AJ17" s="49">
        <f t="shared" si="13"/>
        <v>18.169807037470623</v>
      </c>
      <c r="AL17" s="49" t="str">
        <f t="shared" si="14"/>
        <v>0.999842395311264-0.0125530812750531i</v>
      </c>
      <c r="AM17" s="49" t="str">
        <f t="shared" si="15"/>
        <v>1.00000000083793+0.0000981642085803948i</v>
      </c>
      <c r="AN17" s="49" t="str">
        <f t="shared" si="16"/>
        <v>-158.119270771643+1.9696728528916i</v>
      </c>
      <c r="AO17" s="49">
        <f t="shared" si="6"/>
        <v>158.13153828538941</v>
      </c>
      <c r="AP17" s="49">
        <f t="shared" si="7"/>
        <v>3.1291364174069578</v>
      </c>
      <c r="AQ17" s="49">
        <f t="shared" si="8"/>
        <v>179.28631023810539</v>
      </c>
      <c r="AR17" s="49">
        <f t="shared" si="9"/>
        <v>43.980369914437254</v>
      </c>
      <c r="AS17" s="49">
        <f t="shared" si="17"/>
        <v>62.150176951907881</v>
      </c>
      <c r="AT17" s="49">
        <f t="shared" si="18"/>
        <v>179.25852354956407</v>
      </c>
    </row>
    <row r="18" spans="1:46">
      <c r="A18" s="3" t="s">
        <v>93</v>
      </c>
      <c r="B18" s="54">
        <f>(B6*(1-B16)*B16)/((B7*1000000)*B17)*1000000</f>
        <v>12.406111111111109</v>
      </c>
      <c r="C18" s="10" t="s">
        <v>77</v>
      </c>
      <c r="D18" s="2">
        <v>20</v>
      </c>
      <c r="E18" s="28" t="s">
        <v>77</v>
      </c>
      <c r="F18" s="38" t="s">
        <v>67</v>
      </c>
      <c r="G18" s="61">
        <f>D57/1000000000000</f>
        <v>2.25E-10</v>
      </c>
      <c r="R18" s="7"/>
      <c r="S18" s="15" t="s">
        <v>50</v>
      </c>
      <c r="T18" s="15">
        <v>0</v>
      </c>
      <c r="U18" s="16" t="s">
        <v>34</v>
      </c>
      <c r="Y18" s="49">
        <v>16</v>
      </c>
      <c r="Z18" s="49">
        <f t="shared" si="2"/>
        <v>2.6754313669678584</v>
      </c>
      <c r="AA18" s="49" t="str">
        <f t="shared" si="10"/>
        <v>16.8102310552998i</v>
      </c>
      <c r="AB18" s="49">
        <f t="shared" si="0"/>
        <v>11.052166224580018</v>
      </c>
      <c r="AD18" s="49" t="str">
        <f t="shared" si="3"/>
        <v>0.999999736913183-0.000512499742550634i</v>
      </c>
      <c r="AE18" s="49" t="str">
        <f t="shared" si="4"/>
        <v>0.999999999996694-0.000003234768747368i</v>
      </c>
      <c r="AF18" s="49" t="str">
        <f t="shared" si="19"/>
        <v>8.10009826520134-0.00417750131934717i</v>
      </c>
      <c r="AG18" s="49">
        <f t="shared" si="5"/>
        <v>8.1000993424423502</v>
      </c>
      <c r="AH18" s="49">
        <f t="shared" si="12"/>
        <v>-5.1573460125955951E-4</v>
      </c>
      <c r="AI18" s="49">
        <f t="shared" si="1"/>
        <v>-2.9549416001035153E-2</v>
      </c>
      <c r="AJ18" s="49">
        <f t="shared" si="13"/>
        <v>18.169806905005007</v>
      </c>
      <c r="AL18" s="49" t="str">
        <f t="shared" si="14"/>
        <v>0.999821768525174-0.013349146353499i</v>
      </c>
      <c r="AM18" s="49" t="str">
        <f t="shared" si="15"/>
        <v>1.00000000094762+0.00010439153484481i</v>
      </c>
      <c r="AN18" s="49" t="str">
        <f t="shared" si="16"/>
        <v>-158.116034291133+2.09458145044644i</v>
      </c>
      <c r="AO18" s="49">
        <f t="shared" si="6"/>
        <v>158.12990726427211</v>
      </c>
      <c r="AP18" s="49">
        <f t="shared" si="7"/>
        <v>3.1283463123857689</v>
      </c>
      <c r="AQ18" s="49">
        <f t="shared" si="8"/>
        <v>179.24104055501917</v>
      </c>
      <c r="AR18" s="49">
        <f t="shared" si="9"/>
        <v>43.980280324829536</v>
      </c>
      <c r="AS18" s="49">
        <f t="shared" si="17"/>
        <v>62.15008722983454</v>
      </c>
      <c r="AT18" s="49">
        <f t="shared" si="18"/>
        <v>179.21149113901814</v>
      </c>
    </row>
    <row r="19" spans="1:46">
      <c r="A19" s="3" t="s">
        <v>121</v>
      </c>
      <c r="B19" s="54">
        <f>B6*SQRT(B16*(1-B16))</f>
        <v>0.5977424194416856</v>
      </c>
      <c r="C19" s="10" t="s">
        <v>71</v>
      </c>
      <c r="F19" s="63" t="s">
        <v>68</v>
      </c>
      <c r="G19" s="27">
        <f>D58/1000000000000</f>
        <v>1.7999999999999999E-11</v>
      </c>
      <c r="R19" s="7"/>
      <c r="S19" s="15" t="s">
        <v>51</v>
      </c>
      <c r="T19" s="15">
        <f>B13</f>
        <v>2.7999999999999998E-4</v>
      </c>
      <c r="Y19" s="49">
        <v>17</v>
      </c>
      <c r="Z19" s="49">
        <f t="shared" si="2"/>
        <v>2.8451549786972743</v>
      </c>
      <c r="AA19" s="49" t="str">
        <f t="shared" si="10"/>
        <v>17.8766359587996i</v>
      </c>
      <c r="AB19" s="49">
        <f t="shared" si="0"/>
        <v>11.052166224580018</v>
      </c>
      <c r="AD19" s="49" t="str">
        <f t="shared" si="3"/>
        <v>0.999999702475113-0.000545011605157949i</v>
      </c>
      <c r="AE19" s="49" t="str">
        <f t="shared" si="4"/>
        <v>0.999999999996261-3.43997551951542E-06i</v>
      </c>
      <c r="AF19" s="49" t="str">
        <f t="shared" si="19"/>
        <v>8.10009798448822-0.00444251286503182i</v>
      </c>
      <c r="AG19" s="49">
        <f t="shared" si="5"/>
        <v>8.1000992027400915</v>
      </c>
      <c r="AH19" s="49">
        <f t="shared" si="12"/>
        <v>-5.4845168886900116E-4</v>
      </c>
      <c r="AI19" s="49">
        <f t="shared" si="1"/>
        <v>-3.142396703901592E-2</v>
      </c>
      <c r="AJ19" s="49">
        <f t="shared" si="13"/>
        <v>18.16980675519963</v>
      </c>
      <c r="AL19" s="49" t="str">
        <f t="shared" si="14"/>
        <v>0.999798442717-0.0141956562955437i</v>
      </c>
      <c r="AM19" s="49" t="str">
        <f t="shared" si="15"/>
        <v>1.00000000107166+0.0001110139092938i</v>
      </c>
      <c r="AN19" s="49" t="str">
        <f t="shared" si="16"/>
        <v>-158.112374316029+2.22740522651362i</v>
      </c>
      <c r="AO19" s="49">
        <f t="shared" si="6"/>
        <v>158.12806280320757</v>
      </c>
      <c r="AP19" s="49">
        <f t="shared" si="7"/>
        <v>3.1275061034033977</v>
      </c>
      <c r="AQ19" s="49">
        <f t="shared" si="8"/>
        <v>179.19290012642031</v>
      </c>
      <c r="AR19" s="49">
        <f t="shared" si="9"/>
        <v>43.98017901016388</v>
      </c>
      <c r="AS19" s="49">
        <f t="shared" si="17"/>
        <v>62.14998576536351</v>
      </c>
      <c r="AT19" s="49">
        <f t="shared" si="18"/>
        <v>179.16147615938129</v>
      </c>
    </row>
    <row r="20" spans="1:46">
      <c r="A20" s="3"/>
      <c r="C20" s="10"/>
      <c r="F20" s="63" t="s">
        <v>54</v>
      </c>
      <c r="G20" s="27">
        <f>1/D56/D58*1000000000000</f>
        <v>1851851.8518518519</v>
      </c>
      <c r="R20" s="7"/>
      <c r="S20" s="15" t="s">
        <v>52</v>
      </c>
      <c r="T20" s="15">
        <v>0</v>
      </c>
      <c r="Y20" s="49">
        <v>18</v>
      </c>
      <c r="Z20" s="49">
        <f t="shared" si="2"/>
        <v>3.0256454913213009</v>
      </c>
      <c r="AA20" s="49" t="str">
        <f t="shared" si="10"/>
        <v>19.0106912958042i</v>
      </c>
      <c r="AB20" s="49">
        <f t="shared" si="0"/>
        <v>11.052166224580018</v>
      </c>
      <c r="AD20" s="49" t="str">
        <f t="shared" si="3"/>
        <v>0.999999663529101-0.000579585946594442i</v>
      </c>
      <c r="AE20" s="49" t="str">
        <f t="shared" si="4"/>
        <v>0.999999999995772-0.0000036582001679392i</v>
      </c>
      <c r="AF20" s="49" t="str">
        <f t="shared" si="19"/>
        <v>8.10009766702977-0.00472433614214699i</v>
      </c>
      <c r="AG20" s="49">
        <f t="shared" si="5"/>
        <v>8.1000990447508183</v>
      </c>
      <c r="AH20" s="49">
        <f t="shared" si="12"/>
        <v>-5.8324427687805305E-4</v>
      </c>
      <c r="AI20" s="49">
        <f t="shared" si="1"/>
        <v>-3.3417435490272061E-2</v>
      </c>
      <c r="AJ20" s="49">
        <f t="shared" si="13"/>
        <v>18.169806585784741</v>
      </c>
      <c r="AL20" s="49" t="str">
        <f t="shared" si="14"/>
        <v>0.99977206487053-0.0150957999141122i</v>
      </c>
      <c r="AM20" s="49" t="str">
        <f t="shared" si="15"/>
        <v>1.00000000121194+0.000118056392934502i</v>
      </c>
      <c r="AN20" s="49" t="str">
        <f t="shared" si="16"/>
        <v>-158.108235455731+2.3686445298348i</v>
      </c>
      <c r="AO20" s="49">
        <f t="shared" si="6"/>
        <v>158.12597697985487</v>
      </c>
      <c r="AP20" s="49">
        <f t="shared" si="7"/>
        <v>3.1266126157408136</v>
      </c>
      <c r="AQ20" s="49">
        <f t="shared" si="8"/>
        <v>179.14170705430726</v>
      </c>
      <c r="AR20" s="49">
        <f t="shared" si="9"/>
        <v>43.980064436250714</v>
      </c>
      <c r="AS20" s="49">
        <f t="shared" si="17"/>
        <v>62.149871022035455</v>
      </c>
      <c r="AT20" s="49">
        <f t="shared" si="18"/>
        <v>179.108289618817</v>
      </c>
    </row>
    <row r="21" spans="1:46">
      <c r="A21" s="4" t="s">
        <v>62</v>
      </c>
      <c r="F21" s="61"/>
      <c r="G21" s="38"/>
      <c r="R21" s="7"/>
      <c r="S21" s="15" t="s">
        <v>53</v>
      </c>
      <c r="T21" s="15">
        <f>G16</f>
        <v>148148.14814814815</v>
      </c>
      <c r="Y21" s="49">
        <v>19</v>
      </c>
      <c r="Z21" s="49">
        <f t="shared" si="2"/>
        <v>3.2175859338757533</v>
      </c>
      <c r="AA21" s="49" t="str">
        <f t="shared" si="10"/>
        <v>20.2166886643158i</v>
      </c>
      <c r="AB21" s="49">
        <f t="shared" si="0"/>
        <v>11.052166224580018</v>
      </c>
      <c r="AD21" s="49" t="str">
        <f t="shared" si="3"/>
        <v>0.999999619485057-0.000616353605309161i</v>
      </c>
      <c r="AE21" s="49" t="str">
        <f t="shared" si="4"/>
        <v>0.999999999995219-3.89026851871216E-06i</v>
      </c>
      <c r="AF21" s="49" t="str">
        <f t="shared" si="19"/>
        <v>8.10009730801601-0.00502403764448405i</v>
      </c>
      <c r="AG21" s="49">
        <f t="shared" si="5"/>
        <v>8.1000988660807405</v>
      </c>
      <c r="AH21" s="49">
        <f t="shared" si="12"/>
        <v>-6.2024403031042685E-4</v>
      </c>
      <c r="AI21" s="49">
        <f t="shared" si="1"/>
        <v>-3.5537365204971763E-2</v>
      </c>
      <c r="AJ21" s="49">
        <f t="shared" si="13"/>
        <v>18.169806394193433</v>
      </c>
      <c r="AL21" s="49" t="str">
        <f t="shared" si="14"/>
        <v>0.999742235839423-0.0160529660254485i</v>
      </c>
      <c r="AM21" s="49" t="str">
        <f t="shared" si="15"/>
        <v>1.00000000137058+0.000125545636590439i</v>
      </c>
      <c r="AN21" s="49" t="str">
        <f t="shared" si="16"/>
        <v>-158.103555081512+2.51883109117921i</v>
      </c>
      <c r="AO21" s="49">
        <f t="shared" si="6"/>
        <v>158.12361822156294</v>
      </c>
      <c r="AP21" s="49">
        <f t="shared" si="7"/>
        <v>3.1256624740449177</v>
      </c>
      <c r="AQ21" s="49">
        <f t="shared" si="8"/>
        <v>179.08726794519302</v>
      </c>
      <c r="AR21" s="49">
        <f t="shared" si="9"/>
        <v>43.979934868247987</v>
      </c>
      <c r="AS21" s="49">
        <f t="shared" si="17"/>
        <v>62.149741262441424</v>
      </c>
      <c r="AT21" s="49">
        <f t="shared" si="18"/>
        <v>179.05173057998806</v>
      </c>
    </row>
    <row r="22" spans="1:46">
      <c r="A22" s="3" t="s">
        <v>123</v>
      </c>
      <c r="B22" s="54">
        <f>B5/B6</f>
        <v>4.166666666666667</v>
      </c>
      <c r="C22" s="21" t="s">
        <v>34</v>
      </c>
      <c r="R22" s="7"/>
      <c r="S22" s="15" t="s">
        <v>54</v>
      </c>
      <c r="T22" s="15">
        <f>G20</f>
        <v>1851851.8518518519</v>
      </c>
      <c r="Y22" s="49">
        <v>20</v>
      </c>
      <c r="Z22" s="49">
        <f t="shared" si="2"/>
        <v>3.42170266528945</v>
      </c>
      <c r="AA22" s="49" t="str">
        <f t="shared" si="10"/>
        <v>21.4991919120839i</v>
      </c>
      <c r="AB22" s="49">
        <f t="shared" si="0"/>
        <v>11.052166224580018</v>
      </c>
      <c r="AD22" s="49" t="str">
        <f t="shared" si="3"/>
        <v>0.99999956967565-0.000655453719704525i</v>
      </c>
      <c r="AE22" s="49" t="str">
        <f t="shared" si="4"/>
        <v>0.999999999994593-4.13705878653707E-06i</v>
      </c>
      <c r="AF22" s="49" t="str">
        <f t="shared" si="19"/>
        <v>8.10009690200737-0.00534275152063159i</v>
      </c>
      <c r="AG22" s="49">
        <f t="shared" si="5"/>
        <v>8.1000986640227541</v>
      </c>
      <c r="AH22" s="49">
        <f t="shared" si="12"/>
        <v>-6.5959096668353004E-4</v>
      </c>
      <c r="AI22" s="49">
        <f t="shared" si="1"/>
        <v>-3.7791778595920367E-2</v>
      </c>
      <c r="AJ22" s="49">
        <f t="shared" si="13"/>
        <v>18.169806177522819</v>
      </c>
      <c r="AL22" s="49" t="str">
        <f t="shared" si="14"/>
        <v>0.999708504330997-0.0170707556739067i</v>
      </c>
      <c r="AM22" s="49" t="str">
        <f t="shared" si="15"/>
        <v>1.00000000154999+0.000133509981756046i</v>
      </c>
      <c r="AN22" s="49" t="str">
        <f t="shared" si="16"/>
        <v>-158.098262382536+2.67852994150589i</v>
      </c>
      <c r="AO22" s="49">
        <f t="shared" si="6"/>
        <v>158.12095082886626</v>
      </c>
      <c r="AP22" s="49">
        <f t="shared" si="7"/>
        <v>3.1246520897552865</v>
      </c>
      <c r="AQ22" s="49">
        <f t="shared" si="8"/>
        <v>179.02937718971083</v>
      </c>
      <c r="AR22" s="49">
        <f t="shared" si="9"/>
        <v>43.979788344444238</v>
      </c>
      <c r="AS22" s="49">
        <f t="shared" si="17"/>
        <v>62.14959452196706</v>
      </c>
      <c r="AT22" s="49">
        <f t="shared" si="18"/>
        <v>178.9915854111149</v>
      </c>
    </row>
    <row r="23" spans="1:46">
      <c r="A23" s="3" t="s">
        <v>91</v>
      </c>
      <c r="B23" s="54">
        <f>IF(((B5-0.3)*G3/(((B5-0.3)*(1-B16))/(B7*1000000*(B9/100)*3)))&lt;(2*G7),1000000*((B5-0.3)*(1-B16))/(B7*1000000*(B9/100)*3),1000000*(B5-0.3)*G3/(2*G7))</f>
        <v>1.702444444444444</v>
      </c>
      <c r="C23" s="10" t="s">
        <v>78</v>
      </c>
      <c r="D23" s="2">
        <v>2.2000000000000002</v>
      </c>
      <c r="E23" s="28" t="s">
        <v>78</v>
      </c>
      <c r="R23" s="7"/>
      <c r="S23" s="15" t="s">
        <v>55</v>
      </c>
      <c r="T23" s="15">
        <f>G17</f>
        <v>1259.0494176896443</v>
      </c>
      <c r="Y23" s="49">
        <v>21</v>
      </c>
      <c r="Z23" s="49">
        <f t="shared" si="2"/>
        <v>3.6387681231394358</v>
      </c>
      <c r="AA23" s="49" t="str">
        <f t="shared" si="10"/>
        <v>22.8630544075431i</v>
      </c>
      <c r="AB23" s="49">
        <f t="shared" si="0"/>
        <v>11.052166224580018</v>
      </c>
      <c r="AD23" s="49" t="str">
        <f t="shared" si="3"/>
        <v>0.999999513346194-0.0006970342546358i</v>
      </c>
      <c r="AE23" s="49" t="str">
        <f t="shared" si="4"/>
        <v>0.999999999993885-4.39950489816857E-06i</v>
      </c>
      <c r="AF23" s="49" t="str">
        <f t="shared" si="19"/>
        <v>8.10009644285221-0.00568168386559173i</v>
      </c>
      <c r="AG23" s="49">
        <f t="shared" si="5"/>
        <v>8.1000984355153722</v>
      </c>
      <c r="AH23" s="49">
        <f t="shared" si="12"/>
        <v>-7.0143398586210636E-4</v>
      </c>
      <c r="AI23" s="49">
        <f t="shared" si="1"/>
        <v>-4.0189206996937753E-2</v>
      </c>
      <c r="AJ23" s="49">
        <f t="shared" si="13"/>
        <v>18.169805932490007</v>
      </c>
      <c r="AL23" s="49" t="str">
        <f t="shared" si="14"/>
        <v>0.999670360108668-0.0181529950386797i</v>
      </c>
      <c r="AM23" s="49" t="str">
        <f t="shared" si="15"/>
        <v>1.00000000175289+0.000141979567849202i</v>
      </c>
      <c r="AN23" s="49" t="str">
        <f t="shared" si="16"/>
        <v>-158.092277299276+2.84834143712713i</v>
      </c>
      <c r="AO23" s="49">
        <f t="shared" si="6"/>
        <v>158.11793443696899</v>
      </c>
      <c r="AP23" s="49">
        <f t="shared" si="7"/>
        <v>3.1235776477645616</v>
      </c>
      <c r="AQ23" s="49">
        <f t="shared" si="8"/>
        <v>178.96781619831066</v>
      </c>
      <c r="AR23" s="49">
        <f t="shared" si="9"/>
        <v>43.979622646623099</v>
      </c>
      <c r="AS23" s="49">
        <f t="shared" si="17"/>
        <v>62.149428579113106</v>
      </c>
      <c r="AT23" s="49">
        <f t="shared" si="18"/>
        <v>178.92762699131373</v>
      </c>
    </row>
    <row r="24" spans="1:46">
      <c r="A24" s="3" t="s">
        <v>4</v>
      </c>
      <c r="B24" s="2">
        <v>0.04</v>
      </c>
      <c r="C24" s="21" t="s">
        <v>34</v>
      </c>
      <c r="R24" s="7"/>
      <c r="S24" s="15" t="s">
        <v>56</v>
      </c>
      <c r="T24" s="15">
        <f>D57</f>
        <v>225</v>
      </c>
      <c r="U24" s="15" t="s">
        <v>48</v>
      </c>
      <c r="Y24" s="49">
        <v>22</v>
      </c>
      <c r="Z24" s="49">
        <f t="shared" si="2"/>
        <v>3.8696037467813236</v>
      </c>
      <c r="AA24" s="49" t="str">
        <f t="shared" si="10"/>
        <v>24.3134374063835i</v>
      </c>
      <c r="AB24" s="49">
        <f t="shared" si="0"/>
        <v>11.052166224580018</v>
      </c>
      <c r="AD24" s="49" t="str">
        <f t="shared" si="3"/>
        <v>0.999999449643218-0.000741252561304184i</v>
      </c>
      <c r="AE24" s="49" t="str">
        <f t="shared" si="4"/>
        <v>0.999999999993085-4.67860002666606E-06i</v>
      </c>
      <c r="AF24" s="49" t="str">
        <f t="shared" si="19"/>
        <v>8.1000959235937-0.0060421172845953i</v>
      </c>
      <c r="AG24" s="49">
        <f t="shared" si="5"/>
        <v>8.1000981770964078</v>
      </c>
      <c r="AH24" s="49">
        <f t="shared" si="12"/>
        <v>-7.459314335225369E-4</v>
      </c>
      <c r="AI24" s="49">
        <f t="shared" si="1"/>
        <v>-4.2738722946984699E-2</v>
      </c>
      <c r="AJ24" s="49">
        <f t="shared" si="13"/>
        <v>18.169805655382433</v>
      </c>
      <c r="AL24" s="49" t="str">
        <f t="shared" si="14"/>
        <v>0.999627226312514-0.019303749046852i</v>
      </c>
      <c r="AM24" s="49" t="str">
        <f t="shared" si="15"/>
        <v>1.00000000198234+0.000150986446267615i</v>
      </c>
      <c r="AN24" s="49" t="str">
        <f t="shared" si="16"/>
        <v>-158.085509318554+3.02890339569966i</v>
      </c>
      <c r="AO24" s="49">
        <f t="shared" si="6"/>
        <v>158.11452340720351</v>
      </c>
      <c r="AP24" s="49">
        <f t="shared" si="7"/>
        <v>3.1224350922701869</v>
      </c>
      <c r="AQ24" s="49">
        <f t="shared" si="8"/>
        <v>178.90235259062348</v>
      </c>
      <c r="AR24" s="49">
        <f t="shared" si="9"/>
        <v>43.97943526656541</v>
      </c>
      <c r="AS24" s="49">
        <f t="shared" si="17"/>
        <v>62.149240921947843</v>
      </c>
      <c r="AT24" s="49">
        <f t="shared" si="18"/>
        <v>178.8596138676765</v>
      </c>
    </row>
    <row r="25" spans="1:46">
      <c r="A25" s="3" t="s">
        <v>110</v>
      </c>
      <c r="B25" s="59">
        <f>100*((B5-0.3)*(1-B16))/(B7*1000000*(D23/1000000)*B6)</f>
        <v>48.364898989898975</v>
      </c>
      <c r="C25" s="21" t="s">
        <v>69</v>
      </c>
      <c r="R25" s="7"/>
      <c r="S25" s="15" t="s">
        <v>57</v>
      </c>
      <c r="T25" s="15">
        <f>D58</f>
        <v>18</v>
      </c>
      <c r="U25" s="15" t="s">
        <v>48</v>
      </c>
      <c r="Y25" s="49">
        <v>23</v>
      </c>
      <c r="Z25" s="49">
        <f t="shared" si="2"/>
        <v>4.1150830859167291</v>
      </c>
      <c r="AA25" s="49" t="str">
        <f t="shared" si="10"/>
        <v>25.8558295832552i</v>
      </c>
      <c r="AB25" s="49">
        <f t="shared" si="0"/>
        <v>11.052166224580018</v>
      </c>
      <c r="AD25" s="49" t="str">
        <f t="shared" si="3"/>
        <v>0.999999377601527-0.000788275972660528i</v>
      </c>
      <c r="AE25" s="49" t="str">
        <f t="shared" si="4"/>
        <v>0.999999999992179-4.97540034985173E-06i</v>
      </c>
      <c r="AF25" s="49" t="str">
        <f t="shared" si="19"/>
        <v>8.10009533636427-0.00642541574637219i</v>
      </c>
      <c r="AG25" s="49">
        <f t="shared" si="5"/>
        <v>8.1000978848503866</v>
      </c>
      <c r="AH25" s="49">
        <f t="shared" si="12"/>
        <v>-7.932517003594869E-4</v>
      </c>
      <c r="AI25" s="49">
        <f t="shared" si="1"/>
        <v>-4.5449974522174807E-2</v>
      </c>
      <c r="AJ25" s="49">
        <f t="shared" si="13"/>
        <v>18.16980534200145</v>
      </c>
      <c r="AL25" s="49" t="str">
        <f t="shared" si="14"/>
        <v>0.999578450784706-0.020527335714915i</v>
      </c>
      <c r="AM25" s="49" t="str">
        <f t="shared" si="15"/>
        <v>1.00000000224183+0.000160564701680714i</v>
      </c>
      <c r="AN25" s="49" t="str">
        <f t="shared" si="16"/>
        <v>-158.077856112453+3.22089334651728i</v>
      </c>
      <c r="AO25" s="49">
        <f t="shared" si="6"/>
        <v>158.11066613944499</v>
      </c>
      <c r="AP25" s="49">
        <f t="shared" si="7"/>
        <v>3.121220111773789</v>
      </c>
      <c r="AQ25" s="49">
        <f t="shared" si="8"/>
        <v>178.83273933598917</v>
      </c>
      <c r="AR25" s="49">
        <f t="shared" si="9"/>
        <v>43.979223368189409</v>
      </c>
      <c r="AS25" s="49">
        <f t="shared" si="17"/>
        <v>62.149028710190862</v>
      </c>
      <c r="AT25" s="49">
        <f t="shared" si="18"/>
        <v>178.787289361467</v>
      </c>
    </row>
    <row r="26" spans="1:46">
      <c r="A26" s="3"/>
      <c r="C26" s="10"/>
      <c r="D26" s="58"/>
      <c r="R26" s="7"/>
      <c r="Y26" s="49">
        <v>24</v>
      </c>
      <c r="Z26" s="49">
        <f t="shared" si="2"/>
        <v>4.376135106361553</v>
      </c>
      <c r="AA26" s="49" t="str">
        <f t="shared" si="10"/>
        <v>27.4960678025237i</v>
      </c>
      <c r="AB26" s="49">
        <f t="shared" si="0"/>
        <v>11.052166224580018</v>
      </c>
      <c r="AD26" s="49" t="str">
        <f t="shared" si="3"/>
        <v>0.999999296129588-0.000838282436570946i</v>
      </c>
      <c r="AE26" s="49" t="str">
        <f t="shared" si="4"/>
        <v>0.999999999991156-0.0000052910290471973i</v>
      </c>
      <c r="AF26" s="49" t="str">
        <f t="shared" si="19"/>
        <v>8.1000946722666-0.00683302974422753i</v>
      </c>
      <c r="AG26" s="49">
        <f t="shared" si="5"/>
        <v>8.1000975543494071</v>
      </c>
      <c r="AH26" s="49">
        <f t="shared" si="12"/>
        <v>-8.4357385930186428E-4</v>
      </c>
      <c r="AI26" s="49">
        <f t="shared" si="1"/>
        <v>-4.8333221845559549E-2</v>
      </c>
      <c r="AJ26" s="49">
        <f t="shared" si="13"/>
        <v>18.16980498759893</v>
      </c>
      <c r="AL26" s="49" t="str">
        <f t="shared" si="14"/>
        <v>0.999523296272365-0.0218283412377397i</v>
      </c>
      <c r="AM26" s="49" t="str">
        <f t="shared" si="15"/>
        <v>1.00000000253528+0.000170750581016029i</v>
      </c>
      <c r="AN26" s="49" t="str">
        <f t="shared" si="16"/>
        <v>-158.06920200107+3.42503089808526i</v>
      </c>
      <c r="AO26" s="49">
        <f t="shared" si="6"/>
        <v>158.1063042952681</v>
      </c>
      <c r="AP26" s="49">
        <f t="shared" si="7"/>
        <v>3.1199281231832514</v>
      </c>
      <c r="AQ26" s="49">
        <f t="shared" si="8"/>
        <v>178.75871384257232</v>
      </c>
      <c r="AR26" s="49">
        <f t="shared" si="9"/>
        <v>43.978983744761926</v>
      </c>
      <c r="AS26" s="49">
        <f t="shared" si="17"/>
        <v>62.148788732360856</v>
      </c>
      <c r="AT26" s="49">
        <f t="shared" si="18"/>
        <v>178.71038062072677</v>
      </c>
    </row>
    <row r="27" spans="1:46">
      <c r="A27" s="4" t="s">
        <v>5</v>
      </c>
      <c r="R27" s="7"/>
      <c r="Y27" s="49">
        <v>25</v>
      </c>
      <c r="Z27" s="49">
        <f t="shared" si="2"/>
        <v>4.6537477055250784</v>
      </c>
      <c r="AA27" s="49" t="str">
        <f t="shared" si="10"/>
        <v>29.2403592066759i</v>
      </c>
      <c r="AB27" s="49">
        <f t="shared" si="0"/>
        <v>11.052166224580018</v>
      </c>
      <c r="AD27" s="49" t="str">
        <f t="shared" si="3"/>
        <v>0.999999203992982-0.000891461189137881i</v>
      </c>
      <c r="AE27" s="49" t="str">
        <f t="shared" si="4"/>
        <v>0.999999999989998-5.62668055026449E-06i</v>
      </c>
      <c r="AF27" s="49" t="str">
        <f t="shared" si="19"/>
        <v>8.10009392123862-0.00726650178443393i</v>
      </c>
      <c r="AG27" s="49">
        <f t="shared" si="5"/>
        <v>8.1000971805858626</v>
      </c>
      <c r="AH27" s="49">
        <f t="shared" si="12"/>
        <v>-8.9708834314864252E-4</v>
      </c>
      <c r="AI27" s="49">
        <f t="shared" si="1"/>
        <v>-5.1399375912800964E-2</v>
      </c>
      <c r="AJ27" s="49">
        <f t="shared" si="13"/>
        <v>18.169804586805121</v>
      </c>
      <c r="AL27" s="49" t="str">
        <f t="shared" si="14"/>
        <v>0.999460929364493-0.0232116358397457i</v>
      </c>
      <c r="AM27" s="49" t="str">
        <f t="shared" si="15"/>
        <v>1.00000000286715+0.000181582630628185i</v>
      </c>
      <c r="AN27" s="49" t="str">
        <f t="shared" si="16"/>
        <v>-158.059416216656+3.64208022528945i</v>
      </c>
      <c r="AO27" s="49">
        <f t="shared" si="6"/>
        <v>158.10137192041549</v>
      </c>
      <c r="AP27" s="49">
        <f t="shared" si="7"/>
        <v>3.1185542549715151</v>
      </c>
      <c r="AQ27" s="49">
        <f t="shared" si="8"/>
        <v>178.67999699243262</v>
      </c>
      <c r="AR27" s="49">
        <f t="shared" si="9"/>
        <v>43.978712770545627</v>
      </c>
      <c r="AS27" s="49">
        <f t="shared" si="17"/>
        <v>62.148517357350748</v>
      </c>
      <c r="AT27" s="49">
        <f t="shared" si="18"/>
        <v>178.62859761651981</v>
      </c>
    </row>
    <row r="28" spans="1:46">
      <c r="A28" s="5" t="s">
        <v>63</v>
      </c>
      <c r="B28" s="2">
        <v>1</v>
      </c>
      <c r="C28" s="12" t="s">
        <v>71</v>
      </c>
      <c r="R28" s="7"/>
      <c r="S28" s="20"/>
      <c r="Y28" s="49">
        <v>26</v>
      </c>
      <c r="Z28" s="49">
        <f t="shared" si="2"/>
        <v>4.9489714509035139</v>
      </c>
      <c r="AA28" s="49" t="str">
        <f t="shared" si="10"/>
        <v>31.0953047059682i</v>
      </c>
      <c r="AB28" s="49">
        <f t="shared" si="0"/>
        <v>11.052166224580018</v>
      </c>
      <c r="AD28" s="49" t="str">
        <f t="shared" si="3"/>
        <v>0.999999099795711-0.00094801347072179i</v>
      </c>
      <c r="AE28" s="49" t="str">
        <f t="shared" si="4"/>
        <v>0.999999999988688-5.98362506278446E-06i</v>
      </c>
      <c r="AF28" s="49" t="str">
        <f t="shared" si="19"/>
        <v>8.10009307190121-0.00772747222268619i</v>
      </c>
      <c r="AG28" s="49">
        <f t="shared" si="5"/>
        <v>8.1000967578967185</v>
      </c>
      <c r="AH28" s="49">
        <f t="shared" si="12"/>
        <v>-9.5399766518794698E-4</v>
      </c>
      <c r="AI28" s="49">
        <f t="shared" si="1"/>
        <v>-5.4660039880603944E-2</v>
      </c>
      <c r="AJ28" s="49">
        <f t="shared" si="13"/>
        <v>18.169804133547427</v>
      </c>
      <c r="AL28" s="49" t="str">
        <f t="shared" si="14"/>
        <v>0.999390408001866-0.0246823903974039i</v>
      </c>
      <c r="AM28" s="49" t="str">
        <f t="shared" si="15"/>
        <v>1.00000000324246+0.000193101842169616i</v>
      </c>
      <c r="AN28" s="49" t="str">
        <f t="shared" si="16"/>
        <v>-158.048350943824+3.87285267759359i</v>
      </c>
      <c r="AO28" s="49">
        <f t="shared" si="6"/>
        <v>158.09579445363022</v>
      </c>
      <c r="AP28" s="49">
        <f t="shared" si="7"/>
        <v>3.1170933293454355</v>
      </c>
      <c r="AQ28" s="49">
        <f t="shared" si="8"/>
        <v>178.59629211987576</v>
      </c>
      <c r="AR28" s="49">
        <f t="shared" si="9"/>
        <v>43.978406346161648</v>
      </c>
      <c r="AS28" s="49">
        <f t="shared" si="17"/>
        <v>62.148210479709078</v>
      </c>
      <c r="AT28" s="49">
        <f t="shared" si="18"/>
        <v>178.54163207999514</v>
      </c>
    </row>
    <row r="29" spans="1:46">
      <c r="A29" s="3" t="s">
        <v>64</v>
      </c>
      <c r="B29" s="54">
        <f>1000*B12/100*B5</f>
        <v>100</v>
      </c>
      <c r="C29" s="10" t="s">
        <v>90</v>
      </c>
      <c r="R29" s="7"/>
      <c r="S29" s="15" t="s">
        <v>58</v>
      </c>
      <c r="T29" s="20">
        <f>D23</f>
        <v>2.2000000000000002</v>
      </c>
      <c r="Y29" s="49">
        <v>27</v>
      </c>
      <c r="Z29" s="49">
        <f t="shared" si="2"/>
        <v>5.2629235557355134</v>
      </c>
      <c r="AA29" s="49" t="str">
        <f t="shared" si="10"/>
        <v>33.0679239582067i</v>
      </c>
      <c r="AB29" s="49">
        <f t="shared" si="0"/>
        <v>11.052166224580018</v>
      </c>
      <c r="AD29" s="49" t="str">
        <f t="shared" si="3"/>
        <v>0.999998981959036-0.00100815328736954i</v>
      </c>
      <c r="AE29" s="49" t="str">
        <f t="shared" si="4"/>
        <v>0.999999999987208-6.36321336748119E-06i</v>
      </c>
      <c r="AF29" s="49" t="str">
        <f t="shared" si="19"/>
        <v>8.10009211138569-0.0082176854706764i</v>
      </c>
      <c r="AG29" s="49">
        <f t="shared" si="5"/>
        <v>8.100096279877615</v>
      </c>
      <c r="AH29" s="49">
        <f t="shared" si="12"/>
        <v>-1.0145171855252945E-3</v>
      </c>
      <c r="AI29" s="49">
        <f t="shared" si="1"/>
        <v>-5.8127552974090106E-2</v>
      </c>
      <c r="AJ29" s="49">
        <f t="shared" si="13"/>
        <v>18.16980362095833</v>
      </c>
      <c r="AL29" s="49" t="str">
        <f t="shared" si="14"/>
        <v>0.999310667378945-0.0262460938349422i</v>
      </c>
      <c r="AM29" s="49" t="str">
        <f t="shared" si="15"/>
        <v>1.0000000036669+0.000205351807714985i</v>
      </c>
      <c r="AN29" s="49" t="str">
        <f t="shared" si="16"/>
        <v>-158.035839107473+4.11820950855848i</v>
      </c>
      <c r="AO29" s="49">
        <f t="shared" si="6"/>
        <v>158.08948760736584</v>
      </c>
      <c r="AP29" s="49">
        <f t="shared" si="7"/>
        <v>3.1155398433777006</v>
      </c>
      <c r="AQ29" s="49">
        <f t="shared" si="8"/>
        <v>178.50728393039176</v>
      </c>
      <c r="AR29" s="49">
        <f t="shared" si="9"/>
        <v>43.978059836860091</v>
      </c>
      <c r="AS29" s="49">
        <f t="shared" si="17"/>
        <v>62.147863457818417</v>
      </c>
      <c r="AT29" s="49">
        <f t="shared" si="18"/>
        <v>178.44915637741767</v>
      </c>
    </row>
    <row r="30" spans="1:46">
      <c r="A30" s="3" t="s">
        <v>94</v>
      </c>
      <c r="B30" s="55">
        <f>1000000*(D23*B28^2)/(B5*B29*2)/1000</f>
        <v>2.2000000000000002</v>
      </c>
      <c r="C30" s="10" t="s">
        <v>77</v>
      </c>
      <c r="D30" s="2">
        <v>10</v>
      </c>
      <c r="E30" s="28" t="s">
        <v>77</v>
      </c>
      <c r="R30" s="7"/>
      <c r="S30" s="1" t="s">
        <v>59</v>
      </c>
      <c r="T30" s="15">
        <f>B5</f>
        <v>5</v>
      </c>
      <c r="Y30" s="49">
        <v>28</v>
      </c>
      <c r="Z30" s="49">
        <f t="shared" si="2"/>
        <v>5.5967921068647417</v>
      </c>
      <c r="AA30" s="49" t="str">
        <f t="shared" si="10"/>
        <v>35.1656819331912i</v>
      </c>
      <c r="AB30" s="49">
        <f t="shared" si="0"/>
        <v>11.052166224580018</v>
      </c>
      <c r="AD30" s="49" t="str">
        <f t="shared" si="3"/>
        <v>0.999998848697567-0.00107210822052675i</v>
      </c>
      <c r="AE30" s="49" t="str">
        <f t="shared" si="4"/>
        <v>0.999999999985533-6.76688193782957E-06i</v>
      </c>
      <c r="AF30" s="49" t="str">
        <f t="shared" si="19"/>
        <v>8.10009102513891-0.00873899659624233i</v>
      </c>
      <c r="AG30" s="49">
        <f t="shared" si="5"/>
        <v>8.1000957392858908</v>
      </c>
      <c r="AH30" s="49">
        <f t="shared" si="12"/>
        <v>-1.0788759260195355E-3</v>
      </c>
      <c r="AI30" s="49">
        <f t="shared" si="1"/>
        <v>-6.1815037179187828E-2</v>
      </c>
      <c r="AJ30" s="49">
        <f t="shared" si="13"/>
        <v>18.169803041271365</v>
      </c>
      <c r="AL30" s="49" t="str">
        <f t="shared" si="14"/>
        <v>0.999220504034822-0.0279085712858597i</v>
      </c>
      <c r="AM30" s="49" t="str">
        <f t="shared" si="15"/>
        <v>1.0000000041469+0.00021837888472637i</v>
      </c>
      <c r="AN30" s="49" t="str">
        <f t="shared" si="16"/>
        <v>-158.02169187655+4.37906472552255i</v>
      </c>
      <c r="AO30" s="49">
        <f t="shared" si="6"/>
        <v>158.0823561040182</v>
      </c>
      <c r="AP30" s="49">
        <f t="shared" si="7"/>
        <v>3.1138879490550218</v>
      </c>
      <c r="AQ30" s="49">
        <f t="shared" si="8"/>
        <v>178.41263735750064</v>
      </c>
      <c r="AR30" s="49">
        <f t="shared" si="9"/>
        <v>43.977668002784576</v>
      </c>
      <c r="AS30" s="49">
        <f t="shared" si="17"/>
        <v>62.147471044055941</v>
      </c>
      <c r="AT30" s="49">
        <f t="shared" si="18"/>
        <v>178.35082232032144</v>
      </c>
    </row>
    <row r="31" spans="1:46">
      <c r="A31" s="3" t="s">
        <v>6</v>
      </c>
      <c r="B31" s="2">
        <v>5.0000000000000001E-3</v>
      </c>
      <c r="C31" s="21" t="s">
        <v>34</v>
      </c>
      <c r="R31" s="7"/>
      <c r="Y31" s="49">
        <v>29</v>
      </c>
      <c r="Z31" s="49">
        <f t="shared" si="2"/>
        <v>5.9518405608089449</v>
      </c>
      <c r="AA31" s="49" t="str">
        <f t="shared" si="10"/>
        <v>37.3965171623503i</v>
      </c>
      <c r="AB31" s="49">
        <f t="shared" si="0"/>
        <v>11.052166224580018</v>
      </c>
      <c r="AD31" s="49" t="str">
        <f t="shared" si="3"/>
        <v>0.999998697992207-0.00114012028809314i</v>
      </c>
      <c r="AE31" s="49" t="str">
        <f t="shared" si="4"/>
        <v>0.999999999983639-7.19615837409229E-06i</v>
      </c>
      <c r="AF31" s="49" t="str">
        <f t="shared" si="19"/>
        <v>8.1000897967027-0.00929337834202438i</v>
      </c>
      <c r="AG31" s="49">
        <f t="shared" si="5"/>
        <v>8.1000951279307962</v>
      </c>
      <c r="AH31" s="49">
        <f t="shared" si="12"/>
        <v>-1.1473174369087714E-3</v>
      </c>
      <c r="AI31" s="49">
        <f t="shared" si="1"/>
        <v>-6.5736446896639711E-2</v>
      </c>
      <c r="AJ31" s="49">
        <f t="shared" si="13"/>
        <v>18.169802385703424</v>
      </c>
      <c r="AL31" s="49" t="str">
        <f t="shared" si="14"/>
        <v>0.999118557905711-0.0296760030011417i</v>
      </c>
      <c r="AM31" s="49" t="str">
        <f t="shared" si="15"/>
        <v>1.00000000468973+0.000232232371483491i</v>
      </c>
      <c r="AN31" s="49" t="str">
        <f t="shared" si="16"/>
        <v>-158.00569584796+4.65638805644595i</v>
      </c>
      <c r="AO31" s="49">
        <f t="shared" si="6"/>
        <v>158.07429224934162</v>
      </c>
      <c r="AP31" s="49">
        <f t="shared" si="7"/>
        <v>3.1121314321966276</v>
      </c>
      <c r="AQ31" s="49">
        <f t="shared" si="8"/>
        <v>178.31199635487107</v>
      </c>
      <c r="AR31" s="49">
        <f t="shared" si="9"/>
        <v>43.977224920204108</v>
      </c>
      <c r="AS31" s="49">
        <f t="shared" si="17"/>
        <v>62.147027305907528</v>
      </c>
      <c r="AT31" s="49">
        <f t="shared" si="18"/>
        <v>178.24625990797443</v>
      </c>
    </row>
    <row r="32" spans="1:46">
      <c r="A32" s="3" t="s">
        <v>88</v>
      </c>
      <c r="B32" s="55">
        <f>1000*(B5*(1-B16))/(B7*D23)/8/D30/B7</f>
        <v>3.8589015151515142</v>
      </c>
      <c r="C32" s="10" t="s">
        <v>90</v>
      </c>
      <c r="R32" s="7"/>
      <c r="Y32" s="49">
        <v>30</v>
      </c>
      <c r="Z32" s="49">
        <f t="shared" si="2"/>
        <v>6.3294125250499764</v>
      </c>
      <c r="AA32" s="49" t="str">
        <f t="shared" si="10"/>
        <v>39.7688717804725i</v>
      </c>
      <c r="AB32" s="49">
        <f t="shared" si="0"/>
        <v>11.052166224580018</v>
      </c>
      <c r="AD32" s="49" t="str">
        <f t="shared" si="3"/>
        <v>0.999998527559561-0.00121244686007335i</v>
      </c>
      <c r="AE32" s="49" t="str">
        <f t="shared" si="4"/>
        <v>0.999999999981499-7.65266718420734E-06i</v>
      </c>
      <c r="AF32" s="49" t="str">
        <f t="shared" si="19"/>
        <v>8.10008840746459-0.00988292858914253i</v>
      </c>
      <c r="AG32" s="49">
        <f t="shared" si="5"/>
        <v>8.1000944365494725</v>
      </c>
      <c r="AH32" s="49">
        <f t="shared" si="12"/>
        <v>-1.2201007184038349E-3</v>
      </c>
      <c r="AI32" s="49">
        <f t="shared" si="1"/>
        <v>-6.9906621745419478E-2</v>
      </c>
      <c r="AJ32" s="49">
        <f t="shared" si="13"/>
        <v>18.169801644321744</v>
      </c>
      <c r="AL32" s="49" t="str">
        <f t="shared" si="14"/>
        <v>0.999003292084355-0.0315549439704089i</v>
      </c>
      <c r="AM32" s="49" t="str">
        <f t="shared" si="15"/>
        <v>1.00000000530361+0.000246964693642838i</v>
      </c>
      <c r="AN32" s="49" t="str">
        <f t="shared" si="16"/>
        <v>-157.987609870689+4.95120802862002i</v>
      </c>
      <c r="AO32" s="49">
        <f t="shared" si="6"/>
        <v>158.06517432247907</v>
      </c>
      <c r="AP32" s="49">
        <f t="shared" si="7"/>
        <v>3.1102636901987664</v>
      </c>
      <c r="AQ32" s="49">
        <f t="shared" si="8"/>
        <v>178.20498262117431</v>
      </c>
      <c r="AR32" s="49">
        <f t="shared" si="9"/>
        <v>43.976723892557445</v>
      </c>
      <c r="AS32" s="49">
        <f t="shared" si="17"/>
        <v>62.146525536879189</v>
      </c>
      <c r="AT32" s="49">
        <f t="shared" si="18"/>
        <v>178.13507599942889</v>
      </c>
    </row>
    <row r="33" spans="1:46">
      <c r="A33" s="3" t="s">
        <v>89</v>
      </c>
      <c r="B33" s="54">
        <f>1000*(B5*(1-B16))/(B7*D23)*B31</f>
        <v>3.0871212121212115</v>
      </c>
      <c r="C33" s="10" t="s">
        <v>90</v>
      </c>
      <c r="D33" s="40"/>
      <c r="E33" s="85"/>
      <c r="R33" s="7"/>
      <c r="Y33" s="49">
        <v>31</v>
      </c>
      <c r="Z33" s="49">
        <f t="shared" si="2"/>
        <v>6.7309368426385694</v>
      </c>
      <c r="AA33" s="49" t="str">
        <f t="shared" si="10"/>
        <v>42.2917234732204i</v>
      </c>
      <c r="AB33" s="49">
        <f t="shared" si="0"/>
        <v>11.052166224580018</v>
      </c>
      <c r="AD33" s="49" t="str">
        <f t="shared" si="3"/>
        <v>0.999998334817342-0.00128936163228073i</v>
      </c>
      <c r="AE33" s="49" t="str">
        <f t="shared" si="4"/>
        <v>0.999999999979077-0.0000081381359314024i</v>
      </c>
      <c r="AF33" s="49" t="str">
        <f t="shared" si="19"/>
        <v>8.10008683637569-0.010509878294076i</v>
      </c>
      <c r="AG33" s="49">
        <f t="shared" si="5"/>
        <v>8.1000936546664981</v>
      </c>
      <c r="AH33" s="49">
        <f t="shared" si="12"/>
        <v>-1.297501200734251E-3</v>
      </c>
      <c r="AI33" s="49">
        <f t="shared" si="1"/>
        <v>-7.4341342715229214E-2</v>
      </c>
      <c r="AJ33" s="49">
        <f t="shared" si="13"/>
        <v>18.169800805893303</v>
      </c>
      <c r="AL33" s="49" t="str">
        <f t="shared" si="14"/>
        <v>0.998872970001798-0.0335523442040172i</v>
      </c>
      <c r="AM33" s="49" t="str">
        <f t="shared" si="15"/>
        <v>1.00000000599786+0.000262631602631723i</v>
      </c>
      <c r="AN33" s="49" t="str">
        <f t="shared" si="16"/>
        <v>-157.967161465472+5.26461515108561i</v>
      </c>
      <c r="AO33" s="49">
        <f t="shared" si="6"/>
        <v>158.05486475951176</v>
      </c>
      <c r="AP33" s="49">
        <f t="shared" si="7"/>
        <v>3.1082777085635565</v>
      </c>
      <c r="AQ33" s="49">
        <f t="shared" si="8"/>
        <v>178.09119425528627</v>
      </c>
      <c r="AR33" s="49">
        <f t="shared" si="9"/>
        <v>43.976157350009601</v>
      </c>
      <c r="AS33" s="49">
        <f t="shared" si="17"/>
        <v>62.145958155902903</v>
      </c>
      <c r="AT33" s="49">
        <f t="shared" si="18"/>
        <v>178.01685291257104</v>
      </c>
    </row>
    <row r="34" spans="1:46" s="31" customFormat="1">
      <c r="A34" s="37"/>
      <c r="B34" s="29"/>
      <c r="C34" s="27"/>
      <c r="D34" s="38"/>
      <c r="E34" s="29"/>
      <c r="F34" s="52"/>
      <c r="G34" s="52"/>
      <c r="H34" s="84"/>
      <c r="R34" s="39"/>
      <c r="S34" s="39"/>
      <c r="T34" s="39"/>
      <c r="U34" s="39"/>
      <c r="V34" s="39"/>
      <c r="W34" s="39"/>
      <c r="X34" s="39"/>
      <c r="Y34" s="52">
        <v>32</v>
      </c>
      <c r="Z34" s="52">
        <f t="shared" si="2"/>
        <v>7.1579329993555039</v>
      </c>
      <c r="AA34" s="52" t="str">
        <f t="shared" si="10"/>
        <v>44.9746194513264i</v>
      </c>
      <c r="AB34" s="52">
        <f t="shared" si="0"/>
        <v>11.052166224580018</v>
      </c>
      <c r="AC34" s="52"/>
      <c r="AD34" s="52" t="str">
        <f t="shared" si="3"/>
        <v>0.999998116845245-0.00137115566177031i</v>
      </c>
      <c r="AE34" s="52" t="str">
        <f t="shared" si="4"/>
        <v>0.999999999976337-0.000008654401771801i</v>
      </c>
      <c r="AF34" s="52" t="str">
        <f t="shared" si="19"/>
        <v>8.10008505963187-0.0111765999287118i</v>
      </c>
      <c r="AG34" s="52">
        <f t="shared" si="5"/>
        <v>8.1000927704352481</v>
      </c>
      <c r="AH34" s="52">
        <f t="shared" si="12"/>
        <v>-1.3798117863528198E-3</v>
      </c>
      <c r="AI34" s="52">
        <f t="shared" si="1"/>
        <v>-7.9057391880423419E-2</v>
      </c>
      <c r="AJ34" s="52">
        <f t="shared" si="13"/>
        <v>18.169799857714704</v>
      </c>
      <c r="AK34" s="52"/>
      <c r="AL34" s="52" t="str">
        <f t="shared" si="14"/>
        <v>0.998725629713974-0.035675569601625i</v>
      </c>
      <c r="AM34" s="52" t="str">
        <f t="shared" si="15"/>
        <v>1.00000000678298+0.000279292386628003i</v>
      </c>
      <c r="AN34" s="52" t="str">
        <f t="shared" si="16"/>
        <v>-157.944042790178+5.59776518907313i</v>
      </c>
      <c r="AO34" s="52">
        <f t="shared" si="6"/>
        <v>158.0432081046749</v>
      </c>
      <c r="AP34" s="52">
        <f t="shared" si="7"/>
        <v>3.1061660361744505</v>
      </c>
      <c r="AQ34" s="52">
        <f t="shared" si="8"/>
        <v>177.9702043396762</v>
      </c>
      <c r="AR34" s="52">
        <f t="shared" si="9"/>
        <v>43.975516736059681</v>
      </c>
      <c r="AS34" s="52">
        <f t="shared" si="17"/>
        <v>62.145316593774382</v>
      </c>
      <c r="AT34" s="52">
        <f t="shared" si="18"/>
        <v>177.89114694779579</v>
      </c>
    </row>
    <row r="35" spans="1:46">
      <c r="A35" s="4" t="s">
        <v>106</v>
      </c>
      <c r="B35" s="30"/>
      <c r="C35" s="30"/>
      <c r="D35" s="24"/>
      <c r="E35" s="29"/>
      <c r="H35" s="84"/>
      <c r="Y35" s="49">
        <v>33</v>
      </c>
      <c r="Z35" s="49">
        <f t="shared" si="2"/>
        <v>7.6120168738914558</v>
      </c>
      <c r="AA35" s="49" t="str">
        <f t="shared" si="10"/>
        <v>47.8277125800379i</v>
      </c>
      <c r="AB35" s="49">
        <f t="shared" si="0"/>
        <v>11.052166224580018</v>
      </c>
      <c r="AD35" s="49" t="str">
        <f t="shared" si="3"/>
        <v>0.999997870340701-0.00145813846790837i</v>
      </c>
      <c r="AE35" s="49" t="str">
        <f t="shared" si="4"/>
        <v>0.99999999997324-9.20341840675998E-06i</v>
      </c>
      <c r="AF35" s="49" t="str">
        <f t="shared" si="19"/>
        <v>8.10008305031313-0.0118856164554118i</v>
      </c>
      <c r="AG35" s="49">
        <f t="shared" si="5"/>
        <v>8.1000917704584428</v>
      </c>
      <c r="AH35" s="49">
        <f t="shared" si="12"/>
        <v>-1.4673439582389154E-3</v>
      </c>
      <c r="AI35" s="49">
        <f t="shared" si="1"/>
        <v>-8.407261590111037E-2</v>
      </c>
      <c r="AJ35" s="49">
        <f t="shared" si="13"/>
        <v>18.169798785419733</v>
      </c>
      <c r="AL35" s="49" t="str">
        <f t="shared" si="14"/>
        <v>0.998559054939536-0.0379324233050993i</v>
      </c>
      <c r="AM35" s="49" t="str">
        <f t="shared" si="15"/>
        <v>1.00000000767087+0.00029701009492392i</v>
      </c>
      <c r="AN35" s="49" t="str">
        <f t="shared" si="16"/>
        <v>-157.917906095459+5.95188251444052i</v>
      </c>
      <c r="AO35" s="49">
        <f t="shared" si="6"/>
        <v>158.03002870037045</v>
      </c>
      <c r="AP35" s="49">
        <f t="shared" si="7"/>
        <v>3.1039207592860234</v>
      </c>
      <c r="AQ35" s="49">
        <f t="shared" si="8"/>
        <v>177.84155945013106</v>
      </c>
      <c r="AR35" s="49">
        <f t="shared" si="9"/>
        <v>43.974792379562395</v>
      </c>
      <c r="AS35" s="49">
        <f t="shared" si="17"/>
        <v>62.144591164982131</v>
      </c>
      <c r="AT35" s="49">
        <f t="shared" si="18"/>
        <v>177.75748683422995</v>
      </c>
    </row>
    <row r="36" spans="1:46">
      <c r="A36" s="3" t="s">
        <v>111</v>
      </c>
      <c r="B36" s="2">
        <v>1</v>
      </c>
      <c r="C36" s="41" t="s">
        <v>71</v>
      </c>
      <c r="D36" s="56"/>
      <c r="E36" s="45"/>
      <c r="H36" s="84"/>
      <c r="Y36" s="49">
        <v>34</v>
      </c>
      <c r="Z36" s="49">
        <f t="shared" si="2"/>
        <v>8.0949068528058863</v>
      </c>
      <c r="AA36" s="49" t="str">
        <f t="shared" si="10"/>
        <v>50.8617998005373i</v>
      </c>
      <c r="AB36" s="49">
        <f t="shared" si="0"/>
        <v>11.052166224580018</v>
      </c>
      <c r="AD36" s="49" t="str">
        <f t="shared" si="3"/>
        <v>0.999997591568846-0.00155063920323279i</v>
      </c>
      <c r="AE36" s="49" t="str">
        <f t="shared" si="4"/>
        <v>0.999999999969736-9.78726347624851E-06i</v>
      </c>
      <c r="AF36" s="49" t="str">
        <f t="shared" si="19"/>
        <v>8.10008077797564-0.0126396108709599i</v>
      </c>
      <c r="AG36" s="49">
        <f t="shared" si="5"/>
        <v>8.1000906395850532</v>
      </c>
      <c r="AH36" s="49">
        <f t="shared" ref="AH36:AH67" si="20">IMARGUMENT(AF36)</f>
        <v>-1.560428958490615E-3</v>
      </c>
      <c r="AI36" s="49">
        <f t="shared" si="1"/>
        <v>-8.9405993551506968E-2</v>
      </c>
      <c r="AJ36" s="49">
        <f t="shared" ref="AJ36:AJ67" si="21">20*LOG(AG36,10)</f>
        <v>18.169797572761606</v>
      </c>
      <c r="AL36" s="49" t="str">
        <f t="shared" ref="AL36:AL67" si="22">IMDIV(1,IMSUM(1,IMDIV(AA36,wp2e)))</f>
        <v>0.998370742456021-0.0403311673998398i</v>
      </c>
      <c r="AM36" s="49" t="str">
        <f t="shared" ref="AM36:AM67" si="23">IMDIV(IMSUM(1,IMDIV(AA36,wz2e)),IMSUM(1,IMDIV(AA36,wp1e)))</f>
        <v>1.00000000867499+0.000315851776523075i</v>
      </c>
      <c r="AN36" s="49" t="str">
        <f t="shared" ref="AN36:AN67" si="24">IMPRODUCT($AK$2,AL36,AM36)</f>
        <v>-157.888358608994+6.32826351078156i</v>
      </c>
      <c r="AO36" s="49">
        <f t="shared" si="6"/>
        <v>158.01512808368753</v>
      </c>
      <c r="AP36" s="49">
        <f t="shared" si="7"/>
        <v>3.1015334742031331</v>
      </c>
      <c r="AQ36" s="49">
        <f t="shared" si="8"/>
        <v>177.7047780903869</v>
      </c>
      <c r="AR36" s="49">
        <f t="shared" si="9"/>
        <v>43.973973350323277</v>
      </c>
      <c r="AS36" s="49">
        <f t="shared" ref="AS36:AS67" si="25">AR36+AJ36</f>
        <v>62.143770923084887</v>
      </c>
      <c r="AT36" s="49">
        <f t="shared" ref="AT36:AT67" si="26">AQ36+AI36</f>
        <v>177.61537209683539</v>
      </c>
    </row>
    <row r="37" spans="1:46">
      <c r="A37" s="3" t="s">
        <v>96</v>
      </c>
      <c r="B37" s="54">
        <f>(B5+B36*B24+B10*B36)/(B4)</f>
        <v>0.45</v>
      </c>
      <c r="C37" s="41"/>
      <c r="D37" s="56"/>
      <c r="E37" s="45"/>
      <c r="H37" s="84"/>
      <c r="Y37" s="49">
        <v>35</v>
      </c>
      <c r="Z37" s="49">
        <f t="shared" si="2"/>
        <v>8.6084303334057619</v>
      </c>
      <c r="AA37" s="49" t="str">
        <f t="shared" si="10"/>
        <v>54.0883629887341i</v>
      </c>
      <c r="AB37" s="49">
        <f t="shared" si="0"/>
        <v>11.052166224580018</v>
      </c>
      <c r="AD37" s="49" t="str">
        <f t="shared" si="3"/>
        <v>0.999997276305925-0.00164900789851948i</v>
      </c>
      <c r="AE37" s="49" t="str">
        <f t="shared" si="4"/>
        <v>0.999999999965776-0.0000104081464212472i</v>
      </c>
      <c r="AF37" s="49" t="str">
        <f t="shared" si="19"/>
        <v>8.10007820819058-0.0134414363553806i</v>
      </c>
      <c r="AG37" s="49">
        <f t="shared" si="5"/>
        <v>8.1000893606808564</v>
      </c>
      <c r="AH37" s="49">
        <f t="shared" si="20"/>
        <v>-1.6594190416605785E-3</v>
      </c>
      <c r="AI37" s="49">
        <f t="shared" si="1"/>
        <v>-9.5077707530794878E-2</v>
      </c>
      <c r="AJ37" s="49">
        <f t="shared" si="21"/>
        <v>18.169796201366879</v>
      </c>
      <c r="AL37" s="49" t="str">
        <f t="shared" si="22"/>
        <v>0.998157865418918-0.042880544787438i</v>
      </c>
      <c r="AM37" s="49" t="str">
        <f t="shared" si="23"/>
        <v>1.00000000981054+0.000335888733873495i</v>
      </c>
      <c r="AN37" s="49" t="str">
        <f t="shared" si="24"/>
        <v>-157.854956779994+6.72828000541928i</v>
      </c>
      <c r="AO37" s="49">
        <f t="shared" si="6"/>
        <v>157.99828205346128</v>
      </c>
      <c r="AP37" s="49">
        <f t="shared" si="7"/>
        <v>3.0989952586341389</v>
      </c>
      <c r="AQ37" s="49">
        <f t="shared" si="8"/>
        <v>177.55934905078914</v>
      </c>
      <c r="AR37" s="49">
        <f t="shared" si="9"/>
        <v>43.973047296207668</v>
      </c>
      <c r="AS37" s="49">
        <f t="shared" si="25"/>
        <v>62.142843497574546</v>
      </c>
      <c r="AT37" s="49">
        <f t="shared" si="26"/>
        <v>177.46427134325833</v>
      </c>
    </row>
    <row r="38" spans="1:46">
      <c r="A38" s="3" t="s">
        <v>97</v>
      </c>
      <c r="B38" s="54">
        <f>((B5-0.3)*(1-B37))/(B7*1000000*(D23/1000000))</f>
        <v>0.58750000000000002</v>
      </c>
      <c r="C38" s="41" t="s">
        <v>71</v>
      </c>
      <c r="D38" s="56"/>
      <c r="E38" s="45"/>
      <c r="H38" s="84"/>
      <c r="Y38" s="49">
        <v>36</v>
      </c>
      <c r="Z38" s="49">
        <f t="shared" si="2"/>
        <v>9.1545306391529166</v>
      </c>
      <c r="AA38" s="49" t="str">
        <f t="shared" si="10"/>
        <v>57.519612406051i</v>
      </c>
      <c r="AB38" s="49">
        <f t="shared" si="0"/>
        <v>11.052166224580018</v>
      </c>
      <c r="AD38" s="49" t="str">
        <f t="shared" si="3"/>
        <v>0.999996919775309-0.00175361678674813i</v>
      </c>
      <c r="AE38" s="49" t="str">
        <f t="shared" si="4"/>
        <v>0.999999999961295-0.0000110684168449207i</v>
      </c>
      <c r="AF38" s="49" t="str">
        <f t="shared" si="19"/>
        <v>8.10007530202243-0.0142941270638831i</v>
      </c>
      <c r="AG38" s="49">
        <f t="shared" si="5"/>
        <v>8.1000879143687268</v>
      </c>
      <c r="AH38" s="49">
        <f t="shared" si="20"/>
        <v>-1.764688807572445E-3</v>
      </c>
      <c r="AI38" s="49">
        <f t="shared" si="1"/>
        <v>-0.10110922082787498</v>
      </c>
      <c r="AJ38" s="49">
        <f t="shared" si="21"/>
        <v>18.169794650456993</v>
      </c>
      <c r="AL38" s="49" t="str">
        <f t="shared" si="22"/>
        <v>0.997917232122505-0.0455898010026758i</v>
      </c>
      <c r="AM38" s="49" t="str">
        <f t="shared" si="23"/>
        <v>1.00000001109474+0.000357196792696967i</v>
      </c>
      <c r="AN38" s="49" t="str">
        <f t="shared" si="24"/>
        <v>-157.817199808516+7.1533826926681i</v>
      </c>
      <c r="AO38" s="49">
        <f t="shared" si="6"/>
        <v>157.97923736791751</v>
      </c>
      <c r="AP38" s="49">
        <f t="shared" si="7"/>
        <v>3.0962966417152997</v>
      </c>
      <c r="AQ38" s="49">
        <f t="shared" si="8"/>
        <v>177.40472969081708</v>
      </c>
      <c r="AR38" s="49">
        <f t="shared" si="9"/>
        <v>43.9720002594607</v>
      </c>
      <c r="AS38" s="49">
        <f t="shared" si="25"/>
        <v>62.141794909917692</v>
      </c>
      <c r="AT38" s="49">
        <f t="shared" si="26"/>
        <v>177.3036204699892</v>
      </c>
    </row>
    <row r="39" spans="1:46">
      <c r="A39" s="3" t="s">
        <v>98</v>
      </c>
      <c r="B39" s="54">
        <f>B36+(B38/2)</f>
        <v>1.29375</v>
      </c>
      <c r="C39" s="41" t="s">
        <v>71</v>
      </c>
      <c r="D39" s="56"/>
      <c r="E39" s="45"/>
      <c r="F39" s="29"/>
      <c r="G39" s="29"/>
      <c r="H39" s="84"/>
      <c r="Y39" s="49">
        <v>37</v>
      </c>
      <c r="Z39" s="49">
        <f t="shared" si="2"/>
        <v>9.7352743737700074</v>
      </c>
      <c r="AA39" s="49" t="str">
        <f t="shared" si="10"/>
        <v>61.1685329066337i</v>
      </c>
      <c r="AB39" s="49">
        <f t="shared" si="0"/>
        <v>11.052166224580018</v>
      </c>
      <c r="AD39" s="49" t="str">
        <f t="shared" si="3"/>
        <v>0.999996516575122-0.00186486171095515i</v>
      </c>
      <c r="AE39" s="49" t="str">
        <f t="shared" si="4"/>
        <v>0.999999999956229-0.0000117705734042055i</v>
      </c>
      <c r="AF39" s="49" t="str">
        <f t="shared" si="19"/>
        <v>8.10007201543923-0.0152009096025889i</v>
      </c>
      <c r="AG39" s="49">
        <f t="shared" si="5"/>
        <v>8.1000862787352137</v>
      </c>
      <c r="AH39" s="49">
        <f t="shared" si="20"/>
        <v>-1.8766366186539771E-3</v>
      </c>
      <c r="AI39" s="49">
        <f t="shared" si="1"/>
        <v>-0.10752335792857462</v>
      </c>
      <c r="AJ39" s="49">
        <f t="shared" si="21"/>
        <v>18.169792896533604</v>
      </c>
      <c r="AL39" s="49" t="str">
        <f t="shared" si="22"/>
        <v>0.997645239672776-0.0484687056875421i</v>
      </c>
      <c r="AM39" s="49" t="str">
        <f t="shared" si="23"/>
        <v>1.00000001254705+0.000379856588935753i</v>
      </c>
      <c r="AN39" s="49" t="str">
        <f t="shared" si="24"/>
        <v>-157.774522376426+7.60510450328109i</v>
      </c>
      <c r="AO39" s="49">
        <f t="shared" si="6"/>
        <v>157.95770802849472</v>
      </c>
      <c r="AP39" s="49">
        <f t="shared" si="7"/>
        <v>3.0934275727192948</v>
      </c>
      <c r="AQ39" s="49">
        <f t="shared" si="8"/>
        <v>177.24034414621414</v>
      </c>
      <c r="AR39" s="49">
        <f t="shared" si="9"/>
        <v>43.970816469661997</v>
      </c>
      <c r="AS39" s="49">
        <f t="shared" si="25"/>
        <v>62.140609366195605</v>
      </c>
      <c r="AT39" s="49">
        <f t="shared" si="26"/>
        <v>177.13282078828556</v>
      </c>
    </row>
    <row r="40" spans="1:46">
      <c r="A40" s="3" t="s">
        <v>99</v>
      </c>
      <c r="B40" s="54">
        <f>SQRT(B36*B36+(B38*B38/3))</f>
        <v>1.0559602659822638</v>
      </c>
      <c r="C40" s="41" t="s">
        <v>71</v>
      </c>
      <c r="D40" s="56"/>
      <c r="E40" s="45"/>
      <c r="F40" s="29"/>
      <c r="G40" s="29"/>
      <c r="H40" s="84"/>
      <c r="Y40" s="49">
        <v>38</v>
      </c>
      <c r="Z40" s="49">
        <f t="shared" si="2"/>
        <v>10.352859241875105</v>
      </c>
      <c r="AA40" s="49" t="str">
        <f t="shared" si="10"/>
        <v>65.0489330758481i</v>
      </c>
      <c r="AB40" s="49">
        <f t="shared" si="0"/>
        <v>11.052166224580018</v>
      </c>
      <c r="AD40" s="49" t="str">
        <f t="shared" si="3"/>
        <v>0.999996060596398-0.00198316362127491i</v>
      </c>
      <c r="AE40" s="49" t="str">
        <f t="shared" si="4"/>
        <v>0.9999999999505-0.0000125172732654602i</v>
      </c>
      <c r="AF40" s="49" t="str">
        <f t="shared" si="19"/>
        <v>8.10006829864528-0.0161652152312536i</v>
      </c>
      <c r="AG40" s="49">
        <f t="shared" si="5"/>
        <v>8.1000844289983611</v>
      </c>
      <c r="AH40" s="49">
        <f t="shared" si="20"/>
        <v>-1.9956861071419515E-3</v>
      </c>
      <c r="AI40" s="49">
        <f t="shared" si="1"/>
        <v>-0.11434439117212684</v>
      </c>
      <c r="AJ40" s="49">
        <f t="shared" si="21"/>
        <v>18.169790913022393</v>
      </c>
      <c r="AL40" s="49" t="str">
        <f t="shared" si="22"/>
        <v>0.997337821991646-0.0515275733622861i</v>
      </c>
      <c r="AM40" s="49" t="str">
        <f t="shared" si="23"/>
        <v>1.00000001418945+0.000403953873902592i</v>
      </c>
      <c r="AN40" s="49" t="str">
        <f t="shared" si="24"/>
        <v>-157.726286488909+8.08506386359965i</v>
      </c>
      <c r="AO40" s="49">
        <f t="shared" si="6"/>
        <v>157.93337110079011</v>
      </c>
      <c r="AP40" s="49">
        <f t="shared" si="7"/>
        <v>3.0903773884807131</v>
      </c>
      <c r="AQ40" s="49">
        <f t="shared" si="8"/>
        <v>177.0655814626061</v>
      </c>
      <c r="AR40" s="49">
        <f t="shared" si="9"/>
        <v>43.969478110445444</v>
      </c>
      <c r="AS40" s="49">
        <f t="shared" si="25"/>
        <v>62.139269023467833</v>
      </c>
      <c r="AT40" s="49">
        <f t="shared" si="26"/>
        <v>176.95123707143398</v>
      </c>
    </row>
    <row r="41" spans="1:46">
      <c r="A41" s="3" t="s">
        <v>100</v>
      </c>
      <c r="B41" s="54">
        <f>0.5*B4*B36*0.006*B7</f>
        <v>7.2000000000000008E-2</v>
      </c>
      <c r="C41" s="41" t="s">
        <v>107</v>
      </c>
      <c r="D41" s="56"/>
      <c r="E41" s="45"/>
      <c r="F41" s="29"/>
      <c r="G41" s="29"/>
      <c r="H41" s="84"/>
      <c r="Y41" s="49">
        <v>39</v>
      </c>
      <c r="Z41" s="49">
        <f t="shared" si="2"/>
        <v>11.009622365740512</v>
      </c>
      <c r="AA41" s="49" t="str">
        <f t="shared" si="10"/>
        <v>69.1754974860165i</v>
      </c>
      <c r="AB41" s="49">
        <f t="shared" si="0"/>
        <v>11.052166224580018</v>
      </c>
      <c r="AD41" s="49" t="str">
        <f t="shared" si="3"/>
        <v>0.999995544930535-0.00210897016680188i</v>
      </c>
      <c r="AE41" s="49" t="str">
        <f t="shared" si="4"/>
        <v>0.99999999994402-0.0000133113421599632i</v>
      </c>
      <c r="AF41" s="49" t="str">
        <f t="shared" si="19"/>
        <v>8.10006409532688-0.0171906928388952i</v>
      </c>
      <c r="AG41" s="49">
        <f t="shared" si="5"/>
        <v>8.1000823371323794</v>
      </c>
      <c r="AH41" s="49">
        <f t="shared" si="20"/>
        <v>-2.1222877778511577E-3</v>
      </c>
      <c r="AI41" s="49">
        <f t="shared" si="1"/>
        <v>-0.12159813258306938</v>
      </c>
      <c r="AJ41" s="49">
        <f t="shared" si="21"/>
        <v>18.169788669870538</v>
      </c>
      <c r="AL41" s="49" t="str">
        <f t="shared" si="22"/>
        <v>0.996990391518853-0.054777283046324i</v>
      </c>
      <c r="AM41" s="49" t="str">
        <f t="shared" si="23"/>
        <v>1.00000001604686+0.000429579838788736i</v>
      </c>
      <c r="AN41" s="49" t="str">
        <f t="shared" si="24"/>
        <v>-157.671772327124+8.59496777424037i</v>
      </c>
      <c r="AO41" s="49">
        <f t="shared" si="6"/>
        <v>157.90586201853512</v>
      </c>
      <c r="AP41" s="49">
        <f t="shared" si="7"/>
        <v>3.0871347795961621</v>
      </c>
      <c r="AQ41" s="49">
        <f t="shared" si="8"/>
        <v>176.87979365890968</v>
      </c>
      <c r="AR41" s="49">
        <f t="shared" si="9"/>
        <v>43.967965056789915</v>
      </c>
      <c r="AS41" s="49">
        <f t="shared" si="25"/>
        <v>62.137753726660449</v>
      </c>
      <c r="AT41" s="49">
        <f t="shared" si="26"/>
        <v>176.7581955263266</v>
      </c>
    </row>
    <row r="42" spans="1:46">
      <c r="A42" s="3" t="s">
        <v>101</v>
      </c>
      <c r="B42" s="54">
        <f>B40*B40*B10*B37</f>
        <v>0.1806384375</v>
      </c>
      <c r="C42" s="41" t="s">
        <v>107</v>
      </c>
      <c r="D42" s="56"/>
      <c r="E42" s="45"/>
      <c r="F42" s="29"/>
      <c r="G42" s="29"/>
      <c r="H42" s="84"/>
      <c r="Y42" s="49">
        <v>40</v>
      </c>
      <c r="Z42" s="49">
        <f t="shared" si="2"/>
        <v>11.708049129648925</v>
      </c>
      <c r="AA42" s="49" t="str">
        <f t="shared" si="10"/>
        <v>73.5638422671469i</v>
      </c>
      <c r="AB42" s="49">
        <f t="shared" si="0"/>
        <v>11.052166224580018</v>
      </c>
      <c r="AD42" s="49" t="str">
        <f t="shared" si="3"/>
        <v>0.999994961764621-0.00224275738825942i</v>
      </c>
      <c r="AE42" s="49" t="str">
        <f t="shared" si="4"/>
        <v>0.999999999936692-0.0000141557850773081i</v>
      </c>
      <c r="AF42" s="49" t="str">
        <f t="shared" si="19"/>
        <v>8.10005934179907-0.0182812227411204i</v>
      </c>
      <c r="AG42" s="49">
        <f t="shared" si="5"/>
        <v>8.1000799714429554</v>
      </c>
      <c r="AH42" s="49">
        <f t="shared" si="20"/>
        <v>-2.2569207125605608E-3</v>
      </c>
      <c r="AI42" s="49">
        <f t="shared" si="1"/>
        <v>-0.12931203152537854</v>
      </c>
      <c r="AJ42" s="49">
        <f t="shared" si="21"/>
        <v>18.169786133091353</v>
      </c>
      <c r="AL42" s="49" t="str">
        <f t="shared" si="22"/>
        <v>0.996597773924403-0.0582292961775042i</v>
      </c>
      <c r="AM42" s="49" t="str">
        <f t="shared" si="23"/>
        <v>1.00000001814739+0.000456831459758087i</v>
      </c>
      <c r="AN42" s="49" t="str">
        <f t="shared" si="24"/>
        <v>-157.610168004129+9.13661462178359i</v>
      </c>
      <c r="AO42" s="49">
        <f t="shared" si="6"/>
        <v>157.87476931111178</v>
      </c>
      <c r="AP42" s="49">
        <f t="shared" si="7"/>
        <v>3.0836877554873507</v>
      </c>
      <c r="AQ42" s="49">
        <f t="shared" si="8"/>
        <v>176.68229372559497</v>
      </c>
      <c r="AR42" s="49">
        <f t="shared" si="9"/>
        <v>43.966254579329899</v>
      </c>
      <c r="AS42" s="49">
        <f t="shared" si="25"/>
        <v>62.136040712421249</v>
      </c>
      <c r="AT42" s="49">
        <f t="shared" si="26"/>
        <v>176.55298169406959</v>
      </c>
    </row>
    <row r="43" spans="1:46">
      <c r="A43" s="3" t="s">
        <v>102</v>
      </c>
      <c r="B43" s="54">
        <f>B4*0.002+(B4-3.3)*0.025</f>
        <v>0.24149999999999999</v>
      </c>
      <c r="C43" s="41" t="s">
        <v>107</v>
      </c>
      <c r="D43" s="56"/>
      <c r="E43" s="45"/>
      <c r="F43" s="29"/>
      <c r="G43" s="29"/>
      <c r="H43" s="84"/>
      <c r="Y43" s="49">
        <v>41</v>
      </c>
      <c r="Z43" s="49">
        <f t="shared" si="2"/>
        <v>12.4507825853165</v>
      </c>
      <c r="AA43" s="49" t="str">
        <f t="shared" si="10"/>
        <v>78.2305742029481i</v>
      </c>
      <c r="AB43" s="49">
        <f t="shared" si="0"/>
        <v>11.052166224580018</v>
      </c>
      <c r="AD43" s="49" t="str">
        <f t="shared" si="3"/>
        <v>0.999994302263075-0.00238503151783366i</v>
      </c>
      <c r="AE43" s="49" t="str">
        <f t="shared" si="4"/>
        <v>0.999999999928405-0.000015053797637166i</v>
      </c>
      <c r="AF43" s="49" t="str">
        <f t="shared" si="19"/>
        <v>8.10005396604089-0.0194409313509775i</v>
      </c>
      <c r="AG43" s="49">
        <f t="shared" si="5"/>
        <v>8.1000772960871537</v>
      </c>
      <c r="AH43" s="49">
        <f t="shared" si="20"/>
        <v>-2.4000943824503103E-3</v>
      </c>
      <c r="AI43" s="49">
        <f t="shared" si="1"/>
        <v>-0.13751527854746046</v>
      </c>
      <c r="AJ43" s="49">
        <f t="shared" si="21"/>
        <v>18.169783264249425</v>
      </c>
      <c r="AL43" s="49" t="str">
        <f t="shared" si="22"/>
        <v>0.996154135091725-0.0618956721538919i</v>
      </c>
      <c r="AM43" s="49" t="str">
        <f t="shared" si="23"/>
        <v>1.00000002052288+0.000485811864933329i</v>
      </c>
      <c r="AN43" s="49" t="str">
        <f t="shared" si="24"/>
        <v>-157.540558108067+9.71189661742357i</v>
      </c>
      <c r="AO43" s="49">
        <f t="shared" si="6"/>
        <v>157.83962868972026</v>
      </c>
      <c r="AP43" s="49">
        <f t="shared" si="7"/>
        <v>3.0800236084531969</v>
      </c>
      <c r="AQ43" s="49">
        <f t="shared" si="8"/>
        <v>176.47235356502256</v>
      </c>
      <c r="AR43" s="49">
        <f t="shared" si="9"/>
        <v>43.964321011761143</v>
      </c>
      <c r="AS43" s="49">
        <f t="shared" si="25"/>
        <v>62.134104276010568</v>
      </c>
      <c r="AT43" s="49">
        <f t="shared" si="26"/>
        <v>176.3348382864751</v>
      </c>
    </row>
    <row r="44" spans="1:46">
      <c r="A44" s="3" t="s">
        <v>103</v>
      </c>
      <c r="B44" s="54">
        <f>B41+B42+B43</f>
        <v>0.49413843750000003</v>
      </c>
      <c r="C44" s="41" t="s">
        <v>107</v>
      </c>
      <c r="D44" s="56"/>
      <c r="E44" s="45"/>
      <c r="F44" s="29"/>
      <c r="G44" s="29"/>
      <c r="H44" s="84"/>
      <c r="Y44" s="49">
        <v>42</v>
      </c>
      <c r="Z44" s="49">
        <f t="shared" si="2"/>
        <v>13.240633453975693</v>
      </c>
      <c r="AA44" s="49" t="str">
        <f t="shared" si="10"/>
        <v>83.1933535757706i</v>
      </c>
      <c r="AB44" s="49">
        <f t="shared" si="0"/>
        <v>11.052166224580018</v>
      </c>
      <c r="AD44" s="49" t="str">
        <f t="shared" si="3"/>
        <v>0.999993556433788-0.00253633089292776i</v>
      </c>
      <c r="AE44" s="49" t="str">
        <f t="shared" si="4"/>
        <v>0.999999999919033-0.000016008778182448i</v>
      </c>
      <c r="AF44" s="49" t="str">
        <f t="shared" si="19"/>
        <v>8.1000478866042-0.0206742067784001i</v>
      </c>
      <c r="AG44" s="49">
        <f t="shared" si="5"/>
        <v>8.1000742705303086</v>
      </c>
      <c r="AH44" s="49">
        <f t="shared" si="20"/>
        <v>-2.5523505754301069E-3</v>
      </c>
      <c r="AI44" s="49">
        <f t="shared" si="1"/>
        <v>-0.1462389158099322</v>
      </c>
      <c r="AJ44" s="49">
        <f t="shared" si="21"/>
        <v>18.169780019878189</v>
      </c>
      <c r="AL44" s="49" t="str">
        <f t="shared" si="22"/>
        <v>0.995652899581949-0.0657890806745763i</v>
      </c>
      <c r="AM44" s="49" t="str">
        <f t="shared" si="23"/>
        <v>1.00000002320933+0.00051663072466287i</v>
      </c>
      <c r="AN44" s="49" t="str">
        <f t="shared" si="24"/>
        <v>-157.461910908662+10.3228017333652i</v>
      </c>
      <c r="AO44" s="49">
        <f t="shared" si="6"/>
        <v>157.79991642150441</v>
      </c>
      <c r="AP44" s="49">
        <f t="shared" si="7"/>
        <v>3.0761288768830908</v>
      </c>
      <c r="AQ44" s="49">
        <f t="shared" si="8"/>
        <v>176.24920188371914</v>
      </c>
      <c r="AR44" s="49">
        <f t="shared" si="9"/>
        <v>43.962135377000465</v>
      </c>
      <c r="AS44" s="49">
        <f t="shared" si="25"/>
        <v>62.131915396878654</v>
      </c>
      <c r="AT44" s="49">
        <f t="shared" si="26"/>
        <v>176.10296296790921</v>
      </c>
    </row>
    <row r="45" spans="1:46">
      <c r="A45" s="3" t="s">
        <v>104</v>
      </c>
      <c r="B45" s="2">
        <v>27</v>
      </c>
      <c r="C45" s="8" t="s">
        <v>108</v>
      </c>
      <c r="D45" s="79" t="s">
        <v>118</v>
      </c>
      <c r="E45" s="45"/>
      <c r="F45" s="29"/>
      <c r="G45" s="29"/>
      <c r="H45" s="84"/>
      <c r="Y45" s="49">
        <v>43</v>
      </c>
      <c r="Z45" s="49">
        <f t="shared" si="2"/>
        <v>14.080590762968805</v>
      </c>
      <c r="AA45" s="49" t="str">
        <f t="shared" si="10"/>
        <v>88.4709609982942i</v>
      </c>
      <c r="AB45" s="49">
        <f t="shared" si="0"/>
        <v>11.052166224580018</v>
      </c>
      <c r="AD45" s="49" t="str">
        <f t="shared" si="3"/>
        <v>0.999992712976746-0.00269722799101116i</v>
      </c>
      <c r="AE45" s="49" t="str">
        <f t="shared" si="4"/>
        <v>0.999999999908435-0.0000170243406396311i</v>
      </c>
      <c r="AF45" s="49" t="str">
        <f t="shared" si="19"/>
        <v>8.10004101137983-0.0219857154167237i</v>
      </c>
      <c r="AG45" s="49">
        <f t="shared" si="5"/>
        <v>8.1000708489319759</v>
      </c>
      <c r="AH45" s="49">
        <f t="shared" si="20"/>
        <v>-2.7142654456297943E-3</v>
      </c>
      <c r="AI45" s="49">
        <f t="shared" si="1"/>
        <v>-0.15551595451278283</v>
      </c>
      <c r="AJ45" s="49">
        <f t="shared" si="21"/>
        <v>18.16977635082149</v>
      </c>
      <c r="AL45" s="49" t="str">
        <f t="shared" si="22"/>
        <v>0.995086659745848-0.0699228098813185i</v>
      </c>
      <c r="AM45" s="49" t="str">
        <f t="shared" si="23"/>
        <v>1.00000002624743+0.000549404666545454i</v>
      </c>
      <c r="AN45" s="49" t="str">
        <f t="shared" si="24"/>
        <v>-157.37306409627+10.9714149803473i</v>
      </c>
      <c r="AO45" s="49">
        <f t="shared" si="6"/>
        <v>157.75504191536859</v>
      </c>
      <c r="AP45" s="49">
        <f t="shared" si="7"/>
        <v>3.0719893078593938</v>
      </c>
      <c r="AQ45" s="49">
        <f t="shared" si="8"/>
        <v>176.01202204965821</v>
      </c>
      <c r="AR45" s="49">
        <f t="shared" si="9"/>
        <v>43.959664967328948</v>
      </c>
      <c r="AS45" s="49">
        <f t="shared" si="25"/>
        <v>62.129441318150441</v>
      </c>
      <c r="AT45" s="49">
        <f t="shared" si="26"/>
        <v>175.85650609514542</v>
      </c>
    </row>
    <row r="46" spans="1:46">
      <c r="A46" s="60" t="s">
        <v>105</v>
      </c>
      <c r="B46" s="59">
        <f>150-B45*B44</f>
        <v>136.65826218749999</v>
      </c>
      <c r="C46" s="41" t="s">
        <v>109</v>
      </c>
      <c r="D46" s="56"/>
      <c r="E46" s="45"/>
      <c r="F46" s="29"/>
      <c r="G46" s="29"/>
      <c r="H46" s="84"/>
      <c r="Y46" s="49">
        <v>44</v>
      </c>
      <c r="Z46" s="49">
        <f t="shared" si="2"/>
        <v>14.973833157104059</v>
      </c>
      <c r="AA46" s="49" t="str">
        <f t="shared" si="10"/>
        <v>94.0833684848747i</v>
      </c>
      <c r="AB46" s="49">
        <f t="shared" si="0"/>
        <v>11.052166224580018</v>
      </c>
      <c r="AD46" s="49" t="str">
        <f t="shared" si="3"/>
        <v>0.999991759112844-0.00286833159318304i</v>
      </c>
      <c r="AE46" s="49" t="str">
        <f t="shared" si="4"/>
        <v>0.999999999896449-0.0000181043281949169i</v>
      </c>
      <c r="AF46" s="49" t="str">
        <f t="shared" si="19"/>
        <v>8.10003323620219-0.0233804195783805i</v>
      </c>
      <c r="AG46" s="49">
        <f t="shared" si="5"/>
        <v>8.1000669794514515</v>
      </c>
      <c r="AH46" s="49">
        <f t="shared" si="20"/>
        <v>-2.8864516927808405E-3</v>
      </c>
      <c r="AI46" s="49">
        <f t="shared" si="1"/>
        <v>-0.16538149976473426</v>
      </c>
      <c r="AJ46" s="49">
        <f t="shared" si="21"/>
        <v>18.16977220148879</v>
      </c>
      <c r="AL46" s="49" t="str">
        <f t="shared" si="22"/>
        <v>0.994447074615874-0.0743107690971139i</v>
      </c>
      <c r="AM46" s="49" t="str">
        <f t="shared" si="23"/>
        <v>1.00000002968322+0.000584257716783015i</v>
      </c>
      <c r="AN46" s="49" t="str">
        <f t="shared" si="24"/>
        <v>-157.272708917371+11.6599188373893i</v>
      </c>
      <c r="AO46" s="49">
        <f t="shared" si="6"/>
        <v>157.70433943776757</v>
      </c>
      <c r="AP46" s="49">
        <f t="shared" si="7"/>
        <v>3.0675898194449065</v>
      </c>
      <c r="AQ46" s="49">
        <f t="shared" si="8"/>
        <v>175.75994993149138</v>
      </c>
      <c r="AR46" s="49">
        <f t="shared" si="9"/>
        <v>43.956872873293122</v>
      </c>
      <c r="AS46" s="49">
        <f t="shared" si="25"/>
        <v>62.126645074781912</v>
      </c>
      <c r="AT46" s="49">
        <f t="shared" si="26"/>
        <v>175.59456843172666</v>
      </c>
    </row>
    <row r="47" spans="1:46">
      <c r="A47" s="3"/>
      <c r="B47" s="57"/>
      <c r="C47" s="25"/>
      <c r="D47" s="56"/>
      <c r="E47" s="45"/>
      <c r="F47" s="29"/>
      <c r="G47" s="29"/>
      <c r="H47" s="84"/>
      <c r="Y47" s="49">
        <v>45</v>
      </c>
      <c r="Z47" s="49">
        <f t="shared" si="2"/>
        <v>15.923740927579823</v>
      </c>
      <c r="AA47" s="49" t="str">
        <f t="shared" si="10"/>
        <v>100.051815031504i</v>
      </c>
      <c r="AB47" s="49">
        <f t="shared" si="0"/>
        <v>11.052166224580018</v>
      </c>
      <c r="AD47" s="49" t="str">
        <f t="shared" si="3"/>
        <v>0.999990680390298-0.00305028908454016i</v>
      </c>
      <c r="AE47" s="49" t="str">
        <f t="shared" si="4"/>
        <v>0.999999999882895-0.0000192528278379752i</v>
      </c>
      <c r="AF47" s="49" t="str">
        <f t="shared" si="19"/>
        <v>8.10002444327124-0.0248635962457182i</v>
      </c>
      <c r="AG47" s="49">
        <f t="shared" si="5"/>
        <v>8.1000626034623853</v>
      </c>
      <c r="AH47" s="49">
        <f t="shared" si="20"/>
        <v>-3.0695608797038716E-3</v>
      </c>
      <c r="AI47" s="49">
        <f t="shared" si="1"/>
        <v>-0.17587288336549603</v>
      </c>
      <c r="AJ47" s="49">
        <f t="shared" si="21"/>
        <v>18.169767509012985</v>
      </c>
      <c r="AL47" s="49" t="str">
        <f t="shared" si="22"/>
        <v>0.993724757691512-0.0789674847165415i</v>
      </c>
      <c r="AM47" s="49" t="str">
        <f t="shared" si="23"/>
        <v>1.00000003356876+0.000621321769531987i</v>
      </c>
      <c r="AN47" s="49" t="str">
        <f t="shared" si="24"/>
        <v>-157.159372567338+12.39059260701i</v>
      </c>
      <c r="AO47" s="49">
        <f t="shared" si="6"/>
        <v>157.64705887174759</v>
      </c>
      <c r="AP47" s="49">
        <f t="shared" si="7"/>
        <v>3.0629144630324086</v>
      </c>
      <c r="AQ47" s="49">
        <f t="shared" si="8"/>
        <v>175.49207174133582</v>
      </c>
      <c r="AR47" s="49">
        <f t="shared" si="9"/>
        <v>43.953717455666983</v>
      </c>
      <c r="AS47" s="49">
        <f t="shared" si="25"/>
        <v>62.123484964679967</v>
      </c>
      <c r="AT47" s="49">
        <f t="shared" si="26"/>
        <v>175.31619885797033</v>
      </c>
    </row>
    <row r="48" spans="1:46">
      <c r="A48" s="37" t="s">
        <v>7</v>
      </c>
      <c r="B48" s="47">
        <f>B5</f>
        <v>5</v>
      </c>
      <c r="C48" s="27" t="s">
        <v>70</v>
      </c>
      <c r="D48" s="38"/>
      <c r="E48" s="29"/>
      <c r="F48" s="29"/>
      <c r="G48" s="29"/>
      <c r="H48" s="84"/>
      <c r="Y48" s="49">
        <v>46</v>
      </c>
      <c r="Z48" s="49">
        <f t="shared" si="2"/>
        <v>16.933908803997952</v>
      </c>
      <c r="AA48" s="49" t="str">
        <f t="shared" si="10"/>
        <v>106.398886990399i</v>
      </c>
      <c r="AB48" s="49">
        <f t="shared" si="0"/>
        <v>11.052166224580018</v>
      </c>
      <c r="AD48" s="49" t="str">
        <f t="shared" si="3"/>
        <v>0.999989460465714-0.00324378889993662i</v>
      </c>
      <c r="AE48" s="49" t="str">
        <f t="shared" si="4"/>
        <v>0.999999999867565-0.0000204741858283121i</v>
      </c>
      <c r="AF48" s="49" t="str">
        <f t="shared" si="19"/>
        <v>8.10001449936798-0.0264408570069409i</v>
      </c>
      <c r="AG48" s="49">
        <f t="shared" si="5"/>
        <v>8.1000576546646119</v>
      </c>
      <c r="AH48" s="49">
        <f t="shared" si="20"/>
        <v>-3.2642858966326418E-3</v>
      </c>
      <c r="AI48" s="49">
        <f t="shared" si="1"/>
        <v>-0.18702980500112809</v>
      </c>
      <c r="AJ48" s="49">
        <f t="shared" si="21"/>
        <v>18.169762202297893</v>
      </c>
      <c r="AL48" s="49" t="str">
        <f t="shared" si="22"/>
        <v>0.992909152733524-0.0839080875215244i</v>
      </c>
      <c r="AM48" s="49" t="str">
        <f t="shared" si="23"/>
        <v>1.00000003796291+0.000660737086029203i</v>
      </c>
      <c r="AN48" s="49" t="str">
        <f t="shared" si="24"/>
        <v>-157.031398701725+13.165810425039i</v>
      </c>
      <c r="AO48" s="49">
        <f t="shared" si="6"/>
        <v>157.58235542841777</v>
      </c>
      <c r="AP48" s="49">
        <f t="shared" si="7"/>
        <v>3.0579463862308076</v>
      </c>
      <c r="AQ48" s="49">
        <f t="shared" si="8"/>
        <v>175.20742190830723</v>
      </c>
      <c r="AR48" s="49">
        <f t="shared" si="9"/>
        <v>43.950151754305587</v>
      </c>
      <c r="AS48" s="49">
        <f t="shared" si="25"/>
        <v>62.119913956603483</v>
      </c>
      <c r="AT48" s="49">
        <f t="shared" si="26"/>
        <v>175.02039210330611</v>
      </c>
    </row>
    <row r="49" spans="1:46">
      <c r="A49" s="37"/>
      <c r="B49" s="29"/>
      <c r="C49" s="27"/>
      <c r="D49" s="38"/>
      <c r="E49" s="29"/>
      <c r="F49" s="29"/>
      <c r="G49" s="29"/>
      <c r="H49" s="84"/>
      <c r="Y49" s="49">
        <v>47</v>
      </c>
      <c r="Z49" s="49">
        <f t="shared" si="2"/>
        <v>18.008159557874837</v>
      </c>
      <c r="AA49" s="49" t="str">
        <f t="shared" si="10"/>
        <v>113.148603543385i</v>
      </c>
      <c r="AB49" s="49">
        <f t="shared" si="0"/>
        <v>11.052166224580018</v>
      </c>
      <c r="AD49" s="49" t="str">
        <f t="shared" si="3"/>
        <v>0.999988080856523-0.00344956312425026i</v>
      </c>
      <c r="AE49" s="49" t="str">
        <f t="shared" si="4"/>
        <v>0.999999999850229-0.0000217730241427912i</v>
      </c>
      <c r="AF49" s="49" t="str">
        <f t="shared" si="19"/>
        <v>8.10000325383649-0.0281181692514683i</v>
      </c>
      <c r="AG49" s="49">
        <f t="shared" si="5"/>
        <v>8.1000520580798607</v>
      </c>
      <c r="AH49" s="49">
        <f t="shared" si="20"/>
        <v>-3.4713635816534293E-3</v>
      </c>
      <c r="AI49" s="49">
        <f t="shared" si="1"/>
        <v>-0.19889448238415863</v>
      </c>
      <c r="AJ49" s="49">
        <f t="shared" si="21"/>
        <v>18.169756200941315</v>
      </c>
      <c r="AL49" s="49" t="str">
        <f t="shared" si="22"/>
        <v>0.991988396715176-0.0891482893701883i</v>
      </c>
      <c r="AM49" s="49" t="str">
        <f t="shared" si="23"/>
        <v>1.00000004293226+0.000702652825381249i</v>
      </c>
      <c r="AN49" s="49" t="str">
        <f t="shared" si="24"/>
        <v>-156.886925932402+13.9880376030006i</v>
      </c>
      <c r="AO49" s="49">
        <f t="shared" si="6"/>
        <v>157.50927821719566</v>
      </c>
      <c r="AP49" s="49">
        <f t="shared" si="7"/>
        <v>3.0526677968784877</v>
      </c>
      <c r="AQ49" s="49">
        <f t="shared" si="8"/>
        <v>174.90498101663661</v>
      </c>
      <c r="AR49" s="49">
        <f t="shared" si="9"/>
        <v>43.946122827254953</v>
      </c>
      <c r="AS49" s="49">
        <f t="shared" si="25"/>
        <v>62.115879028196268</v>
      </c>
      <c r="AT49" s="49">
        <f t="shared" si="26"/>
        <v>174.70608653425245</v>
      </c>
    </row>
    <row r="50" spans="1:46">
      <c r="A50" s="44" t="s">
        <v>8</v>
      </c>
      <c r="B50" s="29"/>
      <c r="C50" s="29"/>
      <c r="D50" s="38"/>
      <c r="E50" s="29"/>
      <c r="F50" s="29"/>
      <c r="G50" s="29"/>
      <c r="H50" s="84"/>
      <c r="Y50" s="49">
        <v>48</v>
      </c>
      <c r="Z50" s="49">
        <f t="shared" si="2"/>
        <v>19.150558469130036</v>
      </c>
      <c r="AA50" s="49" t="str">
        <f t="shared" si="10"/>
        <v>120.326507597521i</v>
      </c>
      <c r="AB50" s="49">
        <f t="shared" si="0"/>
        <v>11.052166224580018</v>
      </c>
      <c r="AD50" s="49" t="str">
        <f t="shared" si="3"/>
        <v>0.999986520661002-0.00366839025682578i</v>
      </c>
      <c r="AE50" s="49" t="str">
        <f t="shared" si="4"/>
        <v>0.999999999830624-0.00002315425796655i</v>
      </c>
      <c r="AF50" s="49" t="str">
        <f t="shared" si="19"/>
        <v>8.09999053630172-0.029901878703537i</v>
      </c>
      <c r="AG50" s="49">
        <f t="shared" si="5"/>
        <v>8.1000457289158199</v>
      </c>
      <c r="AH50" s="49">
        <f t="shared" si="20"/>
        <v>-3.6915775071195527E-3</v>
      </c>
      <c r="AI50" s="49">
        <f t="shared" si="1"/>
        <v>-0.21151181090337598</v>
      </c>
      <c r="AJ50" s="49">
        <f t="shared" si="21"/>
        <v>18.169749414016806</v>
      </c>
      <c r="AL50" s="49" t="str">
        <f t="shared" si="22"/>
        <v>0.990949169152203-0.094704346831398i</v>
      </c>
      <c r="AM50" s="49" t="str">
        <f t="shared" si="23"/>
        <v>1.0000000485521+0.000747227609025869i</v>
      </c>
      <c r="AN50" s="49" t="str">
        <f t="shared" si="24"/>
        <v>-156.723864186414+14.85982492219i</v>
      </c>
      <c r="AO50" s="49">
        <f t="shared" si="6"/>
        <v>157.42675758027821</v>
      </c>
      <c r="AP50" s="49">
        <f t="shared" si="7"/>
        <v>3.0470599289121094</v>
      </c>
      <c r="AQ50" s="49">
        <f t="shared" si="8"/>
        <v>174.58367385009652</v>
      </c>
      <c r="AR50" s="49">
        <f t="shared" si="9"/>
        <v>43.941571013044708</v>
      </c>
      <c r="AS50" s="49">
        <f t="shared" si="25"/>
        <v>62.111320427061514</v>
      </c>
      <c r="AT50" s="49">
        <f t="shared" si="26"/>
        <v>174.37216203919314</v>
      </c>
    </row>
    <row r="51" spans="1:46">
      <c r="A51" s="37"/>
      <c r="B51" s="46"/>
      <c r="C51" s="27"/>
      <c r="D51" s="38"/>
      <c r="E51" s="29"/>
      <c r="F51" s="29"/>
      <c r="G51" s="29"/>
      <c r="H51" s="84"/>
      <c r="Y51" s="49">
        <v>49</v>
      </c>
      <c r="Z51" s="49">
        <f t="shared" si="2"/>
        <v>20.365428710297824</v>
      </c>
      <c r="AA51" s="49" t="str">
        <f t="shared" si="10"/>
        <v>127.959762446957i</v>
      </c>
      <c r="AB51" s="49">
        <f t="shared" si="0"/>
        <v>11.052166224580018</v>
      </c>
      <c r="AD51" s="49" t="str">
        <f t="shared" si="3"/>
        <v>0.99998475624167-0.00390109815035205i</v>
      </c>
      <c r="AE51" s="49" t="str">
        <f t="shared" si="4"/>
        <v>0.999999999808453-0.0000246231142935033i</v>
      </c>
      <c r="AF51" s="49" t="str">
        <f t="shared" si="19"/>
        <v>8.09997615408878-0.0317987333776537i</v>
      </c>
      <c r="AG51" s="49">
        <f t="shared" si="5"/>
        <v>8.1000385712817007</v>
      </c>
      <c r="AH51" s="49">
        <f t="shared" si="20"/>
        <v>-3.9257609425173449E-3</v>
      </c>
      <c r="AI51" s="49">
        <f t="shared" si="1"/>
        <v>-0.22492953338354404</v>
      </c>
      <c r="AJ51" s="49">
        <f t="shared" si="21"/>
        <v>18.169741738696249</v>
      </c>
      <c r="AL51" s="49" t="str">
        <f t="shared" si="22"/>
        <v>0.989776527161653-0.100593008909519i</v>
      </c>
      <c r="AM51" s="49" t="str">
        <f t="shared" si="23"/>
        <v>1.00000005490757+0.000794630121001585i</v>
      </c>
      <c r="AN51" s="49" t="str">
        <f t="shared" si="24"/>
        <v>-156.539868825617+15.7838004314039i</v>
      </c>
      <c r="AO51" s="49">
        <f t="shared" si="6"/>
        <v>157.33359109865816</v>
      </c>
      <c r="AP51" s="49">
        <f t="shared" si="7"/>
        <v>3.0411030109813924</v>
      </c>
      <c r="AQ51" s="49">
        <f t="shared" si="8"/>
        <v>174.2423675937606</v>
      </c>
      <c r="AR51" s="49">
        <f t="shared" si="9"/>
        <v>43.936429108707969</v>
      </c>
      <c r="AS51" s="49">
        <f t="shared" si="25"/>
        <v>62.106170847404215</v>
      </c>
      <c r="AT51" s="49">
        <f t="shared" si="26"/>
        <v>174.01743806037706</v>
      </c>
    </row>
    <row r="52" spans="1:46">
      <c r="A52" s="37" t="s">
        <v>3</v>
      </c>
      <c r="B52" s="47">
        <v>3530000</v>
      </c>
      <c r="C52" s="45" t="s">
        <v>34</v>
      </c>
      <c r="D52" s="38"/>
      <c r="E52" s="29"/>
      <c r="F52" s="29"/>
      <c r="G52" s="29"/>
      <c r="H52" s="84"/>
      <c r="Y52" s="49">
        <v>50</v>
      </c>
      <c r="Z52" s="49">
        <f t="shared" si="2"/>
        <v>21.657367706679931</v>
      </c>
      <c r="AA52" s="49" t="str">
        <f t="shared" si="10"/>
        <v>136.077254566797i</v>
      </c>
      <c r="AB52" s="49">
        <f t="shared" si="0"/>
        <v>11.052166224580018</v>
      </c>
      <c r="AD52" s="49" t="str">
        <f t="shared" si="3"/>
        <v>0.999982760867257-0.0041485671350494i</v>
      </c>
      <c r="AE52" s="49" t="str">
        <f t="shared" si="4"/>
        <v>0.99999999978338-0.0000261851517068205i</v>
      </c>
      <c r="AF52" s="49" t="str">
        <f t="shared" si="19"/>
        <v>8.09995988930457-0.0338159090445527i</v>
      </c>
      <c r="AG52" s="49">
        <f t="shared" si="5"/>
        <v>8.1000304767357143</v>
      </c>
      <c r="AH52" s="49">
        <f t="shared" si="20"/>
        <v>-4.174800004913908E-3</v>
      </c>
      <c r="AI52" s="49">
        <f t="shared" si="1"/>
        <v>-0.23919842059276228</v>
      </c>
      <c r="AJ52" s="49">
        <f t="shared" si="21"/>
        <v>18.16973305869212</v>
      </c>
      <c r="AL52" s="49" t="str">
        <f t="shared" si="22"/>
        <v>0.988453725800157-0.106831445520245i</v>
      </c>
      <c r="AM52" s="49" t="str">
        <f t="shared" si="23"/>
        <v>1.00000006209497+0.000845039746296964i</v>
      </c>
      <c r="AN52" s="49" t="str">
        <f t="shared" si="24"/>
        <v>-156.332312456549+16.7626582243891i</v>
      </c>
      <c r="AO52" s="49">
        <f t="shared" si="6"/>
        <v>157.22842818256422</v>
      </c>
      <c r="AP52" s="49">
        <f t="shared" si="7"/>
        <v>3.0347762388907897</v>
      </c>
      <c r="AQ52" s="49">
        <f t="shared" si="8"/>
        <v>173.87987025502792</v>
      </c>
      <c r="AR52" s="49">
        <f t="shared" si="9"/>
        <v>43.9306214557731</v>
      </c>
      <c r="AS52" s="49">
        <f t="shared" si="25"/>
        <v>62.100354514465224</v>
      </c>
      <c r="AT52" s="49">
        <f t="shared" si="26"/>
        <v>173.64067183443515</v>
      </c>
    </row>
    <row r="53" spans="1:46">
      <c r="A53" s="37"/>
      <c r="B53" s="46"/>
      <c r="C53" s="27"/>
      <c r="D53" s="38"/>
      <c r="E53" s="29"/>
      <c r="F53" s="29"/>
      <c r="G53" s="29"/>
      <c r="H53" s="84"/>
      <c r="Y53" s="49">
        <v>51</v>
      </c>
      <c r="Z53" s="49">
        <f t="shared" si="2"/>
        <v>23.031264534351347</v>
      </c>
      <c r="AA53" s="49" t="str">
        <f t="shared" si="10"/>
        <v>144.709702928003i</v>
      </c>
      <c r="AB53" s="49">
        <f t="shared" si="0"/>
        <v>11.052166224580018</v>
      </c>
      <c r="AD53" s="49" t="str">
        <f t="shared" si="3"/>
        <v>0.999980504307826-0.00441173333969511i</v>
      </c>
      <c r="AE53" s="49" t="str">
        <f t="shared" si="4"/>
        <v>0.999999999755024-0.0000278462814142376i</v>
      </c>
      <c r="AF53" s="49" t="str">
        <f t="shared" si="19"/>
        <v>8.09994149553748-0.0359610363016252i</v>
      </c>
      <c r="AG53" s="49">
        <f t="shared" si="5"/>
        <v>8.1000213226424176</v>
      </c>
      <c r="AH53" s="49">
        <f t="shared" si="20"/>
        <v>-4.4396370088107245E-3</v>
      </c>
      <c r="AI53" s="49">
        <f t="shared" si="1"/>
        <v>-0.25437246317493956</v>
      </c>
      <c r="AJ53" s="49">
        <f t="shared" si="21"/>
        <v>18.169723242495838</v>
      </c>
      <c r="AL53" s="49" t="str">
        <f t="shared" si="22"/>
        <v>0.986962023525361-0.113437152838413i</v>
      </c>
      <c r="AM53" s="49" t="str">
        <f t="shared" si="23"/>
        <v>1.00000007022321+0.00089864724969543i</v>
      </c>
      <c r="AN53" s="49" t="str">
        <f t="shared" si="24"/>
        <v>-156.098254406035+17.7991435883554i</v>
      </c>
      <c r="AO53" s="49">
        <f t="shared" si="6"/>
        <v>157.10975316984658</v>
      </c>
      <c r="AP53" s="49">
        <f t="shared" si="7"/>
        <v>3.0280577531707928</v>
      </c>
      <c r="AQ53" s="49">
        <f t="shared" si="8"/>
        <v>173.49492937855319</v>
      </c>
      <c r="AR53" s="49">
        <f t="shared" si="9"/>
        <v>43.924062926307776</v>
      </c>
      <c r="AS53" s="49">
        <f t="shared" si="25"/>
        <v>62.093786168803618</v>
      </c>
      <c r="AT53" s="49">
        <f t="shared" si="26"/>
        <v>173.24055691537825</v>
      </c>
    </row>
    <row r="54" spans="1:46">
      <c r="A54" s="37"/>
      <c r="B54" s="46"/>
      <c r="C54" s="27"/>
      <c r="D54" s="38"/>
      <c r="E54" s="29"/>
      <c r="F54" s="29"/>
      <c r="G54" s="29"/>
      <c r="H54" s="84"/>
      <c r="Y54" s="49">
        <v>52</v>
      </c>
      <c r="Z54" s="49">
        <f t="shared" si="2"/>
        <v>24.492318421858034</v>
      </c>
      <c r="AA54" s="49" t="str">
        <f t="shared" si="10"/>
        <v>153.889775246982i</v>
      </c>
      <c r="AB54" s="49">
        <f t="shared" si="0"/>
        <v>11.052166224580018</v>
      </c>
      <c r="AD54" s="49" t="str">
        <f t="shared" si="3"/>
        <v>0.999977952376924-0.00469159222169893i</v>
      </c>
      <c r="AE54" s="49" t="str">
        <f t="shared" si="4"/>
        <v>0.999999999722957-0.0000296127896178005i</v>
      </c>
      <c r="AF54" s="49" t="str">
        <f t="shared" si="19"/>
        <v>8.09992069412538-0.0382422293473634i</v>
      </c>
      <c r="AG54" s="49">
        <f t="shared" si="5"/>
        <v>8.1000109703151661</v>
      </c>
      <c r="AH54" s="49">
        <f t="shared" si="20"/>
        <v>-4.7212740279606929E-3</v>
      </c>
      <c r="AI54" s="49">
        <f t="shared" si="1"/>
        <v>-0.27050907572687793</v>
      </c>
      <c r="AJ54" s="49">
        <f t="shared" si="21"/>
        <v>18.16971214138562</v>
      </c>
      <c r="AL54" s="49" t="str">
        <f t="shared" si="22"/>
        <v>0.985280473035769-0.120427831044905i</v>
      </c>
      <c r="AM54" s="49" t="str">
        <f t="shared" si="23"/>
        <v>1.00000007941543+0.0009556554976843i</v>
      </c>
      <c r="AN54" s="49" t="str">
        <f t="shared" si="24"/>
        <v>-155.834407902554+18.8960338217254i</v>
      </c>
      <c r="AO54" s="49">
        <f t="shared" si="6"/>
        <v>156.97586687300497</v>
      </c>
      <c r="AP54" s="49">
        <f t="shared" si="7"/>
        <v>3.0209246233383436</v>
      </c>
      <c r="AQ54" s="49">
        <f t="shared" si="8"/>
        <v>173.086231144435</v>
      </c>
      <c r="AR54" s="49">
        <f t="shared" si="9"/>
        <v>43.916657801114887</v>
      </c>
      <c r="AS54" s="49">
        <f t="shared" si="25"/>
        <v>62.086369942500511</v>
      </c>
      <c r="AT54" s="49">
        <f t="shared" si="26"/>
        <v>172.81572206870811</v>
      </c>
    </row>
    <row r="55" spans="1:46">
      <c r="A55" s="37"/>
      <c r="B55" s="47"/>
      <c r="C55" s="27"/>
      <c r="D55" s="38"/>
      <c r="E55" s="29"/>
      <c r="Y55" s="49">
        <v>53</v>
      </c>
      <c r="Z55" s="49">
        <f t="shared" si="2"/>
        <v>26.046058425622668</v>
      </c>
      <c r="AA55" s="49" t="str">
        <f t="shared" si="10"/>
        <v>163.652211609813i</v>
      </c>
      <c r="AB55" s="49">
        <f t="shared" si="0"/>
        <v>11.052166224580018</v>
      </c>
      <c r="AD55" s="49" t="str">
        <f t="shared" si="3"/>
        <v>0.999975066413835-0.00498920231916118i</v>
      </c>
      <c r="AE55" s="49" t="str">
        <f t="shared" si="4"/>
        <v>0.999999999686691-0.0000314913613026996i</v>
      </c>
      <c r="AF55" s="49" t="str">
        <f t="shared" si="19"/>
        <v>8.09989716993533-0.0406681165652342i</v>
      </c>
      <c r="AG55" s="49">
        <f t="shared" si="5"/>
        <v>8.0999992629154818</v>
      </c>
      <c r="AH55" s="49">
        <f t="shared" si="20"/>
        <v>-5.0207766824855058E-3</v>
      </c>
      <c r="AI55" s="49">
        <f t="shared" si="1"/>
        <v>-0.28766931378411448</v>
      </c>
      <c r="AJ55" s="49">
        <f t="shared" si="21"/>
        <v>18.1696995871736</v>
      </c>
      <c r="AL55" s="49" t="str">
        <f t="shared" si="22"/>
        <v>0.983385698304291-0.127821229359107i</v>
      </c>
      <c r="AM55" s="49" t="str">
        <f t="shared" si="23"/>
        <v>1.00000008981091+0.00101628022616015i</v>
      </c>
      <c r="AN55" s="49" t="str">
        <f t="shared" si="24"/>
        <v>-155.537105091317+20.0561139187751i</v>
      </c>
      <c r="AO55" s="49">
        <f t="shared" si="6"/>
        <v>156.82486654134371</v>
      </c>
      <c r="AP55" s="49">
        <f t="shared" si="7"/>
        <v>3.01335284070062</v>
      </c>
      <c r="AQ55" s="49">
        <f t="shared" si="8"/>
        <v>172.65239995590301</v>
      </c>
      <c r="AR55" s="49">
        <f t="shared" si="9"/>
        <v>43.908298532460009</v>
      </c>
      <c r="AS55" s="49">
        <f t="shared" si="25"/>
        <v>62.077998119633605</v>
      </c>
      <c r="AT55" s="49">
        <f t="shared" si="26"/>
        <v>172.3647306421189</v>
      </c>
    </row>
    <row r="56" spans="1:46">
      <c r="A56" s="37" t="s">
        <v>80</v>
      </c>
      <c r="B56" s="47"/>
      <c r="C56" s="45"/>
      <c r="D56" s="46">
        <v>30000</v>
      </c>
      <c r="E56" s="45" t="s">
        <v>34</v>
      </c>
      <c r="Y56" s="49">
        <v>54</v>
      </c>
      <c r="Z56" s="49">
        <f t="shared" si="2"/>
        <v>27.698364353515743</v>
      </c>
      <c r="AA56" s="49" t="str">
        <f t="shared" si="10"/>
        <v>174.033955938917i</v>
      </c>
      <c r="AB56" s="49">
        <f t="shared" si="0"/>
        <v>11.052166224580018</v>
      </c>
      <c r="AD56" s="49" t="str">
        <f t="shared" si="3"/>
        <v>0.999971802698111-0.00530568923859847i</v>
      </c>
      <c r="AE56" s="49" t="str">
        <f t="shared" si="4"/>
        <v>0.999999999645679-0.0000334891055352156i</v>
      </c>
      <c r="AF56" s="49" t="str">
        <f t="shared" si="19"/>
        <v>8.0998705665913-0.0432478730285333i</v>
      </c>
      <c r="AG56" s="49">
        <f t="shared" si="5"/>
        <v>8.0999860230776672</v>
      </c>
      <c r="AH56" s="49">
        <f t="shared" si="20"/>
        <v>-5.3392781654531324E-3</v>
      </c>
      <c r="AI56" s="49">
        <f t="shared" si="1"/>
        <v>-0.30591810452681734</v>
      </c>
      <c r="AJ56" s="49">
        <f t="shared" si="21"/>
        <v>18.169685389658227</v>
      </c>
      <c r="AL56" s="49" t="str">
        <f t="shared" si="22"/>
        <v>0.981251659364919-0.13563495256943i</v>
      </c>
      <c r="AM56" s="49" t="str">
        <f t="shared" si="23"/>
        <v>1.00000010156717+0.00108075085683556i</v>
      </c>
      <c r="AN56" s="49" t="str">
        <f t="shared" si="24"/>
        <v>-155.202260127728+21.2821462130691i</v>
      </c>
      <c r="AO56" s="49">
        <f t="shared" si="6"/>
        <v>156.65462424132076</v>
      </c>
      <c r="AP56" s="49">
        <f t="shared" si="7"/>
        <v>3.0053173218917273</v>
      </c>
      <c r="AQ56" s="49">
        <f t="shared" si="8"/>
        <v>172.19199864195548</v>
      </c>
      <c r="AR56" s="49">
        <f t="shared" si="9"/>
        <v>43.898864384334985</v>
      </c>
      <c r="AS56" s="49">
        <f t="shared" si="25"/>
        <v>62.068549773993212</v>
      </c>
      <c r="AT56" s="49">
        <f t="shared" si="26"/>
        <v>171.88608053742865</v>
      </c>
    </row>
    <row r="57" spans="1:46">
      <c r="A57" s="37" t="s">
        <v>81</v>
      </c>
      <c r="B57" s="47"/>
      <c r="C57" s="27"/>
      <c r="D57" s="48">
        <v>225</v>
      </c>
      <c r="E57" s="38" t="s">
        <v>79</v>
      </c>
      <c r="Y57" s="49">
        <v>55</v>
      </c>
      <c r="Z57" s="49">
        <f t="shared" si="2"/>
        <v>29.45548901577305</v>
      </c>
      <c r="AA57" s="49" t="str">
        <f t="shared" si="10"/>
        <v>185.074295799695i</v>
      </c>
      <c r="AB57" s="49">
        <f t="shared" si="0"/>
        <v>11.052166224580018</v>
      </c>
      <c r="AD57" s="49" t="str">
        <f t="shared" si="3"/>
        <v>0.999968111787518-0.0056422498928104i</v>
      </c>
      <c r="AE57" s="49" t="str">
        <f t="shared" si="4"/>
        <v>0.999999999599299-0.000035613582365513i</v>
      </c>
      <c r="AF57" s="49" t="str">
        <f t="shared" si="19"/>
        <v>8.09984048107754-0.0459912550441946i</v>
      </c>
      <c r="AG57" s="49">
        <f t="shared" si="5"/>
        <v>8.0999710502225231</v>
      </c>
      <c r="AH57" s="49">
        <f t="shared" si="20"/>
        <v>-5.6779835239470387E-3</v>
      </c>
      <c r="AI57" s="49">
        <f t="shared" si="1"/>
        <v>-0.32532449206698372</v>
      </c>
      <c r="AJ57" s="49">
        <f t="shared" si="21"/>
        <v>18.169669333743169</v>
      </c>
      <c r="AL57" s="49" t="str">
        <f t="shared" si="22"/>
        <v>0.978849407380764-0.143886222589557i</v>
      </c>
      <c r="AM57" s="49" t="str">
        <f t="shared" si="23"/>
        <v>1.00000011486232+0.00114931136543675i</v>
      </c>
      <c r="AN57" s="49" t="str">
        <f t="shared" si="24"/>
        <v>-154.825330745915+22.5768329641349i</v>
      </c>
      <c r="AO57" s="49">
        <f t="shared" si="6"/>
        <v>156.46276370840579</v>
      </c>
      <c r="AP57" s="49">
        <f t="shared" si="7"/>
        <v>2.9967919257090787</v>
      </c>
      <c r="AQ57" s="49">
        <f t="shared" si="8"/>
        <v>171.70352942201276</v>
      </c>
      <c r="AR57" s="49">
        <f t="shared" si="9"/>
        <v>43.888219944342225</v>
      </c>
      <c r="AS57" s="49">
        <f t="shared" si="25"/>
        <v>62.057889278085398</v>
      </c>
      <c r="AT57" s="49">
        <f t="shared" si="26"/>
        <v>171.37820492994578</v>
      </c>
    </row>
    <row r="58" spans="1:46">
      <c r="A58" s="37" t="s">
        <v>82</v>
      </c>
      <c r="B58" s="47"/>
      <c r="C58" s="27"/>
      <c r="D58" s="46">
        <v>18</v>
      </c>
      <c r="E58" s="38" t="s">
        <v>79</v>
      </c>
      <c r="Y58" s="49">
        <v>56</v>
      </c>
      <c r="Z58" s="49">
        <f t="shared" si="2"/>
        <v>31.324081887463471</v>
      </c>
      <c r="AA58" s="49" t="str">
        <f t="shared" si="10"/>
        <v>196.815011076201i</v>
      </c>
      <c r="AB58" s="49">
        <f t="shared" si="0"/>
        <v>11.052166224580018</v>
      </c>
      <c r="AD58" s="49" t="str">
        <f t="shared" si="3"/>
        <v>0.999963937769392-0.00600015700418231i</v>
      </c>
      <c r="AE58" s="49" t="str">
        <f t="shared" si="4"/>
        <v>0.999999999546847-0.0000378728314370904i</v>
      </c>
      <c r="AF58" s="49" t="str">
        <f t="shared" si="19"/>
        <v>8.09980645763628-0.0489086368602292i</v>
      </c>
      <c r="AG58" s="49">
        <f t="shared" si="5"/>
        <v>8.0999541175197969</v>
      </c>
      <c r="AH58" s="49">
        <f t="shared" si="20"/>
        <v>-6.0381742105801561E-3</v>
      </c>
      <c r="AI58" s="49">
        <f t="shared" si="1"/>
        <v>-0.34596189823098056</v>
      </c>
      <c r="AJ58" s="49">
        <f t="shared" si="21"/>
        <v>18.1696511761794</v>
      </c>
      <c r="AL58" s="49" t="str">
        <f t="shared" si="22"/>
        <v>0.976146833760389-0.152591587906923i</v>
      </c>
      <c r="AM58" s="49" t="str">
        <f t="shared" si="23"/>
        <v>1.0000001298978+0.00122222120497766i</v>
      </c>
      <c r="AN58" s="49" t="str">
        <f t="shared" si="24"/>
        <v>-154.401278893414+23.94277076809i</v>
      </c>
      <c r="AO58" s="49">
        <f t="shared" si="6"/>
        <v>156.2466357909031</v>
      </c>
      <c r="AP58" s="49">
        <f t="shared" si="7"/>
        <v>2.9877494862351037</v>
      </c>
      <c r="AQ58" s="49">
        <f t="shared" si="8"/>
        <v>171.1854358036515</v>
      </c>
      <c r="AR58" s="49">
        <f t="shared" si="9"/>
        <v>43.876213502955721</v>
      </c>
      <c r="AS58" s="49">
        <f t="shared" si="25"/>
        <v>62.045864679135121</v>
      </c>
      <c r="AT58" s="49">
        <f t="shared" si="26"/>
        <v>170.83947390542053</v>
      </c>
    </row>
    <row r="59" spans="1:46">
      <c r="A59" s="35"/>
      <c r="B59" s="36"/>
      <c r="C59" s="36"/>
      <c r="D59" s="36"/>
      <c r="E59" s="29"/>
      <c r="Y59" s="49">
        <v>57</v>
      </c>
      <c r="Z59" s="49">
        <f t="shared" si="2"/>
        <v>33.311214272052936</v>
      </c>
      <c r="AA59" s="49" t="str">
        <f t="shared" si="10"/>
        <v>209.300532078474i</v>
      </c>
      <c r="AB59" s="49">
        <f t="shared" si="0"/>
        <v>11.052166224580018</v>
      </c>
      <c r="AD59" s="49" t="str">
        <f t="shared" si="3"/>
        <v>0.999959217414102-0.00638076388957258i</v>
      </c>
      <c r="AE59" s="49" t="str">
        <f t="shared" si="4"/>
        <v>0.999999999487529-0.0000402754024111517i</v>
      </c>
      <c r="AF59" s="49" t="str">
        <f t="shared" si="19"/>
        <v>8.09976798086736-0.0520110496684231i</v>
      </c>
      <c r="AG59" s="49">
        <f t="shared" si="5"/>
        <v>8.0999349684532493</v>
      </c>
      <c r="AH59" s="49">
        <f t="shared" si="20"/>
        <v>-6.4212129223791149E-3</v>
      </c>
      <c r="AI59" s="49">
        <f t="shared" si="1"/>
        <v>-0.36790839980718881</v>
      </c>
      <c r="AJ59" s="49">
        <f t="shared" si="21"/>
        <v>18.169630641880946</v>
      </c>
      <c r="AL59" s="49" t="str">
        <f t="shared" si="22"/>
        <v>0.9731084186465-0.161766573202896i</v>
      </c>
      <c r="AM59" s="49" t="str">
        <f t="shared" si="23"/>
        <v>1.00000014690143+0.00129975628760419i</v>
      </c>
      <c r="AN59" s="49" t="str">
        <f t="shared" si="24"/>
        <v>-153.924531267365+25.382395580813i</v>
      </c>
      <c r="AO59" s="49">
        <f t="shared" si="6"/>
        <v>156.00329269377266</v>
      </c>
      <c r="AP59" s="49">
        <f t="shared" si="7"/>
        <v>2.9781618656874786</v>
      </c>
      <c r="AQ59" s="49">
        <f t="shared" si="8"/>
        <v>170.63610561069967</v>
      </c>
      <c r="AR59" s="49">
        <f t="shared" si="9"/>
        <v>43.86267529832574</v>
      </c>
      <c r="AS59" s="49">
        <f t="shared" si="25"/>
        <v>62.032305940206683</v>
      </c>
      <c r="AT59" s="49">
        <f t="shared" si="26"/>
        <v>170.26819721089248</v>
      </c>
    </row>
    <row r="60" spans="1:46">
      <c r="A60" s="30"/>
      <c r="B60" s="30"/>
      <c r="C60" s="32"/>
      <c r="D60" s="23"/>
      <c r="E60" s="29"/>
      <c r="Y60" s="49">
        <v>58</v>
      </c>
      <c r="Z60" s="49">
        <f t="shared" si="2"/>
        <v>35.424406061290533</v>
      </c>
      <c r="AA60" s="49" t="str">
        <f t="shared" si="10"/>
        <v>222.578107679864i</v>
      </c>
      <c r="AB60" s="49">
        <f t="shared" si="0"/>
        <v>11.052166224580018</v>
      </c>
      <c r="AD60" s="49" t="str">
        <f t="shared" si="3"/>
        <v>0.99995387921781-0.0067855095438188i</v>
      </c>
      <c r="AE60" s="49" t="str">
        <f t="shared" si="4"/>
        <v>0.999999999420447-0.0000428303873210358i</v>
      </c>
      <c r="AF60" s="49" t="str">
        <f t="shared" si="19"/>
        <v>8.09972446792552-0.0553102230411454i</v>
      </c>
      <c r="AG60" s="49">
        <f t="shared" si="5"/>
        <v>8.099913312936394</v>
      </c>
      <c r="AH60" s="49">
        <f t="shared" si="20"/>
        <v>-6.8285487449926217E-3</v>
      </c>
      <c r="AI60" s="49">
        <f t="shared" si="1"/>
        <v>-0.39124702328743227</v>
      </c>
      <c r="AJ60" s="49">
        <f t="shared" si="21"/>
        <v>18.169607419758592</v>
      </c>
      <c r="AL60" s="49" t="str">
        <f t="shared" si="22"/>
        <v>0.969694986025388-0.171425260981603i</v>
      </c>
      <c r="AM60" s="49" t="str">
        <f t="shared" si="23"/>
        <v>1.00000016613083+0.00138221002872433i</v>
      </c>
      <c r="AN60" s="49" t="str">
        <f t="shared" si="24"/>
        <v>-153.38894088954+26.8979170728244i</v>
      </c>
      <c r="AO60" s="49">
        <f t="shared" si="6"/>
        <v>155.72946134264814</v>
      </c>
      <c r="AP60" s="49">
        <f t="shared" si="7"/>
        <v>2.9680000309307291</v>
      </c>
      <c r="AQ60" s="49">
        <f t="shared" si="8"/>
        <v>170.05387536702855</v>
      </c>
      <c r="AR60" s="49">
        <f t="shared" si="9"/>
        <v>43.847415628135373</v>
      </c>
      <c r="AS60" s="49">
        <f t="shared" si="25"/>
        <v>62.017023047893964</v>
      </c>
      <c r="AT60" s="49">
        <f t="shared" si="26"/>
        <v>169.66262834374112</v>
      </c>
    </row>
    <row r="61" spans="1:46">
      <c r="A61" s="30"/>
      <c r="B61" s="30"/>
      <c r="C61" s="32"/>
      <c r="D61" s="23"/>
      <c r="E61" s="29"/>
      <c r="Y61" s="49">
        <v>59</v>
      </c>
      <c r="Z61" s="49">
        <f t="shared" si="2"/>
        <v>37.67165419268462</v>
      </c>
      <c r="AA61" s="49" t="str">
        <f t="shared" si="10"/>
        <v>236.697984120626i</v>
      </c>
      <c r="AB61" s="49">
        <f t="shared" si="0"/>
        <v>11.052166224580018</v>
      </c>
      <c r="AD61" s="49" t="str">
        <f t="shared" si="3"/>
        <v>0.999947842320094-0.00721592403980887i</v>
      </c>
      <c r="AE61" s="49" t="str">
        <f t="shared" si="4"/>
        <v>0.999999999344583-0.000045547454979141i</v>
      </c>
      <c r="AF61" s="49" t="str">
        <f t="shared" si="19"/>
        <v>8.0996752596977-0.0588186289485483i</v>
      </c>
      <c r="AG61" s="49">
        <f t="shared" si="5"/>
        <v>8.0998888229203736</v>
      </c>
      <c r="AH61" s="49">
        <f t="shared" si="20"/>
        <v>-7.2617226212591908E-3</v>
      </c>
      <c r="AI61" s="49">
        <f t="shared" si="1"/>
        <v>-0.41606605819282882</v>
      </c>
      <c r="AJ61" s="49">
        <f t="shared" si="21"/>
        <v>18.169581158008651</v>
      </c>
      <c r="AL61" s="49" t="str">
        <f t="shared" si="22"/>
        <v>0.965863475042593-0.181579796842159i</v>
      </c>
      <c r="AM61" s="49" t="str">
        <f t="shared" si="23"/>
        <v>1.00000018787737+0.00146989445737519i</v>
      </c>
      <c r="AN61" s="49" t="str">
        <f t="shared" si="24"/>
        <v>-152.787751224251+28.4912410033156i</v>
      </c>
      <c r="AO61" s="49">
        <f t="shared" si="6"/>
        <v>155.42151632921559</v>
      </c>
      <c r="AP61" s="49">
        <f t="shared" si="7"/>
        <v>2.9572341580921147</v>
      </c>
      <c r="AQ61" s="49">
        <f t="shared" si="8"/>
        <v>169.43703629060144</v>
      </c>
      <c r="AR61" s="49">
        <f t="shared" si="9"/>
        <v>43.830222834498045</v>
      </c>
      <c r="AS61" s="49">
        <f t="shared" si="25"/>
        <v>61.999803992506699</v>
      </c>
      <c r="AT61" s="49">
        <f t="shared" si="26"/>
        <v>169.02097023240862</v>
      </c>
    </row>
    <row r="62" spans="1:46">
      <c r="A62" s="29"/>
      <c r="B62" s="29"/>
      <c r="C62" s="33"/>
      <c r="D62" s="27"/>
      <c r="E62" s="29"/>
      <c r="Y62" s="49">
        <v>60</v>
      </c>
      <c r="Z62" s="49">
        <f t="shared" si="2"/>
        <v>40.061462912259522</v>
      </c>
      <c r="AA62" s="49" t="str">
        <f t="shared" si="10"/>
        <v>251.713595154429i</v>
      </c>
      <c r="AB62" s="49">
        <f t="shared" si="0"/>
        <v>11.052166224580018</v>
      </c>
      <c r="AD62" s="49" t="str">
        <f t="shared" si="3"/>
        <v>0.999941015280082-0.00767363426400035i</v>
      </c>
      <c r="AE62" s="49" t="str">
        <f t="shared" si="4"/>
        <v>0.999999999258789-0.0000484368875665519i</v>
      </c>
      <c r="AF62" s="49" t="str">
        <f t="shared" si="19"/>
        <v>8.09961961082705-0.0625495285100813i</v>
      </c>
      <c r="AG62" s="49">
        <f t="shared" si="5"/>
        <v>8.0998611274274932</v>
      </c>
      <c r="AH62" s="49">
        <f t="shared" si="20"/>
        <v>-7.722373164310575E-3</v>
      </c>
      <c r="AI62" s="49">
        <f t="shared" si="1"/>
        <v>-0.44245939014008256</v>
      </c>
      <c r="AJ62" s="49">
        <f t="shared" si="21"/>
        <v>18.16955145878547</v>
      </c>
      <c r="AL62" s="49" t="str">
        <f t="shared" si="22"/>
        <v>0.961566739894774-0.19223981019266i</v>
      </c>
      <c r="AM62" s="49" t="str">
        <f t="shared" si="23"/>
        <v>1.00000021247053+0.00156314139702888i</v>
      </c>
      <c r="AN62" s="49" t="str">
        <f t="shared" si="24"/>
        <v>-152.113564780042+30.1638783264309i</v>
      </c>
      <c r="AO62" s="49">
        <f t="shared" si="6"/>
        <v>155.07545307295982</v>
      </c>
      <c r="AP62" s="49">
        <f t="shared" si="7"/>
        <v>2.945833770236721</v>
      </c>
      <c r="AQ62" s="49">
        <f t="shared" si="8"/>
        <v>168.78384218167517</v>
      </c>
      <c r="AR62" s="49">
        <f t="shared" si="9"/>
        <v>43.810861173725264</v>
      </c>
      <c r="AS62" s="49">
        <f t="shared" si="25"/>
        <v>61.980412632510735</v>
      </c>
      <c r="AT62" s="49">
        <f t="shared" si="26"/>
        <v>168.3413827915351</v>
      </c>
    </row>
    <row r="63" spans="1:46">
      <c r="A63" s="29"/>
      <c r="B63" s="29"/>
      <c r="C63" s="33"/>
      <c r="D63" s="27"/>
      <c r="E63" s="29"/>
      <c r="Y63" s="49">
        <v>61</v>
      </c>
      <c r="Z63" s="49">
        <f t="shared" si="2"/>
        <v>42.602875957116908</v>
      </c>
      <c r="AA63" s="49" t="str">
        <f t="shared" si="10"/>
        <v>267.681764257351i</v>
      </c>
      <c r="AB63" s="49">
        <f t="shared" si="0"/>
        <v>11.052166224580018</v>
      </c>
      <c r="AD63" s="49" t="str">
        <f t="shared" si="3"/>
        <v>0.999933294692635-0.00816037000722646i</v>
      </c>
      <c r="AE63" s="49" t="str">
        <f t="shared" si="4"/>
        <v>0.999999999161764-0.0000515096195438346i</v>
      </c>
      <c r="AF63" s="49" t="str">
        <f t="shared" si="19"/>
        <v>8.09955667843299-0.0665170216420274i</v>
      </c>
      <c r="AG63" s="49">
        <f t="shared" si="5"/>
        <v>8.0998298069352401</v>
      </c>
      <c r="AH63" s="49">
        <f t="shared" si="20"/>
        <v>-8.2122428365860641E-3</v>
      </c>
      <c r="AI63" s="49">
        <f t="shared" si="1"/>
        <v>-0.47052685487292489</v>
      </c>
      <c r="AJ63" s="49">
        <f t="shared" si="21"/>
        <v>18.169517872176908</v>
      </c>
      <c r="AL63" s="49" t="str">
        <f t="shared" si="22"/>
        <v>0.956753393914809-0.203411742894316i</v>
      </c>
      <c r="AM63" s="49" t="str">
        <f t="shared" si="23"/>
        <v>1.00000024028293+0.0016623037213057i</v>
      </c>
      <c r="AN63" s="49" t="str">
        <f t="shared" si="24"/>
        <v>-151.358318645601+31.9168398511845i</v>
      </c>
      <c r="AO63" s="49">
        <f t="shared" si="6"/>
        <v>154.68686204493721</v>
      </c>
      <c r="AP63" s="49">
        <f t="shared" si="7"/>
        <v>2.9337679135432868</v>
      </c>
      <c r="AQ63" s="49">
        <f t="shared" si="8"/>
        <v>168.09251951693173</v>
      </c>
      <c r="AR63" s="49">
        <f t="shared" si="9"/>
        <v>43.789068590253393</v>
      </c>
      <c r="AS63" s="49">
        <f t="shared" si="25"/>
        <v>61.958586462430304</v>
      </c>
      <c r="AT63" s="49">
        <f t="shared" si="26"/>
        <v>167.6219926620588</v>
      </c>
    </row>
    <row r="64" spans="1:46">
      <c r="A64" s="31"/>
      <c r="B64" s="31"/>
      <c r="C64" s="34"/>
      <c r="D64" s="10"/>
      <c r="E64" s="52"/>
      <c r="Y64" s="49">
        <v>62</v>
      </c>
      <c r="Z64" s="49">
        <f t="shared" si="2"/>
        <v>45.305510779589277</v>
      </c>
      <c r="AA64" s="49" t="str">
        <f t="shared" si="10"/>
        <v>284.662919664582i</v>
      </c>
      <c r="AB64" s="49">
        <f t="shared" si="0"/>
        <v>11.052166224580018</v>
      </c>
      <c r="AD64" s="49" t="str">
        <f t="shared" si="3"/>
        <v>0.999924563623722-0.00867797043159383i</v>
      </c>
      <c r="AE64" s="49" t="str">
        <f t="shared" si="4"/>
        <v>0.999999999052039-0.0000547772790302501i</v>
      </c>
      <c r="AF64" s="49" t="str">
        <f t="shared" si="19"/>
        <v>8.0994855093577-0.070736099770648i</v>
      </c>
      <c r="AG64" s="49">
        <f t="shared" si="5"/>
        <v>8.0997943870265097</v>
      </c>
      <c r="AH64" s="49">
        <f t="shared" si="20"/>
        <v>-8.7331845173904028E-3</v>
      </c>
      <c r="AI64" s="49">
        <f t="shared" si="1"/>
        <v>-0.50037461455546484</v>
      </c>
      <c r="AJ64" s="49">
        <f t="shared" si="21"/>
        <v>18.169479889392303</v>
      </c>
      <c r="AL64" s="49" t="str">
        <f t="shared" si="22"/>
        <v>0.951367717158418-0.215098079738519i</v>
      </c>
      <c r="AM64" s="49" t="str">
        <f t="shared" si="23"/>
        <v>1.00000027173598+0.00176775668934635i</v>
      </c>
      <c r="AN64" s="49" t="str">
        <f t="shared" si="24"/>
        <v>-150.513269989487+33.7505154983168i</v>
      </c>
      <c r="AO64" s="49">
        <f t="shared" si="6"/>
        <v>154.25090514914433</v>
      </c>
      <c r="AP64" s="49">
        <f t="shared" si="7"/>
        <v>2.9210053778454781</v>
      </c>
      <c r="AQ64" s="49">
        <f t="shared" si="8"/>
        <v>167.36128008556224</v>
      </c>
      <c r="AR64" s="49">
        <f t="shared" si="9"/>
        <v>43.764554423327667</v>
      </c>
      <c r="AS64" s="49">
        <f t="shared" si="25"/>
        <v>61.934034312719973</v>
      </c>
      <c r="AT64" s="49">
        <f t="shared" si="26"/>
        <v>166.86090547100679</v>
      </c>
    </row>
    <row r="65" spans="3:46">
      <c r="C65" s="13"/>
      <c r="D65" s="10"/>
      <c r="Y65" s="49">
        <v>63</v>
      </c>
      <c r="Z65" s="49">
        <f t="shared" si="2"/>
        <v>48.179594942500358</v>
      </c>
      <c r="AA65" s="49" t="str">
        <f t="shared" si="10"/>
        <v>302.721323048582i</v>
      </c>
      <c r="AB65" s="49">
        <f t="shared" si="0"/>
        <v>11.052166224580018</v>
      </c>
      <c r="AD65" s="49" t="str">
        <f t="shared" si="3"/>
        <v>0.999914689841388-0.00922839093524607i</v>
      </c>
      <c r="AE65" s="49" t="str">
        <f t="shared" si="4"/>
        <v>0.99999999892795-0.0000582522318079757i</v>
      </c>
      <c r="AF65" s="49" t="str">
        <f t="shared" si="19"/>
        <v>8.09940502574619-0.075222701788421i</v>
      </c>
      <c r="AG65" s="49">
        <f t="shared" si="5"/>
        <v>8.0997543312094979</v>
      </c>
      <c r="AH65" s="49">
        <f t="shared" si="20"/>
        <v>-9.2871684829475241E-3</v>
      </c>
      <c r="AI65" s="49">
        <f t="shared" si="1"/>
        <v>-0.53211555769980856</v>
      </c>
      <c r="AJ65" s="49">
        <f t="shared" si="21"/>
        <v>18.169436935059192</v>
      </c>
      <c r="AL65" s="49" t="str">
        <f t="shared" si="22"/>
        <v>0.945349650867065-0.227296477035134i</v>
      </c>
      <c r="AM65" s="49" t="str">
        <f t="shared" si="23"/>
        <v>1.00000030730624+0.00187989936589649i</v>
      </c>
      <c r="AN65" s="49" t="str">
        <f t="shared" si="24"/>
        <v>-149.568995191317+35.6645375701293i</v>
      </c>
      <c r="AO65" s="49">
        <f t="shared" si="6"/>
        <v>153.76229564698679</v>
      </c>
      <c r="AP65" s="49">
        <f t="shared" si="7"/>
        <v>2.9075149677110845</v>
      </c>
      <c r="AQ65" s="49">
        <f t="shared" si="8"/>
        <v>166.58833652096095</v>
      </c>
      <c r="AR65" s="49">
        <f t="shared" si="9"/>
        <v>43.736997086429085</v>
      </c>
      <c r="AS65" s="49">
        <f t="shared" si="25"/>
        <v>61.90643402148828</v>
      </c>
      <c r="AT65" s="49">
        <f t="shared" si="26"/>
        <v>166.05622096326115</v>
      </c>
    </row>
    <row r="66" spans="3:46">
      <c r="Y66" s="49">
        <v>64</v>
      </c>
      <c r="Z66" s="49">
        <f t="shared" si="2"/>
        <v>51.236004823262483</v>
      </c>
      <c r="AA66" s="49" t="str">
        <f t="shared" si="10"/>
        <v>321.925312704105i</v>
      </c>
      <c r="AB66" s="49">
        <f t="shared" ref="AB66:AB129" si="27">$B$22/$G$3</f>
        <v>11.052166224580018</v>
      </c>
      <c r="AD66" s="49" t="str">
        <f t="shared" si="3"/>
        <v>0.9999035238157-0.0098137104377277i</v>
      </c>
      <c r="AE66" s="49" t="str">
        <f t="shared" si="4"/>
        <v>0.999999998787619-0.0000619476281178634i</v>
      </c>
      <c r="AF66" s="49" t="str">
        <f t="shared" si="19"/>
        <v>8.09931400874349-0.0799937734386888i</v>
      </c>
      <c r="AG66" s="49">
        <f t="shared" si="5"/>
        <v>8.0997090327997263</v>
      </c>
      <c r="AH66" s="49">
        <f t="shared" si="20"/>
        <v>-9.8762898242804927E-3</v>
      </c>
      <c r="AI66" s="49">
        <f t="shared" ref="AI66:AI129" si="28">AH66/(PI())*180</f>
        <v>-0.56586972417927361</v>
      </c>
      <c r="AJ66" s="49">
        <f t="shared" si="21"/>
        <v>18.169388358513263</v>
      </c>
      <c r="AL66" s="49" t="str">
        <f t="shared" si="22"/>
        <v>0.93863490648169-0.239998789196526i</v>
      </c>
      <c r="AM66" s="49" t="str">
        <f t="shared" si="23"/>
        <v>1.00000034753264+0.00199915613147753i</v>
      </c>
      <c r="AN66" s="49" t="str">
        <f t="shared" si="24"/>
        <v>-148.515406946745+37.6576280151795i</v>
      </c>
      <c r="AO66" s="49">
        <f t="shared" si="6"/>
        <v>153.21528333781492</v>
      </c>
      <c r="AP66" s="49">
        <f t="shared" si="7"/>
        <v>2.8932658303570378</v>
      </c>
      <c r="AQ66" s="49">
        <f t="shared" si="8"/>
        <v>165.77192108887189</v>
      </c>
      <c r="AR66" s="49">
        <f t="shared" si="9"/>
        <v>43.706041773062353</v>
      </c>
      <c r="AS66" s="49">
        <f t="shared" si="25"/>
        <v>61.875430131575612</v>
      </c>
      <c r="AT66" s="49">
        <f t="shared" si="26"/>
        <v>165.20605136469263</v>
      </c>
    </row>
    <row r="67" spans="3:46">
      <c r="Y67" s="49">
        <v>65</v>
      </c>
      <c r="Z67" s="49">
        <f t="shared" ref="Z67:Z130" si="29">10^(LOG($G$6/$G$5,10)*Y67/200)</f>
        <v>54.486306773278585</v>
      </c>
      <c r="AA67" s="49" t="str">
        <f t="shared" si="10"/>
        <v>342.347562160344i</v>
      </c>
      <c r="AB67" s="49">
        <f t="shared" si="27"/>
        <v>11.052166224580018</v>
      </c>
      <c r="AD67" s="49" t="str">
        <f t="shared" ref="AD67:AD130" si="30">IMDIV(IMSUM(1,IMDIV(AA67,$G$12)),IMSUM(1,IMDIV(AA67,$G$14)))</f>
        <v>0.999890896457562-0.0104361391096174i</v>
      </c>
      <c r="AE67" s="49" t="str">
        <f t="shared" ref="AE67:AE130" si="31">IMDIV(1,IMSUM(1,IMDIV(AA67,IMPRODUCT($G$10*$G$11)),IMDIV(IMPRODUCT(AA67,AA67),$G$10*$G$10)))</f>
        <v>0.999999998628919-0.0000658774524238199i</v>
      </c>
      <c r="AF67" s="49" t="str">
        <f t="shared" si="19"/>
        <v>8.09921108006305-0.0850673303216438i</v>
      </c>
      <c r="AG67" s="49">
        <f t="shared" ref="AG67:AG130" si="32">IMABS(AF67)</f>
        <v>8.0996578057411863</v>
      </c>
      <c r="AH67" s="49">
        <f t="shared" si="20"/>
        <v>-1.0502776329685031E-2</v>
      </c>
      <c r="AI67" s="49">
        <f t="shared" si="28"/>
        <v>-0.60176475686085351</v>
      </c>
      <c r="AJ67" s="49">
        <f t="shared" si="21"/>
        <v>18.16933342394929</v>
      </c>
      <c r="AL67" s="49" t="str">
        <f t="shared" si="22"/>
        <v>0.931155221174228-0.253189998329717i</v>
      </c>
      <c r="AM67" s="49" t="str">
        <f t="shared" si="23"/>
        <v>1.00000039302468+0.00212597828835817i</v>
      </c>
      <c r="AN67" s="49" t="str">
        <f t="shared" si="24"/>
        <v>-147.341794362073+39.7274304743158i</v>
      </c>
      <c r="AO67" s="49">
        <f t="shared" ref="AO67:AO130" si="33">IMABS(AN67)</f>
        <v>152.60364706627101</v>
      </c>
      <c r="AP67" s="49">
        <f t="shared" ref="AP67:AP130" si="34">IMARGUMENT(AN67)</f>
        <v>2.8782278465564288</v>
      </c>
      <c r="AQ67" s="49">
        <f t="shared" ref="AQ67:AQ130" si="35">AP67/(PI())*180</f>
        <v>164.91030808471089</v>
      </c>
      <c r="AR67" s="49">
        <f t="shared" ref="AR67:AR130" si="36">20*LOG(AO67,10)</f>
        <v>43.671298258462386</v>
      </c>
      <c r="AS67" s="49">
        <f t="shared" si="25"/>
        <v>61.840631682411676</v>
      </c>
      <c r="AT67" s="49">
        <f t="shared" si="26"/>
        <v>164.30854332785003</v>
      </c>
    </row>
    <row r="68" spans="3:46">
      <c r="Y68" s="49">
        <v>66</v>
      </c>
      <c r="Z68" s="49">
        <f t="shared" si="29"/>
        <v>57.94280088840825</v>
      </c>
      <c r="AA68" s="49" t="str">
        <f t="shared" ref="AA68:AA131" si="37">IMPRODUCT(COMPLEX(0,1),2*PI()*Z68)</f>
        <v>364.065355198879i</v>
      </c>
      <c r="AB68" s="49">
        <f t="shared" si="27"/>
        <v>11.052166224580018</v>
      </c>
      <c r="AD68" s="49" t="str">
        <f t="shared" si="30"/>
        <v>0.999876616562407-0.0110980265709933i</v>
      </c>
      <c r="AE68" s="49" t="str">
        <f t="shared" si="31"/>
        <v>0.999999998449444-0.0000700565763341347i</v>
      </c>
      <c r="AF68" s="49" t="str">
        <f t="shared" si="19"/>
        <v>8.09909468114974-0.0904625247218699i</v>
      </c>
      <c r="AG68" s="49">
        <f t="shared" si="32"/>
        <v>8.099599874228792</v>
      </c>
      <c r="AH68" s="49">
        <f t="shared" ref="AH68:AH99" si="38">IMARGUMENT(AF68)</f>
        <v>-1.1168996860058969E-2</v>
      </c>
      <c r="AI68" s="49">
        <f t="shared" si="28"/>
        <v>-0.63993638147624754</v>
      </c>
      <c r="AJ68" s="49">
        <f t="shared" ref="AJ68:AJ99" si="39">20*LOG(AG68,10)</f>
        <v>18.169271299284915</v>
      </c>
      <c r="AL68" s="49" t="str">
        <f t="shared" ref="AL68:AL99" si="40">IMDIV(1,IMSUM(1,IMDIV(AA68,wp2e)))</f>
        <v>0.922838795780477-0.266847058786332i</v>
      </c>
      <c r="AM68" s="49" t="str">
        <f t="shared" ref="AM68:AM99" si="41">IMDIV(IMSUM(1,IMDIV(AA68,wz2e)),IMSUM(1,IMDIV(AA68,wp1e)))</f>
        <v>1.00000044447163+0.002260845768404i</v>
      </c>
      <c r="AN68" s="49" t="str">
        <f t="shared" ref="AN68:AN99" si="42">IMPRODUCT($AK$2,AL68,AM68)</f>
        <v>-146.036891668834+41.870328983029i</v>
      </c>
      <c r="AO68" s="49">
        <f t="shared" si="33"/>
        <v>151.92069700156668</v>
      </c>
      <c r="AP68" s="49">
        <f t="shared" si="34"/>
        <v>2.8623720901823937</v>
      </c>
      <c r="AQ68" s="49">
        <f t="shared" si="35"/>
        <v>164.00184016349101</v>
      </c>
      <c r="AR68" s="49">
        <f t="shared" si="36"/>
        <v>43.632338884926753</v>
      </c>
      <c r="AS68" s="49">
        <f t="shared" ref="AS68:AS99" si="43">AR68+AJ68</f>
        <v>61.801610184211668</v>
      </c>
      <c r="AT68" s="49">
        <f t="shared" ref="AT68:AT99" si="44">AQ68+AI68</f>
        <v>163.36190378201476</v>
      </c>
    </row>
    <row r="69" spans="3:46">
      <c r="Y69" s="49">
        <v>67</v>
      </c>
      <c r="Z69" s="49">
        <f t="shared" si="29"/>
        <v>61.61856755613799</v>
      </c>
      <c r="AA69" s="49" t="str">
        <f t="shared" si="37"/>
        <v>387.160878318179i</v>
      </c>
      <c r="AB69" s="49">
        <f t="shared" si="27"/>
        <v>11.052166224580018</v>
      </c>
      <c r="AD69" s="49" t="str">
        <f t="shared" si="30"/>
        <v>0.999860467920385-0.011801870584118i</v>
      </c>
      <c r="AE69" s="49" t="str">
        <f t="shared" si="31"/>
        <v>0.999999998246476-0.0000745008148800274i</v>
      </c>
      <c r="AF69" s="49" t="str">
        <f t="shared" si="19"/>
        <v>8.09896304962427-0.0961997164643813i</v>
      </c>
      <c r="AG69" s="49">
        <f t="shared" si="32"/>
        <v>8.0995343609757651</v>
      </c>
      <c r="AH69" s="49">
        <f t="shared" si="38"/>
        <v>-1.1877470246897176E-2</v>
      </c>
      <c r="AI69" s="49">
        <f t="shared" si="28"/>
        <v>-0.68052891643941604</v>
      </c>
      <c r="AJ69" s="49">
        <f t="shared" si="39"/>
        <v>18.169201043569103</v>
      </c>
      <c r="AL69" s="49" t="str">
        <f t="shared" si="40"/>
        <v>0.913610954034862-0.280937677612618i</v>
      </c>
      <c r="AM69" s="49" t="str">
        <f t="shared" si="41"/>
        <v>1.00000050265299+0.0024042689492678i</v>
      </c>
      <c r="AN69" s="49" t="str">
        <f t="shared" si="42"/>
        <v>-144.58898166213+44.0812566161115i</v>
      </c>
      <c r="AO69" s="49">
        <f t="shared" si="33"/>
        <v>151.15928950265427</v>
      </c>
      <c r="AP69" s="49">
        <f t="shared" si="34"/>
        <v>2.8456713610335851</v>
      </c>
      <c r="AQ69" s="49">
        <f t="shared" si="35"/>
        <v>163.04495886847317</v>
      </c>
      <c r="AR69" s="49">
        <f t="shared" si="36"/>
        <v>43.588696838516647</v>
      </c>
      <c r="AS69" s="49">
        <f t="shared" si="43"/>
        <v>61.75789788208575</v>
      </c>
      <c r="AT69" s="49">
        <f t="shared" si="44"/>
        <v>162.36442995203376</v>
      </c>
    </row>
    <row r="70" spans="3:46">
      <c r="Y70" s="49">
        <v>68</v>
      </c>
      <c r="Z70" s="49">
        <f t="shared" si="29"/>
        <v>65.527516955603716</v>
      </c>
      <c r="AA70" s="49" t="str">
        <f t="shared" si="37"/>
        <v>411.72153175141i</v>
      </c>
      <c r="AB70" s="49">
        <f t="shared" si="27"/>
        <v>11.052166224580018</v>
      </c>
      <c r="AD70" s="49" t="str">
        <f t="shared" si="30"/>
        <v>0.999842206049697-0.0125503262664644i</v>
      </c>
      <c r="AE70" s="49" t="str">
        <f t="shared" si="31"/>
        <v>0.99999999801694-0.0000792269863643842i</v>
      </c>
      <c r="AF70" s="49" t="str">
        <f t="shared" si="19"/>
        <v>8.09881419265579-0.102300548012075i</v>
      </c>
      <c r="AG70" s="49">
        <f t="shared" si="32"/>
        <v>8.0994602739495196</v>
      </c>
      <c r="AH70" s="49">
        <f t="shared" si="38"/>
        <v>-1.2630874744359602E-2</v>
      </c>
      <c r="AI70" s="49">
        <f t="shared" si="28"/>
        <v>-0.72369581441018782</v>
      </c>
      <c r="AJ70" s="49">
        <f t="shared" si="39"/>
        <v>18.169121592745384</v>
      </c>
      <c r="AL70" s="49" t="str">
        <f t="shared" si="40"/>
        <v>0.903395063424222-0.29541906303583i</v>
      </c>
      <c r="AM70" s="49" t="str">
        <f t="shared" si="41"/>
        <v>1.0000005684503+0.00255679058579292i</v>
      </c>
      <c r="AN70" s="49" t="str">
        <f t="shared" si="42"/>
        <v>-142.986040188743+46.3534991170205i</v>
      </c>
      <c r="AO70" s="49">
        <f t="shared" si="33"/>
        <v>150.31185771338349</v>
      </c>
      <c r="AP70" s="49">
        <f t="shared" si="34"/>
        <v>2.8281007939654672</v>
      </c>
      <c r="AQ70" s="49">
        <f t="shared" si="35"/>
        <v>162.03823953181848</v>
      </c>
      <c r="AR70" s="49">
        <f t="shared" si="36"/>
        <v>43.539864846117439</v>
      </c>
      <c r="AS70" s="49">
        <f t="shared" si="43"/>
        <v>61.708986438862823</v>
      </c>
      <c r="AT70" s="49">
        <f t="shared" si="44"/>
        <v>161.3145437174083</v>
      </c>
    </row>
    <row r="71" spans="3:46">
      <c r="Y71" s="49">
        <v>69</v>
      </c>
      <c r="Z71" s="49">
        <f t="shared" si="29"/>
        <v>69.684441697788372</v>
      </c>
      <c r="AA71" s="49" t="str">
        <f t="shared" si="37"/>
        <v>437.840260214556i</v>
      </c>
      <c r="AB71" s="49">
        <f t="shared" si="27"/>
        <v>11.052166224580018</v>
      </c>
      <c r="AD71" s="49" t="str">
        <f t="shared" si="30"/>
        <v>0.999821554504138-0.0133462158508007i</v>
      </c>
      <c r="AE71" s="49" t="str">
        <f t="shared" si="31"/>
        <v>0.999999997757357-0.0000842529760071773i</v>
      </c>
      <c r="AF71" s="49" t="str">
        <f t="shared" si="19"/>
        <v>8.09864585686374-0.108788024022384i</v>
      </c>
      <c r="AG71" s="49">
        <f t="shared" si="32"/>
        <v>8.0993764913767841</v>
      </c>
      <c r="AH71" s="49">
        <f t="shared" si="38"/>
        <v>-1.3432058068455927E-2</v>
      </c>
      <c r="AI71" s="49">
        <f t="shared" si="28"/>
        <v>-0.76960023749716922</v>
      </c>
      <c r="AJ71" s="49">
        <f t="shared" si="39"/>
        <v>18.169031743555482</v>
      </c>
      <c r="AL71" s="49" t="str">
        <f t="shared" si="40"/>
        <v>0.892113756909967-0.310236686486224i</v>
      </c>
      <c r="AM71" s="49" t="str">
        <f t="shared" si="41"/>
        <v>1.00000064286047+0.00271898786393848i</v>
      </c>
      <c r="AN71" s="49" t="str">
        <f t="shared" si="42"/>
        <v>-141.215927843491+48.6785006510803i</v>
      </c>
      <c r="AO71" s="49">
        <f t="shared" si="33"/>
        <v>149.37046127777498</v>
      </c>
      <c r="AP71" s="49">
        <f t="shared" si="34"/>
        <v>2.8096385449751025</v>
      </c>
      <c r="AQ71" s="49">
        <f t="shared" si="35"/>
        <v>160.9804305843509</v>
      </c>
      <c r="AR71" s="49">
        <f t="shared" si="36"/>
        <v>43.485294443238168</v>
      </c>
      <c r="AS71" s="49">
        <f t="shared" si="43"/>
        <v>61.654326186793654</v>
      </c>
      <c r="AT71" s="49">
        <f t="shared" si="44"/>
        <v>160.21083034685373</v>
      </c>
    </row>
    <row r="72" spans="3:46">
      <c r="Y72" s="49">
        <v>70</v>
      </c>
      <c r="Z72" s="49">
        <f t="shared" si="29"/>
        <v>74.105072805100434</v>
      </c>
      <c r="AA72" s="49" t="str">
        <f t="shared" si="37"/>
        <v>465.615904636481i</v>
      </c>
      <c r="AB72" s="49">
        <f t="shared" si="27"/>
        <v>11.052166224580018</v>
      </c>
      <c r="AD72" s="49" t="str">
        <f t="shared" si="30"/>
        <v>0.999798200699628-0.0141925390194803i</v>
      </c>
      <c r="AE72" s="49" t="str">
        <f t="shared" si="31"/>
        <v>0.999999997463796-0.0000895978036284135i</v>
      </c>
      <c r="AF72" s="49" t="str">
        <f t="shared" si="19"/>
        <v>8.09845549429896-0.115686595584408i</v>
      </c>
      <c r="AG72" s="49">
        <f t="shared" si="32"/>
        <v>8.0992817447931102</v>
      </c>
      <c r="AH72" s="49">
        <f t="shared" si="38"/>
        <v>-1.4284048058063329E-2</v>
      </c>
      <c r="AI72" s="49">
        <f t="shared" si="28"/>
        <v>-0.81841566808906818</v>
      </c>
      <c r="AJ72" s="49">
        <f t="shared" si="39"/>
        <v>18.168930135341096</v>
      </c>
      <c r="AL72" s="49" t="str">
        <f t="shared" si="40"/>
        <v>0.879690490169874-0.325323118875006i</v>
      </c>
      <c r="AM72" s="49" t="str">
        <f t="shared" si="41"/>
        <v>1.00000072701094+0.00289147458499831i</v>
      </c>
      <c r="AN72" s="49" t="str">
        <f t="shared" si="42"/>
        <v>-139.266634310878+51.0456812099579i</v>
      </c>
      <c r="AO72" s="49">
        <f t="shared" si="33"/>
        <v>148.32685866851111</v>
      </c>
      <c r="AP72" s="49">
        <f t="shared" si="34"/>
        <v>2.7902665516291898</v>
      </c>
      <c r="AQ72" s="49">
        <f t="shared" si="35"/>
        <v>159.87049712487459</v>
      </c>
      <c r="AR72" s="49">
        <f t="shared" si="36"/>
        <v>43.424395982855664</v>
      </c>
      <c r="AS72" s="49">
        <f t="shared" si="43"/>
        <v>61.593326118196757</v>
      </c>
      <c r="AT72" s="49">
        <f t="shared" si="44"/>
        <v>159.05208145678552</v>
      </c>
    </row>
    <row r="73" spans="3:46">
      <c r="Y73" s="49">
        <v>71</v>
      </c>
      <c r="Z73" s="49">
        <f t="shared" si="29"/>
        <v>78.806139242176371</v>
      </c>
      <c r="AA73" s="49" t="str">
        <f t="shared" si="37"/>
        <v>495.153576201991i</v>
      </c>
      <c r="AB73" s="49">
        <f t="shared" si="27"/>
        <v>11.052166224580018</v>
      </c>
      <c r="AD73" s="49" t="str">
        <f t="shared" si="30"/>
        <v>0.999771791197406-0.0150924838402815i</v>
      </c>
      <c r="AE73" s="49" t="str">
        <f t="shared" si="31"/>
        <v>0.999999997131807-0.0000952816956247492i</v>
      </c>
      <c r="AF73" s="49" t="str">
        <f t="shared" si="19"/>
        <v>8.09824022399576-0.123022249359406i</v>
      </c>
      <c r="AG73" s="49">
        <f t="shared" si="32"/>
        <v>8.0991745998824065</v>
      </c>
      <c r="AH73" s="49">
        <f t="shared" si="38"/>
        <v>-1.5190063994185876E-2</v>
      </c>
      <c r="AI73" s="49">
        <f t="shared" si="28"/>
        <v>-0.87032655740048448</v>
      </c>
      <c r="AJ73" s="49">
        <f t="shared" si="39"/>
        <v>18.168815229469843</v>
      </c>
      <c r="AL73" s="49" t="str">
        <f t="shared" si="40"/>
        <v>0.866051459737264-0.340597018225671i</v>
      </c>
      <c r="AM73" s="49" t="str">
        <f t="shared" si="41"/>
        <v>1.00000082217671+0.00307490348837835i</v>
      </c>
      <c r="AN73" s="49" t="str">
        <f t="shared" si="42"/>
        <v>-137.126579333927+53.4422777645061i</v>
      </c>
      <c r="AO73" s="49">
        <f t="shared" si="33"/>
        <v>147.17260550959338</v>
      </c>
      <c r="AP73" s="49">
        <f t="shared" si="34"/>
        <v>2.7699713609904326</v>
      </c>
      <c r="AQ73" s="49">
        <f t="shared" si="35"/>
        <v>158.70766835686038</v>
      </c>
      <c r="AR73" s="49">
        <f t="shared" si="36"/>
        <v>43.356539571874684</v>
      </c>
      <c r="AS73" s="49">
        <f t="shared" si="43"/>
        <v>61.525354801344527</v>
      </c>
      <c r="AT73" s="49">
        <f t="shared" si="44"/>
        <v>157.83734179945989</v>
      </c>
    </row>
    <row r="74" spans="3:46">
      <c r="C74" s="14"/>
      <c r="Y74" s="49">
        <v>72</v>
      </c>
      <c r="Z74" s="49">
        <f t="shared" si="29"/>
        <v>83.805431223189501</v>
      </c>
      <c r="AA74" s="49" t="str">
        <f t="shared" si="37"/>
        <v>526.565054123394i</v>
      </c>
      <c r="AB74" s="49">
        <f t="shared" si="27"/>
        <v>11.052166224580018</v>
      </c>
      <c r="AD74" s="49" t="str">
        <f t="shared" si="30"/>
        <v>0.999741926373593-0.0160494383310401i</v>
      </c>
      <c r="AE74" s="49" t="str">
        <f t="shared" si="31"/>
        <v>0.999999996756359-0.000101326161512156i</v>
      </c>
      <c r="AF74" s="49" t="str">
        <f t="shared" si="19"/>
        <v>8.09799678852229-0.130822601846722i</v>
      </c>
      <c r="AG74" s="49">
        <f t="shared" si="32"/>
        <v>8.0990534348200995</v>
      </c>
      <c r="AH74" s="49">
        <f t="shared" si="38"/>
        <v>-1.6153528615555392E-2</v>
      </c>
      <c r="AI74" s="49">
        <f t="shared" si="28"/>
        <v>-0.92552901391512765</v>
      </c>
      <c r="AJ74" s="49">
        <f t="shared" si="39"/>
        <v>18.168685286076407</v>
      </c>
      <c r="AL74" s="49" t="str">
        <f t="shared" si="40"/>
        <v>0.851127892343473-0.355962362081205i</v>
      </c>
      <c r="AM74" s="49" t="str">
        <f t="shared" si="41"/>
        <v>1.00000092979968+0.00326996872172227i</v>
      </c>
      <c r="AN74" s="49" t="str">
        <f t="shared" si="42"/>
        <v>-134.784971927311+55.8532238245935i</v>
      </c>
      <c r="AO74" s="49">
        <f t="shared" si="33"/>
        <v>145.89918186558194</v>
      </c>
      <c r="AP74" s="49">
        <f t="shared" si="34"/>
        <v>2.7487450129496094</v>
      </c>
      <c r="AQ74" s="49">
        <f t="shared" si="35"/>
        <v>157.49148819964543</v>
      </c>
      <c r="AR74" s="49">
        <f t="shared" si="36"/>
        <v>43.281057131596313</v>
      </c>
      <c r="AS74" s="49">
        <f t="shared" si="43"/>
        <v>61.449742417672724</v>
      </c>
      <c r="AT74" s="49">
        <f t="shared" si="44"/>
        <v>156.56595918573029</v>
      </c>
    </row>
    <row r="75" spans="3:46">
      <c r="C75" s="14"/>
      <c r="Y75" s="49">
        <v>73</v>
      </c>
      <c r="Z75" s="49">
        <f t="shared" si="29"/>
        <v>89.121867535237712</v>
      </c>
      <c r="AA75" s="49" t="str">
        <f t="shared" si="37"/>
        <v>559.969208645811i</v>
      </c>
      <c r="AB75" s="49">
        <f t="shared" si="27"/>
        <v>11.052166224580018</v>
      </c>
      <c r="AD75" s="49" t="str">
        <f t="shared" si="30"/>
        <v>0.99970815439587-0.0170670026798509i</v>
      </c>
      <c r="AE75" s="49" t="str">
        <f t="shared" si="31"/>
        <v>0.999999996331766-0.000107754075324293i</v>
      </c>
      <c r="AF75" s="49" t="str">
        <f t="shared" si="19"/>
        <v>8.09772150488297-0.139116998993405i</v>
      </c>
      <c r="AG75" s="49">
        <f t="shared" si="32"/>
        <v>8.0989164157961913</v>
      </c>
      <c r="AH75" s="49">
        <f t="shared" si="38"/>
        <v>-1.7178080870356657E-2</v>
      </c>
      <c r="AI75" s="49">
        <f t="shared" si="28"/>
        <v>-0.98423153400585239</v>
      </c>
      <c r="AJ75" s="49">
        <f t="shared" si="39"/>
        <v>18.168538337769803</v>
      </c>
      <c r="AL75" s="49" t="str">
        <f t="shared" si="40"/>
        <v>0.834858693990103-0.371308032581093i</v>
      </c>
      <c r="AM75" s="49" t="str">
        <f t="shared" si="41"/>
        <v>1.0000010515105+0.00347740846773119i</v>
      </c>
      <c r="AN75" s="49" t="str">
        <f t="shared" si="42"/>
        <v>-132.232226034471+58.2610843351992i</v>
      </c>
      <c r="AO75" s="49">
        <f t="shared" si="33"/>
        <v>144.49815068001607</v>
      </c>
      <c r="AP75" s="49">
        <f t="shared" si="34"/>
        <v>2.7265859606648277</v>
      </c>
      <c r="AQ75" s="49">
        <f t="shared" si="35"/>
        <v>156.22186802571773</v>
      </c>
      <c r="AR75" s="49">
        <f t="shared" si="36"/>
        <v>43.197245778584374</v>
      </c>
      <c r="AS75" s="49">
        <f t="shared" si="43"/>
        <v>61.365784116354178</v>
      </c>
      <c r="AT75" s="49">
        <f t="shared" si="44"/>
        <v>155.23763649171187</v>
      </c>
    </row>
    <row r="76" spans="3:46">
      <c r="C76" s="14"/>
      <c r="Y76" s="49">
        <v>74</v>
      </c>
      <c r="Z76" s="49">
        <f t="shared" si="29"/>
        <v>94.775567132582992</v>
      </c>
      <c r="AA76" s="49" t="str">
        <f t="shared" si="37"/>
        <v>595.492450887058i</v>
      </c>
      <c r="AB76" s="49">
        <f t="shared" si="27"/>
        <v>11.052166224580018</v>
      </c>
      <c r="AD76" s="49" t="str">
        <f t="shared" si="30"/>
        <v>0.999669964417906-0.0181490021466738i</v>
      </c>
      <c r="AE76" s="49" t="str">
        <f t="shared" si="31"/>
        <v>0.999999995851594-0.000114589762174622i</v>
      </c>
      <c r="AF76" s="49" t="str">
        <f t="shared" ref="AF76:AF139" si="45">IMPRODUCT(AB76,AC$2,AD76,AE76)</f>
        <v>8.09741020904458-0.147936621358095i</v>
      </c>
      <c r="AG76" s="49">
        <f t="shared" si="32"/>
        <v>8.0987614693530912</v>
      </c>
      <c r="AH76" s="49">
        <f t="shared" si="38"/>
        <v>-1.8267589445495207E-2</v>
      </c>
      <c r="AI76" s="49">
        <f t="shared" si="28"/>
        <v>-1.0466557771046032</v>
      </c>
      <c r="AJ76" s="49">
        <f t="shared" si="39"/>
        <v>18.168372159912188</v>
      </c>
      <c r="AL76" s="49" t="str">
        <f t="shared" si="40"/>
        <v>0.817193418361563-0.386507872297714i</v>
      </c>
      <c r="AM76" s="49" t="str">
        <f t="shared" si="41"/>
        <v>1.00000118915327+0.00369800773761746i</v>
      </c>
      <c r="AN76" s="49" t="str">
        <f t="shared" si="42"/>
        <v>-129.460426291376+60.6460644378157i</v>
      </c>
      <c r="AO76" s="49">
        <f t="shared" si="33"/>
        <v>142.9613482985541</v>
      </c>
      <c r="AP76" s="49">
        <f t="shared" si="34"/>
        <v>2.7035000028312752</v>
      </c>
      <c r="AQ76" s="49">
        <f t="shared" si="35"/>
        <v>154.89914007583818</v>
      </c>
      <c r="AR76" s="49">
        <f t="shared" si="36"/>
        <v>43.104372708790699</v>
      </c>
      <c r="AS76" s="49">
        <f t="shared" si="43"/>
        <v>61.272744868702887</v>
      </c>
      <c r="AT76" s="49">
        <f t="shared" si="44"/>
        <v>153.85248429873357</v>
      </c>
    </row>
    <row r="77" spans="3:46">
      <c r="C77" s="14"/>
      <c r="Y77" s="49">
        <v>75</v>
      </c>
      <c r="Z77" s="49">
        <f t="shared" si="29"/>
        <v>100.78792527267464</v>
      </c>
      <c r="AA77" s="49" t="str">
        <f t="shared" si="37"/>
        <v>633.269211214383i</v>
      </c>
      <c r="AB77" s="49">
        <f t="shared" si="27"/>
        <v>11.052166224580018</v>
      </c>
      <c r="AD77" s="49" t="str">
        <f t="shared" si="30"/>
        <v>0.999626778890889-0.0192995006706428i</v>
      </c>
      <c r="AE77" s="49" t="str">
        <f t="shared" si="31"/>
        <v>0.999999995308568-0.000121859090309858i</v>
      </c>
      <c r="AF77" s="49" t="str">
        <f t="shared" si="45"/>
        <v>8.09705819326568-0.157314595027271i</v>
      </c>
      <c r="AG77" s="49">
        <f t="shared" si="32"/>
        <v>8.0985862511267648</v>
      </c>
      <c r="AH77" s="49">
        <f t="shared" si="38"/>
        <v>-1.9426167116387325E-2</v>
      </c>
      <c r="AI77" s="49">
        <f t="shared" si="28"/>
        <v>-1.1130373878848183</v>
      </c>
      <c r="AJ77" s="49">
        <f t="shared" si="39"/>
        <v>18.168184237024718</v>
      </c>
      <c r="AL77" s="49" t="str">
        <f t="shared" si="40"/>
        <v>0.798095478514807-0.401421331880891i</v>
      </c>
      <c r="AM77" s="49" t="str">
        <f t="shared" si="41"/>
        <v>1.00000134481349+0.00393260134176168i</v>
      </c>
      <c r="AN77" s="49" t="str">
        <f t="shared" si="42"/>
        <v>-126.463831962082+62.9861110905252i</v>
      </c>
      <c r="AO77" s="49">
        <f t="shared" si="33"/>
        <v>141.28110625572583</v>
      </c>
      <c r="AP77" s="49">
        <f t="shared" si="34"/>
        <v>2.6795011951056287</v>
      </c>
      <c r="AQ77" s="49">
        <f t="shared" si="35"/>
        <v>153.52410967981268</v>
      </c>
      <c r="AR77" s="49">
        <f t="shared" si="36"/>
        <v>43.001681736968322</v>
      </c>
      <c r="AS77" s="49">
        <f t="shared" si="43"/>
        <v>61.169865973993041</v>
      </c>
      <c r="AT77" s="49">
        <f t="shared" si="44"/>
        <v>152.41107229192787</v>
      </c>
    </row>
    <row r="78" spans="3:46">
      <c r="Y78" s="49">
        <v>76</v>
      </c>
      <c r="Z78" s="49">
        <f t="shared" si="29"/>
        <v>107.18169448207877</v>
      </c>
      <c r="AA78" s="49" t="str">
        <f t="shared" si="37"/>
        <v>673.442447968409i</v>
      </c>
      <c r="AB78" s="49">
        <f t="shared" si="27"/>
        <v>11.052166224580018</v>
      </c>
      <c r="AD78" s="49" t="str">
        <f t="shared" si="30"/>
        <v>0.999577944878785-0.0205228152051244i</v>
      </c>
      <c r="AE78" s="49" t="str">
        <f t="shared" si="31"/>
        <v>0.99999999469446-0.000129589569003092i</v>
      </c>
      <c r="AF78" s="49" t="str">
        <f t="shared" si="45"/>
        <v>8.09666013530518-0.167286108463524i</v>
      </c>
      <c r="AG78" s="49">
        <f t="shared" si="32"/>
        <v>8.0983881105269937</v>
      </c>
      <c r="AH78" s="49">
        <f t="shared" si="38"/>
        <v>-2.0658185961699532E-2</v>
      </c>
      <c r="AI78" s="49">
        <f t="shared" si="28"/>
        <v>-1.183626868001789</v>
      </c>
      <c r="AJ78" s="49">
        <f t="shared" si="39"/>
        <v>18.167971724817921</v>
      </c>
      <c r="AL78" s="49" t="str">
        <f t="shared" si="40"/>
        <v>0.777545484887292-0.415894823024617i</v>
      </c>
      <c r="AM78" s="49" t="str">
        <f t="shared" si="41"/>
        <v>1.00000152084963+0.00418207704881328i</v>
      </c>
      <c r="AN78" s="49" t="str">
        <f t="shared" si="42"/>
        <v>-123.239400694473+65.2571253578524i</v>
      </c>
      <c r="AO78" s="49">
        <f t="shared" si="33"/>
        <v>139.4505012307354</v>
      </c>
      <c r="AP78" s="49">
        <f t="shared" si="34"/>
        <v>2.6546127007342575</v>
      </c>
      <c r="AQ78" s="49">
        <f t="shared" si="35"/>
        <v>152.09810399389801</v>
      </c>
      <c r="AR78" s="49">
        <f t="shared" si="36"/>
        <v>42.888401592027215</v>
      </c>
      <c r="AS78" s="49">
        <f t="shared" si="43"/>
        <v>61.056373316845139</v>
      </c>
      <c r="AT78" s="49">
        <f t="shared" si="44"/>
        <v>150.91447712589621</v>
      </c>
    </row>
    <row r="79" spans="3:46">
      <c r="Y79" s="49">
        <v>77</v>
      </c>
      <c r="Z79" s="49">
        <f t="shared" si="29"/>
        <v>113.98107065871142</v>
      </c>
      <c r="AA79" s="49" t="str">
        <f t="shared" si="37"/>
        <v>716.164188459414i</v>
      </c>
      <c r="AB79" s="49">
        <f t="shared" si="27"/>
        <v>11.052166224580018</v>
      </c>
      <c r="AD79" s="49" t="str">
        <f t="shared" si="30"/>
        <v>0.999522724249745-0.0218235307994003i</v>
      </c>
      <c r="AE79" s="49" t="str">
        <f t="shared" si="31"/>
        <v>0.999999993999964-0.000137810452657069i</v>
      </c>
      <c r="AF79" s="49" t="str">
        <f t="shared" si="45"/>
        <v>8.09621001847006-0.177888535439746i</v>
      </c>
      <c r="AG79" s="49">
        <f t="shared" si="32"/>
        <v>8.098164050833736</v>
      </c>
      <c r="AH79" s="49">
        <f t="shared" si="38"/>
        <v>-2.1968293488749107E-2</v>
      </c>
      <c r="AI79" s="49">
        <f t="shared" si="28"/>
        <v>-1.2586905000100508</v>
      </c>
      <c r="AJ79" s="49">
        <f t="shared" si="39"/>
        <v>18.167731407280122</v>
      </c>
      <c r="AL79" s="49" t="str">
        <f t="shared" si="40"/>
        <v>0.755544549534857-0.429763869122367i</v>
      </c>
      <c r="AM79" s="49" t="str">
        <f t="shared" si="41"/>
        <v>1.00000171992891+0.00444737894518715i</v>
      </c>
      <c r="AN79" s="49" t="str">
        <f t="shared" si="42"/>
        <v>-119.787306977251+67.4332998633114i</v>
      </c>
      <c r="AO79" s="49">
        <f t="shared" si="33"/>
        <v>137.46362734671831</v>
      </c>
      <c r="AP79" s="49">
        <f t="shared" si="34"/>
        <v>2.6288675340265644</v>
      </c>
      <c r="AQ79" s="49">
        <f t="shared" si="35"/>
        <v>150.62301459868647</v>
      </c>
      <c r="AR79" s="49">
        <f t="shared" si="36"/>
        <v>42.763755994993311</v>
      </c>
      <c r="AS79" s="49">
        <f t="shared" si="43"/>
        <v>60.931487402273433</v>
      </c>
      <c r="AT79" s="49">
        <f t="shared" si="44"/>
        <v>149.36432409867641</v>
      </c>
    </row>
    <row r="80" spans="3:46">
      <c r="Y80" s="49">
        <v>78</v>
      </c>
      <c r="Z80" s="49">
        <f t="shared" si="29"/>
        <v>121.21178463621371</v>
      </c>
      <c r="AA80" s="49" t="str">
        <f t="shared" si="37"/>
        <v>761.596104283274i</v>
      </c>
      <c r="AB80" s="49">
        <f t="shared" si="27"/>
        <v>11.052166224580018</v>
      </c>
      <c r="AD80" s="49" t="str">
        <f t="shared" si="30"/>
        <v>0.999460282600149-0.0232065164415787i</v>
      </c>
      <c r="AE80" s="49" t="str">
        <f t="shared" si="31"/>
        <v>0.999999993214559-0.000146552851511568i</v>
      </c>
      <c r="AF80" s="49" t="str">
        <f t="shared" si="45"/>
        <v>8.09570104133264-0.189161564178252i</v>
      </c>
      <c r="AG80" s="49">
        <f t="shared" si="32"/>
        <v>8.0979106841207358</v>
      </c>
      <c r="AH80" s="49">
        <f t="shared" si="38"/>
        <v>-2.3361429716326949E-2</v>
      </c>
      <c r="AI80" s="49">
        <f t="shared" si="28"/>
        <v>-1.338511326137038</v>
      </c>
      <c r="AJ80" s="49">
        <f t="shared" si="39"/>
        <v>18.167459648185002</v>
      </c>
      <c r="AL80" s="49" t="str">
        <f t="shared" si="40"/>
        <v>0.732117355729059-0.44285610887663i</v>
      </c>
      <c r="AM80" s="49" t="str">
        <f t="shared" si="41"/>
        <v>1.00000194506767+0.00472951100766692i</v>
      </c>
      <c r="AN80" s="49" t="str">
        <f t="shared" si="42"/>
        <v>-116.111423780252+69.4875900761834i</v>
      </c>
      <c r="AO80" s="49">
        <f t="shared" si="33"/>
        <v>135.31588194618166</v>
      </c>
      <c r="AP80" s="49">
        <f t="shared" si="34"/>
        <v>2.6023091456897771</v>
      </c>
      <c r="AQ80" s="49">
        <f t="shared" si="35"/>
        <v>149.1013310363191</v>
      </c>
      <c r="AR80" s="49">
        <f t="shared" si="36"/>
        <v>42.626975449587107</v>
      </c>
      <c r="AS80" s="49">
        <f t="shared" si="43"/>
        <v>60.794435097772109</v>
      </c>
      <c r="AT80" s="49">
        <f t="shared" si="44"/>
        <v>147.76281971018204</v>
      </c>
    </row>
    <row r="81" spans="25:46">
      <c r="Y81" s="49">
        <v>79</v>
      </c>
      <c r="Z81" s="49">
        <f t="shared" si="29"/>
        <v>128.90119955697148</v>
      </c>
      <c r="AA81" s="49" t="str">
        <f t="shared" si="37"/>
        <v>809.910123134187i</v>
      </c>
      <c r="AB81" s="49">
        <f t="shared" si="27"/>
        <v>11.052166224580018</v>
      </c>
      <c r="AD81" s="49" t="str">
        <f t="shared" si="30"/>
        <v>0.999389676750018-0.0246769416717075i</v>
      </c>
      <c r="AE81" s="49" t="str">
        <f t="shared" si="31"/>
        <v>0.999999992326344-0.000155849849373838i</v>
      </c>
      <c r="AF81" s="49" t="str">
        <f t="shared" si="45"/>
        <v>8.09512551580251-0.201147332767988i</v>
      </c>
      <c r="AG81" s="49">
        <f t="shared" si="32"/>
        <v>8.097624180343054</v>
      </c>
      <c r="AH81" s="49">
        <f t="shared" si="38"/>
        <v>-2.4842845262463463E-2</v>
      </c>
      <c r="AI81" s="49">
        <f t="shared" si="28"/>
        <v>-1.4233901846357282</v>
      </c>
      <c r="AJ81" s="49">
        <f t="shared" si="39"/>
        <v>18.167152336297509</v>
      </c>
      <c r="AL81" s="49" t="str">
        <f t="shared" si="40"/>
        <v>0.707314759637746-0.454995154299849i</v>
      </c>
      <c r="AM81" s="49" t="str">
        <f t="shared" si="41"/>
        <v>1.00000219967709+0.0050295409026313i</v>
      </c>
      <c r="AN81" s="49" t="str">
        <f t="shared" si="42"/>
        <v>-112.2197307755+71.3923196580404i</v>
      </c>
      <c r="AO81" s="49">
        <f t="shared" si="33"/>
        <v>133.0042528699046</v>
      </c>
      <c r="AP81" s="49">
        <f t="shared" si="34"/>
        <v>2.5749917972142224</v>
      </c>
      <c r="AQ81" s="49">
        <f t="shared" si="35"/>
        <v>147.53616226118169</v>
      </c>
      <c r="AR81" s="49">
        <f t="shared" si="36"/>
        <v>42.477310558951061</v>
      </c>
      <c r="AS81" s="49">
        <f t="shared" si="43"/>
        <v>60.644462895248566</v>
      </c>
      <c r="AT81" s="49">
        <f t="shared" si="44"/>
        <v>146.11277207654595</v>
      </c>
    </row>
    <row r="82" spans="25:46">
      <c r="Y82" s="49">
        <v>80</v>
      </c>
      <c r="Z82" s="49">
        <f t="shared" si="29"/>
        <v>137.07841442227294</v>
      </c>
      <c r="AA82" s="49" t="str">
        <f t="shared" si="37"/>
        <v>861.2890794295i</v>
      </c>
      <c r="AB82" s="49">
        <f t="shared" si="27"/>
        <v>11.052166224580018</v>
      </c>
      <c r="AD82" s="49" t="str">
        <f t="shared" si="30"/>
        <v>0.999309840628648-0.0262402939667668i</v>
      </c>
      <c r="AE82" s="49" t="str">
        <f t="shared" si="31"/>
        <v>0.999999991321862-0.000165736628817636i</v>
      </c>
      <c r="AF82" s="49" t="str">
        <f t="shared" si="45"/>
        <v>8.09447475207698-0.213890570873497i</v>
      </c>
      <c r="AG82" s="49">
        <f t="shared" si="32"/>
        <v>8.0973002098428015</v>
      </c>
      <c r="AH82" s="49">
        <f t="shared" si="38"/>
        <v>-2.641812048500751E-2</v>
      </c>
      <c r="AI82" s="49">
        <f t="shared" si="28"/>
        <v>-1.5136468064590338</v>
      </c>
      <c r="AJ82" s="49">
        <f t="shared" si="39"/>
        <v>18.166804823466478</v>
      </c>
      <c r="AL82" s="49" t="str">
        <f t="shared" si="40"/>
        <v>0.68121567371993-0.466005235591009i</v>
      </c>
      <c r="AM82" s="49" t="str">
        <f t="shared" si="41"/>
        <v>1.00000248761489+0.00534860402627721i</v>
      </c>
      <c r="AN82" s="49" t="str">
        <f t="shared" si="42"/>
        <v>-108.124609854437+73.1199092753403i</v>
      </c>
      <c r="AO82" s="49">
        <f t="shared" si="33"/>
        <v>130.52759244162979</v>
      </c>
      <c r="AP82" s="49">
        <f t="shared" si="34"/>
        <v>2.5469806734623468</v>
      </c>
      <c r="AQ82" s="49">
        <f t="shared" si="35"/>
        <v>145.93124309078055</v>
      </c>
      <c r="AR82" s="49">
        <f t="shared" si="36"/>
        <v>42.314046552026056</v>
      </c>
      <c r="AS82" s="49">
        <f t="shared" si="43"/>
        <v>60.480851375492534</v>
      </c>
      <c r="AT82" s="49">
        <f t="shared" si="44"/>
        <v>144.41759628432152</v>
      </c>
    </row>
    <row r="83" spans="25:46">
      <c r="Y83" s="49">
        <v>81</v>
      </c>
      <c r="Z83" s="49">
        <f t="shared" si="29"/>
        <v>145.77437421146283</v>
      </c>
      <c r="AA83" s="49" t="str">
        <f t="shared" si="37"/>
        <v>915.927406208762i</v>
      </c>
      <c r="AB83" s="49">
        <f t="shared" si="27"/>
        <v>11.052166224580018</v>
      </c>
      <c r="AD83" s="49" t="str">
        <f t="shared" si="30"/>
        <v>0.999219569347293-0.0279023968899189i</v>
      </c>
      <c r="AE83" s="49" t="str">
        <f t="shared" si="31"/>
        <v>0.999999990185893-0.000176250604324642i</v>
      </c>
      <c r="AF83" s="49" t="str">
        <f t="shared" si="45"/>
        <v>8.09373892881357-0.227438747673507i</v>
      </c>
      <c r="AG83" s="49">
        <f t="shared" si="32"/>
        <v>8.0969338784342035</v>
      </c>
      <c r="AH83" s="49">
        <f t="shared" si="38"/>
        <v>-2.809318572274546E-2</v>
      </c>
      <c r="AI83" s="49">
        <f t="shared" si="28"/>
        <v>-1.6096209749904962</v>
      </c>
      <c r="AJ83" s="49">
        <f t="shared" si="39"/>
        <v>18.166411854688921</v>
      </c>
      <c r="AL83" s="49" t="str">
        <f t="shared" si="40"/>
        <v>0.653927986541834-0.475716485902241i</v>
      </c>
      <c r="AM83" s="49" t="str">
        <f t="shared" si="41"/>
        <v>1.00000281324375+0.0056879078011238i</v>
      </c>
      <c r="AN83" s="49" t="str">
        <f t="shared" si="42"/>
        <v>-103.842989453197+74.6437058150625i</v>
      </c>
      <c r="AO83" s="49">
        <f t="shared" si="33"/>
        <v>127.88686123438319</v>
      </c>
      <c r="AP83" s="49">
        <f t="shared" si="34"/>
        <v>2.5183516891754456</v>
      </c>
      <c r="AQ83" s="49">
        <f t="shared" si="35"/>
        <v>144.29092311939476</v>
      </c>
      <c r="AR83" s="49">
        <f t="shared" si="36"/>
        <v>42.136518569555719</v>
      </c>
      <c r="AS83" s="49">
        <f t="shared" si="43"/>
        <v>60.302930424244636</v>
      </c>
      <c r="AT83" s="49">
        <f t="shared" si="44"/>
        <v>142.68130214440427</v>
      </c>
    </row>
    <row r="84" spans="25:46">
      <c r="Y84" s="49">
        <v>82</v>
      </c>
      <c r="Z84" s="49">
        <f t="shared" si="29"/>
        <v>155.02198698682062</v>
      </c>
      <c r="AA84" s="49" t="str">
        <f t="shared" si="37"/>
        <v>974.031870925376i</v>
      </c>
      <c r="AB84" s="49">
        <f t="shared" si="27"/>
        <v>11.052166224580018</v>
      </c>
      <c r="AD84" s="49" t="str">
        <f t="shared" si="30"/>
        <v>0.999117501231178-0.0296694289846349i</v>
      </c>
      <c r="AE84" s="49" t="str">
        <f t="shared" si="31"/>
        <v>0.999999988901225-0.000187431563872129i</v>
      </c>
      <c r="AF84" s="49" t="str">
        <f t="shared" si="45"/>
        <v>8.0929069466686-0.241842225871174i</v>
      </c>
      <c r="AG84" s="49">
        <f t="shared" si="32"/>
        <v>8.0965196541261619</v>
      </c>
      <c r="AH84" s="49">
        <f t="shared" si="38"/>
        <v>-2.9874342683986047E-2</v>
      </c>
      <c r="AI84" s="49">
        <f t="shared" si="28"/>
        <v>-1.7116737515199285</v>
      </c>
      <c r="AJ84" s="49">
        <f t="shared" si="39"/>
        <v>18.165967489116301</v>
      </c>
      <c r="AL84" s="49" t="str">
        <f t="shared" si="40"/>
        <v>0.625588306357241-0.483970636822442i</v>
      </c>
      <c r="AM84" s="49" t="str">
        <f t="shared" si="41"/>
        <v>1.00000318149742+0.00604873624505145i</v>
      </c>
      <c r="AN84" s="49" t="str">
        <f t="shared" si="42"/>
        <v>-99.3963043186406+75.9388760446188i</v>
      </c>
      <c r="AO84" s="49">
        <f t="shared" si="33"/>
        <v>125.0853237079546</v>
      </c>
      <c r="AP84" s="49">
        <f t="shared" si="34"/>
        <v>2.4891909566919863</v>
      </c>
      <c r="AQ84" s="49">
        <f t="shared" si="35"/>
        <v>142.62013622058248</v>
      </c>
      <c r="AR84" s="49">
        <f t="shared" si="36"/>
        <v>41.944127136065489</v>
      </c>
      <c r="AS84" s="49">
        <f t="shared" si="43"/>
        <v>60.110094625181787</v>
      </c>
      <c r="AT84" s="49">
        <f t="shared" si="44"/>
        <v>140.90846246906256</v>
      </c>
    </row>
    <row r="85" spans="25:46">
      <c r="Y85" s="49">
        <v>83</v>
      </c>
      <c r="Z85" s="49">
        <f t="shared" si="29"/>
        <v>164.85624842731968</v>
      </c>
      <c r="AA85" s="49" t="str">
        <f t="shared" si="37"/>
        <v>1035.82235791528i</v>
      </c>
      <c r="AB85" s="49">
        <f t="shared" si="27"/>
        <v>11.052166224580018</v>
      </c>
      <c r="AD85" s="49" t="str">
        <f t="shared" si="30"/>
        <v>0.999002097555974-0.03154794337961i</v>
      </c>
      <c r="AE85" s="49" t="str">
        <f t="shared" si="31"/>
        <v>0.999999987448395-0.000199321819502688i</v>
      </c>
      <c r="AF85" s="49" t="str">
        <f t="shared" si="45"/>
        <v>8.09196626312421-0.257154421498103i</v>
      </c>
      <c r="AG85" s="49">
        <f t="shared" si="32"/>
        <v>8.0960512844247976</v>
      </c>
      <c r="AH85" s="49">
        <f t="shared" si="38"/>
        <v>-3.176828702793081E-2</v>
      </c>
      <c r="AI85" s="49">
        <f t="shared" si="28"/>
        <v>-1.8201887690606371</v>
      </c>
      <c r="AJ85" s="49">
        <f t="shared" si="39"/>
        <v>18.165465010843715</v>
      </c>
      <c r="AL85" s="49" t="str">
        <f t="shared" si="40"/>
        <v>0.596360378359987-0.490626820997711i</v>
      </c>
      <c r="AM85" s="49" t="str">
        <f t="shared" si="41"/>
        <v>1.00000359795549+0.00643245483015881i</v>
      </c>
      <c r="AN85" s="49" t="str">
        <f t="shared" si="42"/>
        <v>-94.8102471646954+76.9833170822786i</v>
      </c>
      <c r="AO85" s="49">
        <f t="shared" si="33"/>
        <v>122.12867835369907</v>
      </c>
      <c r="AP85" s="49">
        <f t="shared" si="34"/>
        <v>2.4595938986263421</v>
      </c>
      <c r="AQ85" s="49">
        <f t="shared" si="35"/>
        <v>140.92434970741746</v>
      </c>
      <c r="AR85" s="49">
        <f t="shared" si="36"/>
        <v>41.736353145944008</v>
      </c>
      <c r="AS85" s="49">
        <f t="shared" si="43"/>
        <v>59.901818156787726</v>
      </c>
      <c r="AT85" s="49">
        <f t="shared" si="44"/>
        <v>139.10416093835681</v>
      </c>
    </row>
    <row r="86" spans="25:46">
      <c r="Y86" s="49">
        <v>84</v>
      </c>
      <c r="Z86" s="49">
        <f t="shared" si="29"/>
        <v>175.3143742625403</v>
      </c>
      <c r="AA86" s="49" t="str">
        <f t="shared" si="37"/>
        <v>1101.53270050378i</v>
      </c>
      <c r="AB86" s="49">
        <f t="shared" si="27"/>
        <v>11.052166224580018</v>
      </c>
      <c r="AD86" s="49" t="str">
        <f t="shared" si="30"/>
        <v>0.998871619703923-0.0335448880521042i</v>
      </c>
      <c r="AE86" s="49" t="str">
        <f t="shared" si="31"/>
        <v>0.999999985805389-0.000211966367445833i</v>
      </c>
      <c r="AF86" s="49" t="str">
        <f t="shared" si="45"/>
        <v>8.09090270628239-0.273431969085337i</v>
      </c>
      <c r="AG86" s="49">
        <f t="shared" si="32"/>
        <v>8.0955217030309772</v>
      </c>
      <c r="AH86" s="49">
        <f t="shared" si="38"/>
        <v>-3.3782132181536646E-2</v>
      </c>
      <c r="AI86" s="49">
        <f t="shared" si="28"/>
        <v>-1.9355735969551264</v>
      </c>
      <c r="AJ86" s="49">
        <f t="shared" si="39"/>
        <v>18.164896828179025</v>
      </c>
      <c r="AL86" s="49" t="str">
        <f t="shared" si="40"/>
        <v>0.566432115974648-0.49556712357372i</v>
      </c>
      <c r="AM86" s="49" t="str">
        <f t="shared" si="41"/>
        <v>1.00000406892791+0.00684051564981762i</v>
      </c>
      <c r="AN86" s="49" t="str">
        <f t="shared" si="42"/>
        <v>-90.1143028620278+77.7585274561079i</v>
      </c>
      <c r="AO86" s="49">
        <f t="shared" si="33"/>
        <v>119.02510731963889</v>
      </c>
      <c r="AP86" s="49">
        <f t="shared" si="34"/>
        <v>2.4296640097446156</v>
      </c>
      <c r="AQ86" s="49">
        <f t="shared" si="35"/>
        <v>139.20949339319898</v>
      </c>
      <c r="AR86" s="49">
        <f t="shared" si="36"/>
        <v>41.512771634614374</v>
      </c>
      <c r="AS86" s="49">
        <f t="shared" si="43"/>
        <v>59.677668462793399</v>
      </c>
      <c r="AT86" s="49">
        <f t="shared" si="44"/>
        <v>137.27391979624386</v>
      </c>
    </row>
    <row r="87" spans="25:46">
      <c r="Y87" s="49">
        <v>85</v>
      </c>
      <c r="Z87" s="49">
        <f t="shared" si="29"/>
        <v>186.43594110790573</v>
      </c>
      <c r="AA87" s="49" t="str">
        <f t="shared" si="37"/>
        <v>1171.41156589939i</v>
      </c>
      <c r="AB87" s="49">
        <f t="shared" si="27"/>
        <v>11.052166224580018</v>
      </c>
      <c r="AD87" s="49" t="str">
        <f t="shared" si="30"/>
        <v>0.99872410342179-0.0356676266747649i</v>
      </c>
      <c r="AE87" s="49" t="str">
        <f t="shared" si="31"/>
        <v>0.999999983947313-0.000225413058397428i</v>
      </c>
      <c r="AF87" s="49" t="str">
        <f t="shared" si="45"/>
        <v>8.08970026503521-0.290734891590417i</v>
      </c>
      <c r="AG87" s="49">
        <f t="shared" si="32"/>
        <v>8.0949229246052017</v>
      </c>
      <c r="AH87" s="49">
        <f t="shared" si="38"/>
        <v>-3.5923434430697114E-2</v>
      </c>
      <c r="AI87" s="49">
        <f t="shared" si="28"/>
        <v>-2.058261178493892</v>
      </c>
      <c r="AJ87" s="49">
        <f t="shared" si="39"/>
        <v>18.164254359927419</v>
      </c>
      <c r="AL87" s="49" t="str">
        <f t="shared" si="40"/>
        <v>0.536011297716802-0.498701500335373i</v>
      </c>
      <c r="AM87" s="49" t="str">
        <f t="shared" si="41"/>
        <v>1.0000046015506+0.00727446291346803i</v>
      </c>
      <c r="AN87" s="49" t="str">
        <f t="shared" si="42"/>
        <v>-85.3410732466673+78.2503787935204i</v>
      </c>
      <c r="AO87" s="49">
        <f t="shared" si="33"/>
        <v>115.7852346554709</v>
      </c>
      <c r="AP87" s="49">
        <f t="shared" si="34"/>
        <v>2.3995112952299831</v>
      </c>
      <c r="AQ87" s="49">
        <f t="shared" si="35"/>
        <v>137.48187011064769</v>
      </c>
      <c r="AR87" s="49">
        <f t="shared" si="36"/>
        <v>41.273063602939246</v>
      </c>
      <c r="AS87" s="49">
        <f t="shared" si="43"/>
        <v>59.437317962866665</v>
      </c>
      <c r="AT87" s="49">
        <f t="shared" si="44"/>
        <v>135.4236089321538</v>
      </c>
    </row>
    <row r="88" spans="25:46">
      <c r="Y88" s="49">
        <v>86</v>
      </c>
      <c r="Z88" s="49">
        <f t="shared" si="29"/>
        <v>198.26303623420247</v>
      </c>
      <c r="AA88" s="49" t="str">
        <f t="shared" si="37"/>
        <v>1245.72339622355i</v>
      </c>
      <c r="AB88" s="49">
        <f t="shared" si="27"/>
        <v>11.052166224580018</v>
      </c>
      <c r="AD88" s="49" t="str">
        <f t="shared" si="30"/>
        <v>0.998557329826783-0.0379239599432771i</v>
      </c>
      <c r="AE88" s="49" t="str">
        <f t="shared" si="31"/>
        <v>0.999999981846016-0.00023971277860139i</v>
      </c>
      <c r="AF88" s="49" t="str">
        <f t="shared" si="45"/>
        <v>8.08834085272708-0.309126774243758i</v>
      </c>
      <c r="AG88" s="49">
        <f t="shared" si="32"/>
        <v>8.0942459261161694</v>
      </c>
      <c r="AH88" s="49">
        <f t="shared" si="38"/>
        <v>-3.8200219319169858E-2</v>
      </c>
      <c r="AI88" s="49">
        <f t="shared" si="28"/>
        <v>-2.1887113434625443</v>
      </c>
      <c r="AJ88" s="49">
        <f t="shared" si="39"/>
        <v>18.163527907047904</v>
      </c>
      <c r="AL88" s="49" t="str">
        <f t="shared" si="40"/>
        <v>0.505320100972308-0.499971695724512i</v>
      </c>
      <c r="AM88" s="49" t="str">
        <f t="shared" si="41"/>
        <v>1.00000520389357+0.00773593878993778i</v>
      </c>
      <c r="AN88" s="49" t="str">
        <f t="shared" si="42"/>
        <v>-80.5254194334567+78.4497305850522i</v>
      </c>
      <c r="AO88" s="49">
        <f t="shared" si="33"/>
        <v>112.42198807974088</v>
      </c>
      <c r="AP88" s="49">
        <f t="shared" si="34"/>
        <v>2.3692504357773192</v>
      </c>
      <c r="AQ88" s="49">
        <f t="shared" si="35"/>
        <v>135.7480505795715</v>
      </c>
      <c r="AR88" s="49">
        <f t="shared" si="36"/>
        <v>41.017025222487717</v>
      </c>
      <c r="AS88" s="49">
        <f t="shared" si="43"/>
        <v>59.180553129535625</v>
      </c>
      <c r="AT88" s="49">
        <f t="shared" si="44"/>
        <v>133.55933923610894</v>
      </c>
    </row>
    <row r="89" spans="25:46">
      <c r="Y89" s="49">
        <v>87</v>
      </c>
      <c r="Z89" s="49">
        <f t="shared" si="29"/>
        <v>210.84041683815525</v>
      </c>
      <c r="AA89" s="49" t="str">
        <f t="shared" si="37"/>
        <v>1324.74940923712i</v>
      </c>
      <c r="AB89" s="49">
        <f t="shared" si="27"/>
        <v>11.052166224580018</v>
      </c>
      <c r="AD89" s="49" t="str">
        <f t="shared" si="30"/>
        <v>0.998368792767215-0.0403221472482668i</v>
      </c>
      <c r="AE89" s="49" t="str">
        <f t="shared" si="31"/>
        <v>0.999999979469657-0.000254919642418872i</v>
      </c>
      <c r="AF89" s="49" t="str">
        <f t="shared" si="45"/>
        <v>8.08680404110341-0.328674941201078i</v>
      </c>
      <c r="AG89" s="49">
        <f t="shared" si="32"/>
        <v>8.0934805131154768</v>
      </c>
      <c r="AH89" s="49">
        <f t="shared" si="38"/>
        <v>-4.0621009381354739E-2</v>
      </c>
      <c r="AI89" s="49">
        <f t="shared" si="28"/>
        <v>-2.3274123971129499</v>
      </c>
      <c r="AJ89" s="49">
        <f t="shared" si="39"/>
        <v>18.162706507837648</v>
      </c>
      <c r="AL89" s="49" t="str">
        <f t="shared" si="40"/>
        <v>0.474588757106682-0.499353851226379i</v>
      </c>
      <c r="AM89" s="49" t="str">
        <f t="shared" si="41"/>
        <v>1.0000058850832+0.00822668962138185i</v>
      </c>
      <c r="AN89" s="49" t="str">
        <f t="shared" si="42"/>
        <v>-75.7034662603244+78.3528394582875i</v>
      </c>
      <c r="AO89" s="49">
        <f t="shared" si="33"/>
        <v>108.95036601592604</v>
      </c>
      <c r="AP89" s="49">
        <f t="shared" si="34"/>
        <v>2.3389987509698571</v>
      </c>
      <c r="AQ89" s="49">
        <f t="shared" si="35"/>
        <v>134.01475671694388</v>
      </c>
      <c r="AR89" s="49">
        <f t="shared" si="36"/>
        <v>40.744573871715239</v>
      </c>
      <c r="AS89" s="49">
        <f t="shared" si="43"/>
        <v>58.907280379552887</v>
      </c>
      <c r="AT89" s="49">
        <f t="shared" si="44"/>
        <v>131.68734431983094</v>
      </c>
    </row>
    <row r="90" spans="25:46">
      <c r="Y90" s="49">
        <v>88</v>
      </c>
      <c r="Z90" s="49">
        <f t="shared" si="29"/>
        <v>224.21567941678887</v>
      </c>
      <c r="AA90" s="49" t="str">
        <f t="shared" si="37"/>
        <v>1408.78866255086i</v>
      </c>
      <c r="AB90" s="49">
        <f t="shared" si="27"/>
        <v>11.052166224580018</v>
      </c>
      <c r="AD90" s="49" t="str">
        <f t="shared" si="30"/>
        <v>0.998155662102196-0.0428709285136304i</v>
      </c>
      <c r="AE90" s="49" t="str">
        <f t="shared" si="31"/>
        <v>0.999999976782235-0.000271091197113776i</v>
      </c>
      <c r="AF90" s="49" t="str">
        <f t="shared" si="45"/>
        <v>8.08506676099453-0.349450633552388i</v>
      </c>
      <c r="AG90" s="49">
        <f t="shared" si="32"/>
        <v>8.0926151690926673</v>
      </c>
      <c r="AH90" s="49">
        <f t="shared" si="38"/>
        <v>-4.319485322543392E-2</v>
      </c>
      <c r="AI90" s="49">
        <f t="shared" si="28"/>
        <v>-2.474882786504415</v>
      </c>
      <c r="AJ90" s="49">
        <f t="shared" si="39"/>
        <v>18.161777774579694</v>
      </c>
      <c r="AL90" s="49" t="str">
        <f t="shared" si="40"/>
        <v>0.444048702444146-0.49685959012765i</v>
      </c>
      <c r="AM90" s="49" t="str">
        <f t="shared" si="41"/>
        <v>1.00000665544049+0.00874857253134192i</v>
      </c>
      <c r="AN90" s="49" t="str">
        <f t="shared" si="42"/>
        <v>-70.9115276311377+77.9615293843479i</v>
      </c>
      <c r="AO90" s="49">
        <f t="shared" si="33"/>
        <v>105.38711882829014</v>
      </c>
      <c r="AP90" s="49">
        <f t="shared" si="34"/>
        <v>2.3088740486659969</v>
      </c>
      <c r="AQ90" s="49">
        <f t="shared" si="35"/>
        <v>132.28873841584468</v>
      </c>
      <c r="AR90" s="49">
        <f t="shared" si="36"/>
        <v>40.455750630497704</v>
      </c>
      <c r="AS90" s="49">
        <f t="shared" si="43"/>
        <v>58.617528405077394</v>
      </c>
      <c r="AT90" s="49">
        <f t="shared" si="44"/>
        <v>129.81385562934025</v>
      </c>
    </row>
    <row r="91" spans="25:46">
      <c r="Y91" s="49">
        <v>89</v>
      </c>
      <c r="Z91" s="49">
        <f t="shared" si="29"/>
        <v>238.43943988652958</v>
      </c>
      <c r="AA91" s="49" t="str">
        <f t="shared" si="37"/>
        <v>1498.15918534717i</v>
      </c>
      <c r="AB91" s="49">
        <f t="shared" si="27"/>
        <v>11.052166224580018</v>
      </c>
      <c r="AD91" s="49" t="str">
        <f t="shared" si="30"/>
        <v>0.997914742418906-0.0455795459733975i</v>
      </c>
      <c r="AE91" s="49" t="str">
        <f t="shared" si="31"/>
        <v>0.999999973743027-0.000288288640629541i</v>
      </c>
      <c r="AF91" s="49" t="str">
        <f t="shared" si="45"/>
        <v>8.08310296580999-0.371529186829899i</v>
      </c>
      <c r="AG91" s="49">
        <f t="shared" si="32"/>
        <v>8.091636885856456</v>
      </c>
      <c r="AH91" s="49">
        <f t="shared" si="38"/>
        <v>-4.593135597096016E-2</v>
      </c>
      <c r="AI91" s="49">
        <f t="shared" si="28"/>
        <v>-2.6316728444490303</v>
      </c>
      <c r="AJ91" s="49">
        <f t="shared" si="39"/>
        <v>18.160727709342694</v>
      </c>
      <c r="AL91" s="49" t="str">
        <f t="shared" si="40"/>
        <v>0.413925653056545-0.492535487856721i</v>
      </c>
      <c r="AM91" s="49" t="str">
        <f t="shared" si="41"/>
        <v>1.00000752663747+0.00930356245191135i</v>
      </c>
      <c r="AN91" s="49" t="str">
        <f t="shared" si="42"/>
        <v>-66.1850199038176+77.2831085715043i</v>
      </c>
      <c r="AO91" s="49">
        <f t="shared" si="33"/>
        <v>101.75035985264944</v>
      </c>
      <c r="AP91" s="49">
        <f t="shared" si="34"/>
        <v>2.2789924576045708</v>
      </c>
      <c r="AQ91" s="49">
        <f t="shared" si="35"/>
        <v>130.5766493628891</v>
      </c>
      <c r="AR91" s="49">
        <f t="shared" si="36"/>
        <v>40.15071907671539</v>
      </c>
      <c r="AS91" s="49">
        <f t="shared" si="43"/>
        <v>58.311446786058085</v>
      </c>
      <c r="AT91" s="49">
        <f t="shared" si="44"/>
        <v>127.94497651844007</v>
      </c>
    </row>
    <row r="92" spans="25:46">
      <c r="Y92" s="49">
        <v>90</v>
      </c>
      <c r="Z92" s="49">
        <f t="shared" si="29"/>
        <v>253.56552512868072</v>
      </c>
      <c r="AA92" s="49" t="str">
        <f t="shared" si="37"/>
        <v>1593.1991818958i</v>
      </c>
      <c r="AB92" s="49">
        <f t="shared" si="27"/>
        <v>11.052166224580018</v>
      </c>
      <c r="AD92" s="49" t="str">
        <f t="shared" si="30"/>
        <v>0.997642426657486-0.0484577655987454i</v>
      </c>
      <c r="AE92" s="49" t="str">
        <f t="shared" si="31"/>
        <v>0.999999970305987-0.000306577053181392i</v>
      </c>
      <c r="AF92" s="49" t="str">
        <f t="shared" si="45"/>
        <v>8.08088325352382-0.394990205664207i</v>
      </c>
      <c r="AG92" s="49">
        <f t="shared" si="32"/>
        <v>8.090530972665043</v>
      </c>
      <c r="AH92" s="49">
        <f t="shared" si="38"/>
        <v>-4.8840711029172736E-2</v>
      </c>
      <c r="AI92" s="49">
        <f t="shared" si="28"/>
        <v>-2.7983666103896492</v>
      </c>
      <c r="AJ92" s="49">
        <f t="shared" si="39"/>
        <v>18.159540496352594</v>
      </c>
      <c r="AL92" s="49" t="str">
        <f t="shared" si="40"/>
        <v>0.384433039475407-0.486460972365828i</v>
      </c>
      <c r="AM92" s="49" t="str">
        <f t="shared" si="41"/>
        <v>1.00000851187404+0.00989375959657306i</v>
      </c>
      <c r="AN92" s="49" t="str">
        <f t="shared" si="42"/>
        <v>-61.5574317527929+76.3300400219126i</v>
      </c>
      <c r="AO92" s="49">
        <f t="shared" si="33"/>
        <v>98.059127131269818</v>
      </c>
      <c r="AP92" s="49">
        <f t="shared" si="34"/>
        <v>2.2494663418791734</v>
      </c>
      <c r="AQ92" s="49">
        <f t="shared" si="35"/>
        <v>128.88492754640899</v>
      </c>
      <c r="AR92" s="49">
        <f t="shared" si="36"/>
        <v>39.829760461507256</v>
      </c>
      <c r="AS92" s="49">
        <f t="shared" si="43"/>
        <v>57.989300957859854</v>
      </c>
      <c r="AT92" s="49">
        <f t="shared" si="44"/>
        <v>126.08656093601934</v>
      </c>
    </row>
    <row r="93" spans="25:46">
      <c r="Y93" s="49">
        <v>91</v>
      </c>
      <c r="Z93" s="49">
        <f t="shared" si="29"/>
        <v>269.65117668612646</v>
      </c>
      <c r="AA93" s="49" t="str">
        <f t="shared" si="37"/>
        <v>1694.26831141796i</v>
      </c>
      <c r="AB93" s="49">
        <f t="shared" si="27"/>
        <v>11.052166224580018</v>
      </c>
      <c r="AD93" s="49" t="str">
        <f t="shared" si="30"/>
        <v>0.99733464406249-0.0515158978139384i</v>
      </c>
      <c r="AE93" s="49" t="str">
        <f t="shared" si="31"/>
        <v>0.999999966419038-0.000326025643540499i</v>
      </c>
      <c r="AF93" s="49" t="str">
        <f t="shared" si="45"/>
        <v>8.078374442414-0.419917732644281i</v>
      </c>
      <c r="AG93" s="49">
        <f t="shared" si="32"/>
        <v>8.0892808415851665</v>
      </c>
      <c r="AH93" s="49">
        <f t="shared" si="38"/>
        <v>-5.1933733194418012E-2</v>
      </c>
      <c r="AI93" s="49">
        <f t="shared" si="28"/>
        <v>-2.9755837263986193</v>
      </c>
      <c r="AJ93" s="49">
        <f t="shared" si="39"/>
        <v>18.15819826805733</v>
      </c>
      <c r="AL93" s="49" t="str">
        <f t="shared" si="40"/>
        <v>0.355766199065957-0.478744828346081i</v>
      </c>
      <c r="AM93" s="49" t="str">
        <f t="shared" si="41"/>
        <v>1.00000962607792+0.0105213974069598i</v>
      </c>
      <c r="AN93" s="49" t="str">
        <f t="shared" si="42"/>
        <v>-57.0594129136717+75.1193930204563i</v>
      </c>
      <c r="AO93" s="49">
        <f t="shared" si="33"/>
        <v>94.332920074673098</v>
      </c>
      <c r="AP93" s="49">
        <f t="shared" si="34"/>
        <v>2.2204023891455602</v>
      </c>
      <c r="AQ93" s="49">
        <f t="shared" si="35"/>
        <v>127.21968571880524</v>
      </c>
      <c r="AR93" s="49">
        <f t="shared" si="36"/>
        <v>39.493265564569825</v>
      </c>
      <c r="AS93" s="49">
        <f t="shared" si="43"/>
        <v>57.651463832627158</v>
      </c>
      <c r="AT93" s="49">
        <f t="shared" si="44"/>
        <v>124.24410199240661</v>
      </c>
    </row>
    <row r="94" spans="25:46">
      <c r="Y94" s="49">
        <v>92</v>
      </c>
      <c r="Z94" s="49">
        <f t="shared" si="29"/>
        <v>286.75726738211927</v>
      </c>
      <c r="AA94" s="49" t="str">
        <f t="shared" si="37"/>
        <v>1801.7490491423i</v>
      </c>
      <c r="AB94" s="49">
        <f t="shared" si="27"/>
        <v>11.052166224580018</v>
      </c>
      <c r="AD94" s="49" t="str">
        <f t="shared" si="30"/>
        <v>0.99698680182712-0.0547648170525426i</v>
      </c>
      <c r="AE94" s="49" t="str">
        <f t="shared" si="31"/>
        <v>0.999999962023287-0.000346708010942115i</v>
      </c>
      <c r="AF94" s="49" t="str">
        <f t="shared" si="45"/>
        <v>8.07553909539044-0.446400407724224i</v>
      </c>
      <c r="AG94" s="49">
        <f t="shared" si="32"/>
        <v>8.0878677663025513</v>
      </c>
      <c r="AH94" s="49">
        <f t="shared" si="38"/>
        <v>-5.5221892990229594E-2</v>
      </c>
      <c r="AI94" s="49">
        <f t="shared" si="28"/>
        <v>-3.1639814050632209</v>
      </c>
      <c r="AJ94" s="49">
        <f t="shared" si="39"/>
        <v>18.156680841682167</v>
      </c>
      <c r="AL94" s="49" t="str">
        <f t="shared" si="40"/>
        <v>0.328097645034638-0.469520585658779i</v>
      </c>
      <c r="AM94" s="49" t="str">
        <f t="shared" si="41"/>
        <v>1.00001088613089+0.0111888510035726i</v>
      </c>
      <c r="AN94" s="49" t="str">
        <f t="shared" si="42"/>
        <v>-52.7180318589036+73.6721195497344i</v>
      </c>
      <c r="AO94" s="49">
        <f t="shared" si="33"/>
        <v>90.591236231915573</v>
      </c>
      <c r="AP94" s="49">
        <f t="shared" si="34"/>
        <v>2.1918999503059693</v>
      </c>
      <c r="AQ94" s="49">
        <f t="shared" si="35"/>
        <v>125.58661626746691</v>
      </c>
      <c r="AR94" s="49">
        <f t="shared" si="36"/>
        <v>39.141723723908854</v>
      </c>
      <c r="AS94" s="49">
        <f t="shared" si="43"/>
        <v>57.298404565591021</v>
      </c>
      <c r="AT94" s="49">
        <f t="shared" si="44"/>
        <v>122.42263486240368</v>
      </c>
    </row>
    <row r="95" spans="25:46">
      <c r="Y95" s="49">
        <v>93</v>
      </c>
      <c r="Z95" s="49">
        <f t="shared" si="29"/>
        <v>304.94853168089651</v>
      </c>
      <c r="AA95" s="49" t="str">
        <f t="shared" si="37"/>
        <v>1916.0481337034i</v>
      </c>
      <c r="AB95" s="49">
        <f t="shared" si="27"/>
        <v>11.052166224580018</v>
      </c>
      <c r="AD95" s="49" t="str">
        <f t="shared" si="30"/>
        <v>0.996593719742989-0.0582159796006932i</v>
      </c>
      <c r="AE95" s="49" t="str">
        <f t="shared" si="31"/>
        <v>0.999999957052133-0.000368702423608911i</v>
      </c>
      <c r="AF95" s="49" t="str">
        <f t="shared" si="45"/>
        <v>8.0723349873092-0.474531613667321i</v>
      </c>
      <c r="AG95" s="49">
        <f t="shared" si="32"/>
        <v>8.0862706113328873</v>
      </c>
      <c r="AH95" s="49">
        <f t="shared" si="38"/>
        <v>-5.8717352182895172E-2</v>
      </c>
      <c r="AI95" s="49">
        <f t="shared" si="28"/>
        <v>-3.3642564642631649</v>
      </c>
      <c r="AJ95" s="49">
        <f t="shared" si="39"/>
        <v>18.154965422718561</v>
      </c>
      <c r="AL95" s="49" t="str">
        <f t="shared" si="40"/>
        <v>0.301573624138211-0.458941143680054i</v>
      </c>
      <c r="AM95" s="49" t="str">
        <f t="shared" si="41"/>
        <v>1.00001231112455+0.0118986461723963i</v>
      </c>
      <c r="AN95" s="49" t="str">
        <f t="shared" si="42"/>
        <v>-48.5562356793184+72.0122108147993i</v>
      </c>
      <c r="AO95" s="49">
        <f t="shared" si="33"/>
        <v>86.853131951476627</v>
      </c>
      <c r="AP95" s="49">
        <f t="shared" si="34"/>
        <v>2.1640496887739036</v>
      </c>
      <c r="AQ95" s="49">
        <f t="shared" si="35"/>
        <v>123.99091382334402</v>
      </c>
      <c r="AR95" s="49">
        <f t="shared" si="36"/>
        <v>38.775709677244187</v>
      </c>
      <c r="AS95" s="49">
        <f t="shared" si="43"/>
        <v>56.930675099962748</v>
      </c>
      <c r="AT95" s="49">
        <f t="shared" si="44"/>
        <v>120.62665735908085</v>
      </c>
    </row>
    <row r="96" spans="25:46">
      <c r="Y96" s="49">
        <v>94</v>
      </c>
      <c r="Z96" s="49">
        <f t="shared" si="29"/>
        <v>324.29381066187881</v>
      </c>
      <c r="AA96" s="49" t="str">
        <f t="shared" si="37"/>
        <v>2037.59810636i</v>
      </c>
      <c r="AB96" s="49">
        <f t="shared" si="27"/>
        <v>11.052166224580018</v>
      </c>
      <c r="AD96" s="49" t="str">
        <f t="shared" si="30"/>
        <v>0.996149557115598-0.0618814390495571i</v>
      </c>
      <c r="AE96" s="49" t="str">
        <f t="shared" si="31"/>
        <v>0.999999951430253-0.000392092114943549i</v>
      </c>
      <c r="AF96" s="49" t="str">
        <f t="shared" si="45"/>
        <v>8.06871450924265-0.504409602002023i</v>
      </c>
      <c r="AG96" s="49">
        <f t="shared" si="32"/>
        <v>8.0844655282989919</v>
      </c>
      <c r="AH96" s="49">
        <f t="shared" si="38"/>
        <v>-6.243300033757658E-2</v>
      </c>
      <c r="AI96" s="49">
        <f t="shared" si="28"/>
        <v>-3.5771474216819819</v>
      </c>
      <c r="AJ96" s="49">
        <f t="shared" si="39"/>
        <v>18.153026271408478</v>
      </c>
      <c r="AL96" s="49" t="str">
        <f t="shared" si="40"/>
        <v>0.276312055836842-0.447173013090079i</v>
      </c>
      <c r="AM96" s="49" t="str">
        <f t="shared" si="41"/>
        <v>1.00001392264953+0.0126534689213629i</v>
      </c>
      <c r="AN96" s="49" t="str">
        <f t="shared" si="42"/>
        <v>-44.592526723448+70.1657937424496i</v>
      </c>
      <c r="AO96" s="49">
        <f t="shared" si="33"/>
        <v>83.136827285441939</v>
      </c>
      <c r="AP96" s="49">
        <f t="shared" si="34"/>
        <v>2.1369325746578802</v>
      </c>
      <c r="AQ96" s="49">
        <f t="shared" si="35"/>
        <v>122.43721763192124</v>
      </c>
      <c r="AR96" s="49">
        <f t="shared" si="36"/>
        <v>38.395868933902634</v>
      </c>
      <c r="AS96" s="49">
        <f t="shared" si="43"/>
        <v>56.548895205311112</v>
      </c>
      <c r="AT96" s="49">
        <f t="shared" si="44"/>
        <v>118.86007021023926</v>
      </c>
    </row>
    <row r="97" spans="25:46">
      <c r="Y97" s="49">
        <v>95</v>
      </c>
      <c r="Z97" s="49">
        <f t="shared" si="29"/>
        <v>344.8663125345048</v>
      </c>
      <c r="AA97" s="49" t="str">
        <f t="shared" si="37"/>
        <v>2166.858947858i</v>
      </c>
      <c r="AB97" s="49">
        <f t="shared" si="27"/>
        <v>11.052166224580018</v>
      </c>
      <c r="AD97" s="49" t="str">
        <f t="shared" si="30"/>
        <v>0.995647731156142-0.065773858531134i</v>
      </c>
      <c r="AE97" s="49" t="str">
        <f t="shared" si="31"/>
        <v>0.999999945072468-0.000416965598511518i</v>
      </c>
      <c r="AF97" s="49" t="str">
        <f t="shared" si="45"/>
        <v>8.06462400327121-0.536137592758081i</v>
      </c>
      <c r="AG97" s="49">
        <f t="shared" si="32"/>
        <v>8.0824256156494609</v>
      </c>
      <c r="AH97" s="49">
        <f t="shared" si="38"/>
        <v>-6.6382492245904631E-2</v>
      </c>
      <c r="AI97" s="49">
        <f t="shared" si="28"/>
        <v>-3.8034366392502488</v>
      </c>
      <c r="AJ97" s="49">
        <f t="shared" si="39"/>
        <v>18.150834327876307</v>
      </c>
      <c r="AL97" s="49" t="str">
        <f t="shared" si="40"/>
        <v>0.252401829896446-0.434390545662968i</v>
      </c>
      <c r="AM97" s="49" t="str">
        <f t="shared" si="41"/>
        <v>1.00001574512268+0.0134561756427698i</v>
      </c>
      <c r="AN97" s="49" t="str">
        <f t="shared" si="42"/>
        <v>-40.8408523866113+68.1602255978266i</v>
      </c>
      <c r="AO97" s="49">
        <f t="shared" si="33"/>
        <v>79.459370606691763</v>
      </c>
      <c r="AP97" s="49">
        <f t="shared" si="34"/>
        <v>2.1106192358777447</v>
      </c>
      <c r="AQ97" s="49">
        <f t="shared" si="35"/>
        <v>120.92957437492154</v>
      </c>
      <c r="AR97" s="49">
        <f t="shared" si="36"/>
        <v>38.002902414204826</v>
      </c>
      <c r="AS97" s="49">
        <f t="shared" si="43"/>
        <v>56.153736742081136</v>
      </c>
      <c r="AT97" s="49">
        <f t="shared" si="44"/>
        <v>117.12613773567129</v>
      </c>
    </row>
    <row r="98" spans="25:46">
      <c r="Y98" s="49">
        <v>96</v>
      </c>
      <c r="Z98" s="49">
        <f t="shared" si="29"/>
        <v>366.74388967956821</v>
      </c>
      <c r="AA98" s="49" t="str">
        <f t="shared" si="37"/>
        <v>2304.31981913255i</v>
      </c>
      <c r="AB98" s="49">
        <f t="shared" si="27"/>
        <v>11.052166224580018</v>
      </c>
      <c r="AD98" s="49" t="str">
        <f t="shared" si="30"/>
        <v>0.995080826016637-0.0699065187364784i</v>
      </c>
      <c r="AE98" s="49" t="str">
        <f t="shared" si="31"/>
        <v>0.999999937882448-0.00044341700300631i</v>
      </c>
      <c r="AF98" s="49" t="str">
        <f t="shared" si="45"/>
        <v>8.0600030210064-0.569823839824112i</v>
      </c>
      <c r="AG98" s="49">
        <f t="shared" si="32"/>
        <v>8.0801205379043815</v>
      </c>
      <c r="AH98" s="49">
        <f t="shared" si="38"/>
        <v>-7.0580285997907111E-2</v>
      </c>
      <c r="AI98" s="49">
        <f t="shared" si="28"/>
        <v>-4.0439525045063771</v>
      </c>
      <c r="AJ98" s="49">
        <f t="shared" si="39"/>
        <v>18.148356791126041</v>
      </c>
      <c r="AL98" s="49" t="str">
        <f t="shared" si="40"/>
        <v>0.229903340744827-0.420770477409235i</v>
      </c>
      <c r="AM98" s="49" t="str">
        <f t="shared" si="41"/>
        <v>1.00001780615698+0.0143098039200297i</v>
      </c>
      <c r="AN98" s="49" t="str">
        <f t="shared" si="42"/>
        <v>-37.31068895492+66.0232377681811i</v>
      </c>
      <c r="AO98" s="49">
        <f t="shared" si="33"/>
        <v>75.836372775104195</v>
      </c>
      <c r="AP98" s="49">
        <f t="shared" si="34"/>
        <v>2.0851696566760074</v>
      </c>
      <c r="AQ98" s="49">
        <f t="shared" si="35"/>
        <v>119.47142089627809</v>
      </c>
      <c r="AR98" s="49">
        <f t="shared" si="36"/>
        <v>37.597551053733923</v>
      </c>
      <c r="AS98" s="49">
        <f t="shared" si="43"/>
        <v>55.745907844859964</v>
      </c>
      <c r="AT98" s="49">
        <f t="shared" si="44"/>
        <v>115.42746839177171</v>
      </c>
    </row>
    <row r="99" spans="25:46">
      <c r="Y99" s="49">
        <v>97</v>
      </c>
      <c r="Z99" s="49">
        <f t="shared" si="29"/>
        <v>390.00933326545766</v>
      </c>
      <c r="AA99" s="49" t="str">
        <f t="shared" si="37"/>
        <v>2450.50091243643i</v>
      </c>
      <c r="AB99" s="49">
        <f t="shared" si="27"/>
        <v>11.052166224580018</v>
      </c>
      <c r="AD99" s="49" t="str">
        <f t="shared" si="30"/>
        <v>0.994440491601595-0.0742933205092364i</v>
      </c>
      <c r="AE99" s="49" t="str">
        <f t="shared" si="31"/>
        <v>0.999999929751253-0.000471546428464654i</v>
      </c>
      <c r="AF99" s="49" t="str">
        <f t="shared" si="45"/>
        <v>8.05478349878007-0.605581652087186i</v>
      </c>
      <c r="AG99" s="49">
        <f t="shared" si="32"/>
        <v>8.0775161002355382</v>
      </c>
      <c r="AH99" s="49">
        <f t="shared" si="38"/>
        <v>-7.5041681403326524E-2</v>
      </c>
      <c r="AI99" s="49">
        <f t="shared" si="28"/>
        <v>-4.2995716319759669</v>
      </c>
      <c r="AJ99" s="49">
        <f t="shared" si="39"/>
        <v>18.145556646666385</v>
      </c>
      <c r="AL99" s="49" t="str">
        <f t="shared" si="40"/>
        <v>0.208850064185567-0.406487041460428i</v>
      </c>
      <c r="AM99" s="49" t="str">
        <f t="shared" si="41"/>
        <v>1.0000201369799+0.0152175840195589i</v>
      </c>
      <c r="AN99" s="49" t="str">
        <f t="shared" si="42"/>
        <v>-34.007289002173+63.7821689430687i</v>
      </c>
      <c r="AO99" s="49">
        <f t="shared" si="33"/>
        <v>72.281815004601768</v>
      </c>
      <c r="AP99" s="49">
        <f t="shared" si="34"/>
        <v>2.0606331960060773</v>
      </c>
      <c r="AQ99" s="49">
        <f t="shared" si="35"/>
        <v>118.06558525570235</v>
      </c>
      <c r="AR99" s="49">
        <f t="shared" si="36"/>
        <v>37.180580984193654</v>
      </c>
      <c r="AS99" s="49">
        <f t="shared" si="43"/>
        <v>55.326137630860039</v>
      </c>
      <c r="AT99" s="49">
        <f t="shared" si="44"/>
        <v>113.76601362372638</v>
      </c>
    </row>
    <row r="100" spans="25:46">
      <c r="Y100" s="49">
        <v>98</v>
      </c>
      <c r="Z100" s="49">
        <f t="shared" si="29"/>
        <v>414.75068655422291</v>
      </c>
      <c r="AA100" s="49" t="str">
        <f t="shared" si="37"/>
        <v>2605.95541990014i</v>
      </c>
      <c r="AB100" s="49">
        <f t="shared" si="27"/>
        <v>11.052166224580018</v>
      </c>
      <c r="AD100" s="49" t="str">
        <f t="shared" si="30"/>
        <v>0.993717331270691-0.0789487805657347i</v>
      </c>
      <c r="AE100" s="49" t="str">
        <f t="shared" si="31"/>
        <v>0.999999920555684-0.000501460325080025i</v>
      </c>
      <c r="AF100" s="49" t="str">
        <f t="shared" si="45"/>
        <v>8.04888884228141-0.643529358545193i</v>
      </c>
      <c r="AG100" s="49">
        <f t="shared" si="32"/>
        <v>8.0745737739345582</v>
      </c>
      <c r="AH100" s="49">
        <f t="shared" ref="AH100:AH131" si="46">IMARGUMENT(AF100)</f>
        <v>-7.9782858385842328E-2</v>
      </c>
      <c r="AI100" s="49">
        <f t="shared" si="28"/>
        <v>-4.5712210629986929</v>
      </c>
      <c r="AJ100" s="49">
        <f t="shared" ref="AJ100:AJ131" si="47">20*LOG(AG100,10)</f>
        <v>18.142392137056632</v>
      </c>
      <c r="AL100" s="49" t="str">
        <f t="shared" ref="AL100:AL131" si="48">IMDIV(1,IMSUM(1,IMDIV(AA100,wp2e)))</f>
        <v>0.189250939151372-0.391707826296202i</v>
      </c>
      <c r="AM100" s="49" t="str">
        <f t="shared" ref="AM100:AM131" si="49">IMDIV(IMSUM(1,IMDIV(AA100,wz2e)),IMSUM(1,IMDIV(AA100,wp1e)))</f>
        <v>1.00002277290655+0.016182951111183i</v>
      </c>
      <c r="AN100" s="49" t="str">
        <f t="shared" ref="AN100:AN131" si="50">IMPRODUCT($AK$2,AL100,AM100)</f>
        <v>-30.9320551028135+61.4633152438324i</v>
      </c>
      <c r="AO100" s="49">
        <f t="shared" si="33"/>
        <v>68.807929438737006</v>
      </c>
      <c r="AP100" s="49">
        <f t="shared" si="34"/>
        <v>2.0370488849650643</v>
      </c>
      <c r="AQ100" s="49">
        <f t="shared" si="35"/>
        <v>116.71430377032851</v>
      </c>
      <c r="AR100" s="49">
        <f t="shared" si="36"/>
        <v>36.75276978594669</v>
      </c>
      <c r="AS100" s="49">
        <f t="shared" ref="AS100:AS131" si="51">AR100+AJ100</f>
        <v>54.895161923003322</v>
      </c>
      <c r="AT100" s="49">
        <f t="shared" ref="AT100:AT131" si="52">AQ100+AI100</f>
        <v>112.14308270732982</v>
      </c>
    </row>
    <row r="101" spans="25:46">
      <c r="Y101" s="49">
        <v>99</v>
      </c>
      <c r="Z101" s="49">
        <f t="shared" si="29"/>
        <v>441.06157808309626</v>
      </c>
      <c r="AA101" s="49" t="str">
        <f t="shared" si="37"/>
        <v>2771.27162697315i</v>
      </c>
      <c r="AB101" s="49">
        <f t="shared" si="27"/>
        <v>11.052166224580018</v>
      </c>
      <c r="AD101" s="49" t="str">
        <f t="shared" si="30"/>
        <v>0.99290077754982-0.083888018611077i</v>
      </c>
      <c r="AE101" s="49" t="str">
        <f t="shared" si="31"/>
        <v>0.999999910156413-0.000533271896048137i</v>
      </c>
      <c r="AF101" s="49" t="str">
        <f t="shared" si="45"/>
        <v>8.04223291344738-0.683790203285919i</v>
      </c>
      <c r="AG101" s="49">
        <f t="shared" si="32"/>
        <v>8.0712501681118862</v>
      </c>
      <c r="AH101" s="49">
        <f t="shared" si="46"/>
        <v>-8.4820914876045997E-2</v>
      </c>
      <c r="AI101" s="49">
        <f t="shared" si="28"/>
        <v>-4.8598804368358559</v>
      </c>
      <c r="AJ101" s="49">
        <f t="shared" si="47"/>
        <v>18.138816169191813</v>
      </c>
      <c r="AL101" s="49" t="str">
        <f t="shared" si="48"/>
        <v>0.171093303056415-0.376590473466418i</v>
      </c>
      <c r="AM101" s="49" t="str">
        <f t="shared" si="49"/>
        <v>1.00002575387468+0.0172095582631729i</v>
      </c>
      <c r="AN101" s="49" t="str">
        <f t="shared" si="50"/>
        <v>-28.0830004082571+59.0914120755392i</v>
      </c>
      <c r="AO101" s="49">
        <f t="shared" si="33"/>
        <v>65.425147252500309</v>
      </c>
      <c r="AP101" s="49">
        <f t="shared" si="34"/>
        <v>2.0144459541665096</v>
      </c>
      <c r="AQ101" s="49">
        <f t="shared" si="35"/>
        <v>115.41925123094506</v>
      </c>
      <c r="AR101" s="49">
        <f t="shared" si="36"/>
        <v>36.314894175608295</v>
      </c>
      <c r="AS101" s="49">
        <f t="shared" si="51"/>
        <v>54.453710344800108</v>
      </c>
      <c r="AT101" s="49">
        <f t="shared" si="52"/>
        <v>110.55937079410921</v>
      </c>
    </row>
    <row r="102" spans="25:46">
      <c r="Y102" s="49">
        <v>100</v>
      </c>
      <c r="Z102" s="49">
        <f t="shared" si="29"/>
        <v>469.04157598234281</v>
      </c>
      <c r="AA102" s="49" t="str">
        <f t="shared" si="37"/>
        <v>2947.07513866861i</v>
      </c>
      <c r="AB102" s="49">
        <f t="shared" si="27"/>
        <v>11.052166224580018</v>
      </c>
      <c r="AD102" s="49" t="str">
        <f t="shared" si="30"/>
        <v>0.991978955001235-0.0891267337942182i</v>
      </c>
      <c r="AE102" s="49" t="str">
        <f t="shared" si="31"/>
        <v>0.999999898395875-0.000567101525969147i</v>
      </c>
      <c r="AF102" s="49" t="str">
        <f t="shared" si="45"/>
        <v>8.03471891268369-0.726492153565463i</v>
      </c>
      <c r="AG102" s="49">
        <f t="shared" si="32"/>
        <v>8.0674964428271778</v>
      </c>
      <c r="AH102" s="49">
        <f t="shared" si="46"/>
        <v>-9.017390361266045E-2</v>
      </c>
      <c r="AI102" s="49">
        <f t="shared" si="28"/>
        <v>-5.1665840992249308</v>
      </c>
      <c r="AJ102" s="49">
        <f t="shared" si="47"/>
        <v>18.13477565168094</v>
      </c>
      <c r="AL102" s="49" t="str">
        <f t="shared" si="48"/>
        <v>0.154346139462886-0.361280235683865i</v>
      </c>
      <c r="AM102" s="49" t="str">
        <f t="shared" si="49"/>
        <v>1.00002912504987+0.0183012902609284i</v>
      </c>
      <c r="AN102" s="49" t="str">
        <f t="shared" si="50"/>
        <v>-25.4552582274013+56.6892509769121i</v>
      </c>
      <c r="AO102" s="49">
        <f t="shared" si="33"/>
        <v>62.142106077497971</v>
      </c>
      <c r="AP102" s="49">
        <f t="shared" si="34"/>
        <v>1.9928445384714626</v>
      </c>
      <c r="AQ102" s="49">
        <f t="shared" si="35"/>
        <v>114.18158128011123</v>
      </c>
      <c r="AR102" s="49">
        <f t="shared" si="36"/>
        <v>35.867719359562301</v>
      </c>
      <c r="AS102" s="49">
        <f t="shared" si="51"/>
        <v>54.002495011243241</v>
      </c>
      <c r="AT102" s="49">
        <f t="shared" si="52"/>
        <v>109.0149971808863</v>
      </c>
    </row>
    <row r="103" spans="25:46">
      <c r="Y103" s="49">
        <v>101</v>
      </c>
      <c r="Z103" s="49">
        <f t="shared" si="29"/>
        <v>498.79656477026373</v>
      </c>
      <c r="AA103" s="49" t="str">
        <f t="shared" si="37"/>
        <v>3134.03124703617i</v>
      </c>
      <c r="AB103" s="49">
        <f t="shared" si="27"/>
        <v>11.052166224580018</v>
      </c>
      <c r="AD103" s="49" t="str">
        <f t="shared" si="30"/>
        <v>0.990938529478046-0.0946811680693249i</v>
      </c>
      <c r="AE103" s="49" t="str">
        <f t="shared" si="31"/>
        <v>0.99999988509588-0.000603077236428042i</v>
      </c>
      <c r="AF103" s="49" t="str">
        <f t="shared" si="45"/>
        <v>8.02623815010136-0.771767601156528i</v>
      </c>
      <c r="AG103" s="49">
        <f t="shared" si="32"/>
        <v>8.0632576588087161</v>
      </c>
      <c r="AH103" s="49">
        <f t="shared" si="46"/>
        <v>-9.5860867123524166E-2</v>
      </c>
      <c r="AI103" s="49">
        <f t="shared" si="28"/>
        <v>-5.492423106642323</v>
      </c>
      <c r="AJ103" s="49">
        <f t="shared" si="47"/>
        <v>18.130210755235375</v>
      </c>
      <c r="AL103" s="49" t="str">
        <f t="shared" si="48"/>
        <v>0.138963424690507-0.345908356777909i</v>
      </c>
      <c r="AM103" s="49" t="str">
        <f t="shared" si="49"/>
        <v>1.0000329375097+0.0194622783014149i</v>
      </c>
      <c r="AN103" s="49" t="str">
        <f t="shared" si="50"/>
        <v>-23.0416071319332+54.2774254258121i</v>
      </c>
      <c r="AO103" s="49">
        <f t="shared" si="33"/>
        <v>58.96570672922482</v>
      </c>
      <c r="AP103" s="49">
        <f t="shared" si="34"/>
        <v>1.9722565071206035</v>
      </c>
      <c r="AQ103" s="49">
        <f t="shared" si="35"/>
        <v>113.00197397522398</v>
      </c>
      <c r="AR103" s="49">
        <f t="shared" si="36"/>
        <v>35.411990162243022</v>
      </c>
      <c r="AS103" s="49">
        <f t="shared" si="51"/>
        <v>53.542200917478397</v>
      </c>
      <c r="AT103" s="49">
        <f t="shared" si="52"/>
        <v>107.50955086858166</v>
      </c>
    </row>
    <row r="104" spans="25:46">
      <c r="Y104" s="49">
        <v>102</v>
      </c>
      <c r="Z104" s="49">
        <f t="shared" si="29"/>
        <v>530.4391460512702</v>
      </c>
      <c r="AA104" s="49" t="str">
        <f t="shared" si="37"/>
        <v>3332.84744882223i</v>
      </c>
      <c r="AB104" s="49">
        <f t="shared" si="27"/>
        <v>11.052166224580018</v>
      </c>
      <c r="AD104" s="49" t="str">
        <f t="shared" si="30"/>
        <v>0.989764543118055-0.100568053602122i</v>
      </c>
      <c r="AE104" s="49" t="str">
        <f t="shared" si="31"/>
        <v>0.999999870054913-0.00064133517047759i</v>
      </c>
      <c r="AF104" s="49" t="str">
        <f t="shared" si="45"/>
        <v>8.01666870051115-0.81975293364344i</v>
      </c>
      <c r="AG104" s="49">
        <f t="shared" si="32"/>
        <v>8.0584720590178982</v>
      </c>
      <c r="AH104" s="49">
        <f t="shared" si="46"/>
        <v>-0.10190186999514861</v>
      </c>
      <c r="AI104" s="49">
        <f t="shared" si="28"/>
        <v>-5.8385470752128139</v>
      </c>
      <c r="AJ104" s="49">
        <f t="shared" si="47"/>
        <v>18.125054088601779</v>
      </c>
      <c r="AL104" s="49" t="str">
        <f t="shared" si="48"/>
        <v>0.124887398625546-0.330591192093936i</v>
      </c>
      <c r="AM104" s="49" t="str">
        <f t="shared" si="49"/>
        <v>1.00003724901771+0.0206969156187275i</v>
      </c>
      <c r="AN104" s="49" t="str">
        <f t="shared" si="50"/>
        <v>-20.8329841680275+51.8741928257227i</v>
      </c>
      <c r="AO104" s="49">
        <f t="shared" si="33"/>
        <v>55.901208490206585</v>
      </c>
      <c r="AP104" s="49">
        <f t="shared" si="34"/>
        <v>1.9526863710854314</v>
      </c>
      <c r="AQ104" s="49">
        <f t="shared" si="35"/>
        <v>111.88068777591174</v>
      </c>
      <c r="AR104" s="49">
        <f t="shared" si="36"/>
        <v>34.948423934098777</v>
      </c>
      <c r="AS104" s="49">
        <f t="shared" si="51"/>
        <v>53.073478022700556</v>
      </c>
      <c r="AT104" s="49">
        <f t="shared" si="52"/>
        <v>106.04214070069892</v>
      </c>
    </row>
    <row r="105" spans="25:46">
      <c r="Y105" s="49">
        <v>103</v>
      </c>
      <c r="Z105" s="49">
        <f t="shared" si="29"/>
        <v>564.08906463337905</v>
      </c>
      <c r="AA105" s="49" t="str">
        <f t="shared" si="37"/>
        <v>3544.27612284512i</v>
      </c>
      <c r="AB105" s="49">
        <f t="shared" si="27"/>
        <v>11.052166224580018</v>
      </c>
      <c r="AD105" s="49" t="str">
        <f t="shared" si="30"/>
        <v>0.988440234633801-0.106804540875731i</v>
      </c>
      <c r="AE105" s="49" t="str">
        <f t="shared" si="31"/>
        <v>0.999999853045078-0.00068202010785768i</v>
      </c>
      <c r="AF105" s="49" t="str">
        <f t="shared" si="45"/>
        <v>8.00587393856368-0.870587948393941i</v>
      </c>
      <c r="AG105" s="49">
        <f t="shared" si="32"/>
        <v>8.053070277606043</v>
      </c>
      <c r="AH105" s="49">
        <f t="shared" si="46"/>
        <v>-0.10831802734882384</v>
      </c>
      <c r="AI105" s="49">
        <f t="shared" si="28"/>
        <v>-6.2061658122702319</v>
      </c>
      <c r="AJ105" s="49">
        <f t="shared" si="47"/>
        <v>18.11922978227901</v>
      </c>
      <c r="AL105" s="49" t="str">
        <f t="shared" si="48"/>
        <v>0.112051627901401-0.315429961459033i</v>
      </c>
      <c r="AM105" s="49" t="str">
        <f t="shared" si="49"/>
        <v>1.00004212489847+0.0220098740996415i</v>
      </c>
      <c r="AN105" s="49" t="str">
        <f t="shared" si="50"/>
        <v>-18.818965489743+49.4954357461991i</v>
      </c>
      <c r="AO105" s="49">
        <f t="shared" si="33"/>
        <v>52.952352372772459</v>
      </c>
      <c r="AP105" s="49">
        <f t="shared" si="34"/>
        <v>1.9341322253594071</v>
      </c>
      <c r="AQ105" s="49">
        <f t="shared" si="35"/>
        <v>110.81761353333984</v>
      </c>
      <c r="AR105" s="49">
        <f t="shared" si="36"/>
        <v>34.477705162268251</v>
      </c>
      <c r="AS105" s="49">
        <f t="shared" si="51"/>
        <v>52.596934944547257</v>
      </c>
      <c r="AT105" s="49">
        <f t="shared" si="52"/>
        <v>104.61144772106961</v>
      </c>
    </row>
    <row r="106" spans="25:46">
      <c r="Y106" s="49">
        <v>104</v>
      </c>
      <c r="Z106" s="49">
        <f t="shared" si="29"/>
        <v>599.87366167768641</v>
      </c>
      <c r="AA106" s="49" t="str">
        <f t="shared" si="37"/>
        <v>3769.11737721726i</v>
      </c>
      <c r="AB106" s="49">
        <f t="shared" si="27"/>
        <v>11.052166224580018</v>
      </c>
      <c r="AD106" s="49" t="str">
        <f t="shared" si="30"/>
        <v>0.986946844750883-0.11340810361018i</v>
      </c>
      <c r="AE106" s="49" t="str">
        <f t="shared" si="31"/>
        <v>0.999999833808652-0.000725286012901301i</v>
      </c>
      <c r="AF106" s="49" t="str">
        <f t="shared" si="45"/>
        <v>7.99370095282975-0.92441507753349i</v>
      </c>
      <c r="AG106" s="49">
        <f t="shared" si="32"/>
        <v>8.0469744723618017</v>
      </c>
      <c r="AH106" s="49">
        <f t="shared" si="46"/>
        <v>-0.1151315282188838</v>
      </c>
      <c r="AI106" s="49">
        <f t="shared" si="28"/>
        <v>-6.5965506558333811</v>
      </c>
      <c r="AJ106" s="49">
        <f t="shared" si="47"/>
        <v>18.112652472096467</v>
      </c>
      <c r="AL106" s="49" t="str">
        <f t="shared" si="48"/>
        <v>0.10038377170978-0.300511014918087i</v>
      </c>
      <c r="AM106" s="49" t="str">
        <f t="shared" si="49"/>
        <v>1.00004763902733+0.0234061219516929i</v>
      </c>
      <c r="AN106" s="49" t="str">
        <f t="shared" si="50"/>
        <v>-16.9882003331633+47.1547036205411i</v>
      </c>
      <c r="AO106" s="49">
        <f t="shared" si="33"/>
        <v>50.12150261216</v>
      </c>
      <c r="AP106" s="49">
        <f t="shared" si="34"/>
        <v>1.9165866909797304</v>
      </c>
      <c r="AQ106" s="49">
        <f t="shared" si="35"/>
        <v>109.81232846408268</v>
      </c>
      <c r="AR106" s="49">
        <f t="shared" si="36"/>
        <v>34.000481648033428</v>
      </c>
      <c r="AS106" s="49">
        <f t="shared" si="51"/>
        <v>52.113134120129899</v>
      </c>
      <c r="AT106" s="49">
        <f t="shared" si="52"/>
        <v>103.2157778082493</v>
      </c>
    </row>
    <row r="107" spans="25:46">
      <c r="Y107" s="49">
        <v>105</v>
      </c>
      <c r="Z107" s="49">
        <f t="shared" si="29"/>
        <v>637.92835659466812</v>
      </c>
      <c r="AA107" s="49" t="str">
        <f t="shared" si="37"/>
        <v>4008.22207718884i</v>
      </c>
      <c r="AB107" s="49">
        <f t="shared" si="27"/>
        <v>11.052166224580018</v>
      </c>
      <c r="AD107" s="49" t="str">
        <f t="shared" si="30"/>
        <v>0.985263407060471-0.120396416015715i</v>
      </c>
      <c r="AE107" s="49" t="str">
        <f t="shared" si="31"/>
        <v>0.99999981205417-0.000771296617201112i</v>
      </c>
      <c r="AF107" s="49" t="str">
        <f t="shared" si="45"/>
        <v>7.9799788409878-0.981378387405542i</v>
      </c>
      <c r="AG107" s="49">
        <f t="shared" si="32"/>
        <v>8.0400973776366484</v>
      </c>
      <c r="AH107" s="49">
        <f t="shared" si="46"/>
        <v>-0.12236565227136607</v>
      </c>
      <c r="AI107" s="49">
        <f t="shared" si="28"/>
        <v>-7.0110354325146922</v>
      </c>
      <c r="AJ107" s="49">
        <f t="shared" si="47"/>
        <v>18.105226174755479</v>
      </c>
      <c r="AL107" s="49" t="str">
        <f t="shared" si="48"/>
        <v>0.0898079982242557-0.285906491145633i</v>
      </c>
      <c r="AM107" s="49" t="str">
        <f t="shared" si="49"/>
        <v>1.00005387494961+0.024890942490251i</v>
      </c>
      <c r="AN107" s="49" t="str">
        <f t="shared" si="50"/>
        <v>-15.3287901692704+44.8633160570285i</v>
      </c>
      <c r="AO107" s="49">
        <f t="shared" si="33"/>
        <v>47.409797887001716</v>
      </c>
      <c r="AP107" s="49">
        <f t="shared" si="34"/>
        <v>1.9000378289987663</v>
      </c>
      <c r="AQ107" s="49">
        <f t="shared" si="35"/>
        <v>108.86414851682893</v>
      </c>
      <c r="AR107" s="49">
        <f t="shared" si="36"/>
        <v>33.517362077589013</v>
      </c>
      <c r="AS107" s="49">
        <f t="shared" si="51"/>
        <v>51.622588252344492</v>
      </c>
      <c r="AT107" s="49">
        <f t="shared" si="52"/>
        <v>101.85311308431424</v>
      </c>
    </row>
    <row r="108" spans="25:46">
      <c r="Y108" s="49">
        <v>106</v>
      </c>
      <c r="Z108" s="49">
        <f t="shared" si="29"/>
        <v>678.39715951094945</v>
      </c>
      <c r="AA108" s="49" t="str">
        <f t="shared" si="37"/>
        <v>4262.49506507156i</v>
      </c>
      <c r="AB108" s="49">
        <f t="shared" si="27"/>
        <v>11.052166224580018</v>
      </c>
      <c r="AD108" s="49" t="str">
        <f t="shared" si="30"/>
        <v>0.983366525114906-0.127787197259569i</v>
      </c>
      <c r="AE108" s="49" t="str">
        <f t="shared" si="31"/>
        <v>0.999999787452019-0.000820226039242357i</v>
      </c>
      <c r="AF108" s="49" t="str">
        <f t="shared" si="45"/>
        <v>7.96451689287575-1.04162231078067i</v>
      </c>
      <c r="AG108" s="49">
        <f t="shared" si="32"/>
        <v>8.0323412760675978</v>
      </c>
      <c r="AH108" s="49">
        <f t="shared" si="46"/>
        <v>-0.13004477800593739</v>
      </c>
      <c r="AI108" s="49">
        <f t="shared" si="28"/>
        <v>-7.4510169274559264</v>
      </c>
      <c r="AJ108" s="49">
        <f t="shared" si="47"/>
        <v>18.09684304772275</v>
      </c>
      <c r="AL108" s="49" t="str">
        <f t="shared" si="48"/>
        <v>0.0802470309664783-0.27167525648749i</v>
      </c>
      <c r="AM108" s="49" t="str">
        <f t="shared" si="49"/>
        <v>1.00006092714635+0.0264699541151976i</v>
      </c>
      <c r="AN108" s="49" t="str">
        <f t="shared" si="50"/>
        <v>-13.8286097923346+42.6305101829768i</v>
      </c>
      <c r="AO108" s="49">
        <f t="shared" si="33"/>
        <v>44.817305220746377</v>
      </c>
      <c r="AP108" s="49">
        <f t="shared" si="34"/>
        <v>1.8844700057970132</v>
      </c>
      <c r="AQ108" s="49">
        <f t="shared" si="35"/>
        <v>107.97217795116264</v>
      </c>
      <c r="AR108" s="49">
        <f t="shared" si="36"/>
        <v>33.02891479367122</v>
      </c>
      <c r="AS108" s="49">
        <f t="shared" si="51"/>
        <v>51.12575784139397</v>
      </c>
      <c r="AT108" s="49">
        <f t="shared" si="52"/>
        <v>100.52116102370671</v>
      </c>
    </row>
    <row r="109" spans="25:46">
      <c r="Y109" s="49">
        <v>107</v>
      </c>
      <c r="Z109" s="49">
        <f t="shared" si="29"/>
        <v>721.43321624585462</v>
      </c>
      <c r="AA109" s="49" t="str">
        <f t="shared" si="37"/>
        <v>4532.89858442727i</v>
      </c>
      <c r="AB109" s="49">
        <f t="shared" si="27"/>
        <v>11.052166224580018</v>
      </c>
      <c r="AD109" s="49" t="str">
        <f t="shared" si="30"/>
        <v>0.981230137342893-0.135598017352374i</v>
      </c>
      <c r="AE109" s="49" t="str">
        <f t="shared" si="31"/>
        <v>0.999999759629437-0.000872259443347782i</v>
      </c>
      <c r="AF109" s="49" t="str">
        <f t="shared" si="45"/>
        <v>7.94710267425706-1.10529006458765i</v>
      </c>
      <c r="AG109" s="49">
        <f t="shared" si="32"/>
        <v>8.0235968893046898</v>
      </c>
      <c r="AH109" s="49">
        <f t="shared" si="46"/>
        <v>-0.13819438024792807</v>
      </c>
      <c r="AI109" s="49">
        <f t="shared" si="28"/>
        <v>-7.9179547406323456</v>
      </c>
      <c r="AJ109" s="49">
        <f t="shared" si="47"/>
        <v>18.087382026497782</v>
      </c>
      <c r="AL109" s="49" t="str">
        <f t="shared" si="48"/>
        <v>0.0716238286790997-0.257864025882725i</v>
      </c>
      <c r="AM109" s="49" t="str">
        <f t="shared" si="49"/>
        <v>1.00006890246563+0.0281491315522334i</v>
      </c>
      <c r="AN109" s="49" t="str">
        <f t="shared" si="50"/>
        <v>-12.4755709030414+40.4636165271621i</v>
      </c>
      <c r="AO109" s="49">
        <f t="shared" si="33"/>
        <v>42.343171017462062</v>
      </c>
      <c r="AP109" s="49">
        <f t="shared" si="34"/>
        <v>1.8698646956302594</v>
      </c>
      <c r="AQ109" s="49">
        <f t="shared" si="35"/>
        <v>107.13535532012813</v>
      </c>
      <c r="AR109" s="49">
        <f t="shared" si="36"/>
        <v>32.535667571456209</v>
      </c>
      <c r="AS109" s="49">
        <f t="shared" si="51"/>
        <v>50.623049597953994</v>
      </c>
      <c r="AT109" s="49">
        <f t="shared" si="52"/>
        <v>99.217400579495788</v>
      </c>
    </row>
    <row r="110" spans="25:46">
      <c r="Y110" s="49">
        <v>108</v>
      </c>
      <c r="Z110" s="49">
        <f t="shared" si="29"/>
        <v>767.19938786011153</v>
      </c>
      <c r="AA110" s="49" t="str">
        <f t="shared" si="37"/>
        <v>4820.45592147983i</v>
      </c>
      <c r="AB110" s="49">
        <f t="shared" si="27"/>
        <v>11.052166224580018</v>
      </c>
      <c r="AD110" s="49" t="str">
        <f t="shared" si="30"/>
        <v>0.978825272333688-0.143846057976822i</v>
      </c>
      <c r="AE110" s="49" t="str">
        <f t="shared" si="31"/>
        <v>0.999999728164866-0.000927593740429217i</v>
      </c>
      <c r="AF110" s="49" t="str">
        <f t="shared" si="45"/>
        <v>7.92750003208219-1.17252170036782i</v>
      </c>
      <c r="AG110" s="49">
        <f t="shared" si="32"/>
        <v>8.0137421905434767</v>
      </c>
      <c r="AH110" s="49">
        <f t="shared" si="46"/>
        <v>-0.14684101435944849</v>
      </c>
      <c r="AI110" s="49">
        <f t="shared" si="28"/>
        <v>-8.4133703822163159</v>
      </c>
      <c r="AJ110" s="49">
        <f t="shared" si="47"/>
        <v>18.076707333370244</v>
      </c>
      <c r="AL110" s="49" t="str">
        <f t="shared" si="48"/>
        <v>0.0638629195773494-0.244508582835872i</v>
      </c>
      <c r="AM110" s="49" t="str">
        <f t="shared" si="49"/>
        <v>1.00007792174134+0.0299348284384973i</v>
      </c>
      <c r="AN110" s="49" t="str">
        <f t="shared" si="50"/>
        <v>-11.2578314613015+38.3682504440432i</v>
      </c>
      <c r="AO110" s="49">
        <f t="shared" si="33"/>
        <v>39.985765108947092</v>
      </c>
      <c r="AP110" s="49">
        <f t="shared" si="34"/>
        <v>1.8562012118929454</v>
      </c>
      <c r="AQ110" s="49">
        <f t="shared" si="35"/>
        <v>106.35249536853441</v>
      </c>
      <c r="AR110" s="49">
        <f t="shared" si="36"/>
        <v>32.038108209098752</v>
      </c>
      <c r="AS110" s="49">
        <f t="shared" si="51"/>
        <v>50.114815542468996</v>
      </c>
      <c r="AT110" s="49">
        <f t="shared" si="52"/>
        <v>97.939124986318092</v>
      </c>
    </row>
    <row r="111" spans="25:46">
      <c r="Y111" s="49">
        <v>109</v>
      </c>
      <c r="Z111" s="49">
        <f t="shared" si="29"/>
        <v>815.86886696986198</v>
      </c>
      <c r="AA111" s="49" t="str">
        <f t="shared" si="37"/>
        <v>5126.25527753029i</v>
      </c>
      <c r="AB111" s="49">
        <f t="shared" si="27"/>
        <v>11.052166224580018</v>
      </c>
      <c r="AD111" s="49" t="str">
        <f t="shared" si="30"/>
        <v>0.97611979828318-0.152547821122192i</v>
      </c>
      <c r="AE111" s="49" t="str">
        <f t="shared" si="31"/>
        <v>0.999999692581567-0.000986438333198902i</v>
      </c>
      <c r="AF111" s="49" t="str">
        <f t="shared" si="45"/>
        <v>7.90544705216224-1.24345172928213i</v>
      </c>
      <c r="AG111" s="49">
        <f t="shared" si="32"/>
        <v>8.0026411451217374</v>
      </c>
      <c r="AH111" s="49">
        <f t="shared" si="46"/>
        <v>-0.15601228417904259</v>
      </c>
      <c r="AI111" s="49">
        <f t="shared" si="28"/>
        <v>-8.9388454356547662</v>
      </c>
      <c r="AJ111" s="49">
        <f t="shared" si="47"/>
        <v>18.064666853466647</v>
      </c>
      <c r="AL111" s="49" t="str">
        <f t="shared" si="48"/>
        <v>0.0568914220099129-0.231635032133749i</v>
      </c>
      <c r="AM111" s="49" t="str">
        <f t="shared" si="49"/>
        <v>1.00008812162374+0.0318338013371362i</v>
      </c>
      <c r="AN111" s="49" t="str">
        <f t="shared" si="50"/>
        <v>-10.1639558345618+36.3485086759802i</v>
      </c>
      <c r="AO111" s="49">
        <f t="shared" si="33"/>
        <v>37.742814960926417</v>
      </c>
      <c r="AP111" s="49">
        <f t="shared" si="34"/>
        <v>1.8434573631615321</v>
      </c>
      <c r="AQ111" s="49">
        <f t="shared" si="35"/>
        <v>105.62232662147127</v>
      </c>
      <c r="AR111" s="49">
        <f t="shared" si="36"/>
        <v>31.536685757811153</v>
      </c>
      <c r="AS111" s="49">
        <f t="shared" si="51"/>
        <v>49.601352611277804</v>
      </c>
      <c r="AT111" s="49">
        <f t="shared" si="52"/>
        <v>96.683481185816504</v>
      </c>
    </row>
    <row r="112" spans="25:46">
      <c r="Y112" s="49">
        <v>110</v>
      </c>
      <c r="Z112" s="49">
        <f t="shared" si="29"/>
        <v>867.62583315832671</v>
      </c>
      <c r="AA112" s="49" t="str">
        <f t="shared" si="37"/>
        <v>5451.45388702985i</v>
      </c>
      <c r="AB112" s="49">
        <f t="shared" si="27"/>
        <v>11.052166224580018</v>
      </c>
      <c r="AD112" s="49" t="str">
        <f t="shared" si="30"/>
        <v>0.973078171957202-0.161718777804677i</v>
      </c>
      <c r="AE112" s="49" t="str">
        <f t="shared" si="31"/>
        <v>0.999999652340393-0.0010490159086621i</v>
      </c>
      <c r="AF112" s="49" t="str">
        <f t="shared" si="45"/>
        <v>7.88065401290722-1.31820625874294i</v>
      </c>
      <c r="AG112" s="49">
        <f t="shared" si="32"/>
        <v>7.9901423899539932</v>
      </c>
      <c r="AH112" s="49">
        <f t="shared" si="46"/>
        <v>-0.16573679024131249</v>
      </c>
      <c r="AI112" s="49">
        <f t="shared" si="28"/>
        <v>-9.4960185908722146</v>
      </c>
      <c r="AJ112" s="49">
        <f t="shared" si="47"/>
        <v>18.05109037631809</v>
      </c>
      <c r="AL112" s="49" t="str">
        <f t="shared" si="48"/>
        <v>0.0506397896439186-0.219261034725138i</v>
      </c>
      <c r="AM112" s="49" t="str">
        <f t="shared" si="49"/>
        <v>1.00009965664954+0.0338532352706954i</v>
      </c>
      <c r="AN112" s="49" t="str">
        <f t="shared" si="50"/>
        <v>-9.1830317220843+34.4071631168486i</v>
      </c>
      <c r="AO112" s="49">
        <f t="shared" si="33"/>
        <v>35.611528264850321</v>
      </c>
      <c r="AP112" s="49">
        <f t="shared" si="34"/>
        <v>1.8316100336645647</v>
      </c>
      <c r="AQ112" s="49">
        <f t="shared" si="35"/>
        <v>104.94352464279419</v>
      </c>
      <c r="AR112" s="49">
        <f t="shared" si="36"/>
        <v>31.031812235489848</v>
      </c>
      <c r="AS112" s="49">
        <f t="shared" si="51"/>
        <v>49.082902611807938</v>
      </c>
      <c r="AT112" s="49">
        <f t="shared" si="52"/>
        <v>95.447506051921977</v>
      </c>
    </row>
    <row r="113" spans="18:46">
      <c r="Y113" s="49">
        <v>111</v>
      </c>
      <c r="Z113" s="49">
        <f t="shared" si="29"/>
        <v>922.66614996535543</v>
      </c>
      <c r="AA113" s="49" t="str">
        <f t="shared" si="37"/>
        <v>5797.28239689428i</v>
      </c>
      <c r="AB113" s="49">
        <f t="shared" si="27"/>
        <v>11.052166224580018</v>
      </c>
      <c r="AD113" s="49" t="str">
        <f t="shared" si="30"/>
        <v>0.969661194457683-0.171372948716061i</v>
      </c>
      <c r="AE113" s="49" t="str">
        <f t="shared" si="31"/>
        <v>0.999999606831626-0.0011155632808917i</v>
      </c>
      <c r="AF113" s="49" t="str">
        <f t="shared" si="45"/>
        <v>7.85280139451596-1.396899574177i</v>
      </c>
      <c r="AG113" s="49">
        <f t="shared" si="32"/>
        <v>7.976077868354075</v>
      </c>
      <c r="AH113" s="49">
        <f t="shared" si="46"/>
        <v>-0.1760440543379668</v>
      </c>
      <c r="AI113" s="49">
        <f t="shared" si="28"/>
        <v>-10.08658132193723</v>
      </c>
      <c r="AJ113" s="49">
        <f t="shared" si="47"/>
        <v>18.035787704545939</v>
      </c>
      <c r="AL113" s="49" t="str">
        <f t="shared" si="48"/>
        <v>0.0450423214529133-0.207396988240056i</v>
      </c>
      <c r="AM113" s="49" t="str">
        <f t="shared" si="49"/>
        <v>1.00011270158303+0.0360007708687457i</v>
      </c>
      <c r="AN113" s="49" t="str">
        <f t="shared" si="50"/>
        <v>-8.3047501752136+32.5458460463217i</v>
      </c>
      <c r="AO113" s="49">
        <f t="shared" si="33"/>
        <v>33.58870301669274</v>
      </c>
      <c r="AP113" s="49">
        <f t="shared" si="34"/>
        <v>1.8206356904880834</v>
      </c>
      <c r="AQ113" s="49">
        <f t="shared" si="35"/>
        <v>104.31474109585362</v>
      </c>
      <c r="AR113" s="49">
        <f t="shared" si="36"/>
        <v>30.523864689177231</v>
      </c>
      <c r="AS113" s="49">
        <f t="shared" si="51"/>
        <v>48.559652393723169</v>
      </c>
      <c r="AT113" s="49">
        <f t="shared" si="52"/>
        <v>94.228159773916389</v>
      </c>
    </row>
    <row r="114" spans="18:46">
      <c r="R114" s="7"/>
      <c r="S114" s="7"/>
      <c r="T114" s="7"/>
      <c r="U114" s="7"/>
      <c r="V114" s="7"/>
      <c r="W114" s="7"/>
      <c r="X114" s="7"/>
      <c r="Y114" s="49">
        <v>112</v>
      </c>
      <c r="Z114" s="49">
        <f t="shared" si="29"/>
        <v>981.19810609251715</v>
      </c>
      <c r="AA114" s="49" t="str">
        <f t="shared" si="37"/>
        <v>6165.04952363294i</v>
      </c>
      <c r="AB114" s="49">
        <f t="shared" si="27"/>
        <v>11.052166224580018</v>
      </c>
      <c r="AD114" s="49" t="str">
        <f t="shared" si="30"/>
        <v>0.965825783420409-0.18152240844831i</v>
      </c>
      <c r="AE114" s="49" t="str">
        <f t="shared" si="31"/>
        <v>0.999999555365728-0.00118633228727644i</v>
      </c>
      <c r="AF114" s="49" t="str">
        <f t="shared" si="45"/>
        <v>7.82153802210394-1.47963009783707i</v>
      </c>
      <c r="AG114" s="49">
        <f t="shared" si="32"/>
        <v>7.960261444050877</v>
      </c>
      <c r="AH114" s="49">
        <f t="shared" si="46"/>
        <v>-0.18696441597187621</v>
      </c>
      <c r="AI114" s="49">
        <f t="shared" si="28"/>
        <v>-10.712271954316826</v>
      </c>
      <c r="AJ114" s="49">
        <f t="shared" si="47"/>
        <v>18.018546635768473</v>
      </c>
      <c r="AL114" s="49" t="str">
        <f t="shared" si="48"/>
        <v>0.040037476120638-0.196047128585265i</v>
      </c>
      <c r="AM114" s="49" t="str">
        <f t="shared" si="49"/>
        <v>1.00012745406341+0.0382845332310295i</v>
      </c>
      <c r="AN114" s="49" t="str">
        <f t="shared" si="50"/>
        <v>-7.51945492914405+30.765222980665i</v>
      </c>
      <c r="AO114" s="49">
        <f t="shared" si="33"/>
        <v>31.670824862662904</v>
      </c>
      <c r="AP114" s="49">
        <f t="shared" si="34"/>
        <v>1.8105108216835939</v>
      </c>
      <c r="AQ114" s="49">
        <f t="shared" si="35"/>
        <v>103.73462884523269</v>
      </c>
      <c r="AR114" s="49">
        <f t="shared" si="36"/>
        <v>30.013187493290914</v>
      </c>
      <c r="AS114" s="49">
        <f t="shared" si="51"/>
        <v>48.031734129059387</v>
      </c>
      <c r="AT114" s="49">
        <f t="shared" si="52"/>
        <v>93.022356890915859</v>
      </c>
    </row>
    <row r="115" spans="18:46">
      <c r="R115" s="7"/>
      <c r="S115" s="7"/>
      <c r="T115" s="7"/>
      <c r="U115" s="7"/>
      <c r="V115" s="7"/>
      <c r="W115" s="7"/>
      <c r="X115" s="7"/>
      <c r="Y115" s="49">
        <v>113</v>
      </c>
      <c r="Z115" s="49">
        <f t="shared" si="29"/>
        <v>1043.443203628628</v>
      </c>
      <c r="AA115" s="49" t="str">
        <f t="shared" si="37"/>
        <v>6556.14700591579i</v>
      </c>
      <c r="AB115" s="49">
        <f t="shared" si="27"/>
        <v>11.052166224580018</v>
      </c>
      <c r="AD115" s="49" t="str">
        <f t="shared" si="30"/>
        <v>0.961524774063754-0.192176705115133i</v>
      </c>
      <c r="AE115" s="49" t="str">
        <f t="shared" si="31"/>
        <v>0.999999497162905-0.00126159074163667i</v>
      </c>
      <c r="AF115" s="49" t="str">
        <f t="shared" si="45"/>
        <v>7.78647944400231-1.5664756579934i</v>
      </c>
      <c r="AG115" s="49">
        <f t="shared" si="32"/>
        <v>7.942487527151453</v>
      </c>
      <c r="AH115" s="49">
        <f t="shared" si="46"/>
        <v>-0.19852889574422417</v>
      </c>
      <c r="AI115" s="49">
        <f t="shared" si="28"/>
        <v>-11.374867837536776</v>
      </c>
      <c r="AJ115" s="49">
        <f t="shared" si="47"/>
        <v>17.999130829710356</v>
      </c>
      <c r="AL115" s="49" t="str">
        <f t="shared" si="48"/>
        <v>0.0355680279215529-0.18521053779773i</v>
      </c>
      <c r="AM115" s="49" t="str">
        <f t="shared" si="49"/>
        <v>1.00014413759875+0.0407131626136024i</v>
      </c>
      <c r="AN115" s="49" t="str">
        <f t="shared" si="50"/>
        <v>-6.81816686129373+29.0651508149809i</v>
      </c>
      <c r="AO115" s="49">
        <f t="shared" si="33"/>
        <v>29.854151993416739</v>
      </c>
      <c r="AP115" s="49">
        <f t="shared" si="34"/>
        <v>1.8012123106341218</v>
      </c>
      <c r="AQ115" s="49">
        <f t="shared" si="35"/>
        <v>103.2018634063422</v>
      </c>
      <c r="AR115" s="49">
        <f t="shared" si="36"/>
        <v>29.500094791340569</v>
      </c>
      <c r="AS115" s="49">
        <f t="shared" si="51"/>
        <v>47.499225621050925</v>
      </c>
      <c r="AT115" s="49">
        <f t="shared" si="52"/>
        <v>91.826995568805415</v>
      </c>
    </row>
    <row r="116" spans="18:46">
      <c r="R116" s="7"/>
      <c r="S116" s="7"/>
      <c r="T116" s="7"/>
      <c r="U116" s="7"/>
      <c r="V116" s="7"/>
      <c r="W116" s="7"/>
      <c r="X116" s="7"/>
      <c r="Y116" s="49">
        <v>114</v>
      </c>
      <c r="Z116" s="49">
        <f t="shared" si="29"/>
        <v>1109.6369962786232</v>
      </c>
      <c r="AA116" s="49" t="str">
        <f t="shared" si="37"/>
        <v>6972.05487132073i</v>
      </c>
      <c r="AB116" s="49">
        <f t="shared" si="27"/>
        <v>11.052166224580018</v>
      </c>
      <c r="AD116" s="49" t="str">
        <f t="shared" si="30"/>
        <v>0.956706764760029-0.2033421878948i</v>
      </c>
      <c r="AE116" s="49" t="str">
        <f t="shared" si="31"/>
        <v>0.999999431341281-0.00134162344781775i</v>
      </c>
      <c r="AF116" s="49" t="str">
        <f t="shared" si="45"/>
        <v>7.74720667297155-1.65748800756887i</v>
      </c>
      <c r="AG116" s="49">
        <f t="shared" si="32"/>
        <v>7.9225297556380019</v>
      </c>
      <c r="AH116" s="49">
        <f t="shared" si="46"/>
        <v>-0.21076902022972985</v>
      </c>
      <c r="AI116" s="49">
        <f t="shared" si="28"/>
        <v>-12.076175311270989</v>
      </c>
      <c r="AJ116" s="49">
        <f t="shared" si="47"/>
        <v>17.977277579992414</v>
      </c>
      <c r="AL116" s="49" t="str">
        <f t="shared" si="48"/>
        <v>0.0315810974657776-0.174882050961883i</v>
      </c>
      <c r="AM116" s="49" t="str">
        <f t="shared" si="49"/>
        <v>1.00016300495153+0.0432958470519899i</v>
      </c>
      <c r="AN116" s="49" t="str">
        <f t="shared" si="50"/>
        <v>-6.19258881502599+27.4448201280908i</v>
      </c>
      <c r="AO116" s="49">
        <f t="shared" si="33"/>
        <v>28.134788218418187</v>
      </c>
      <c r="AP116" s="49">
        <f t="shared" si="34"/>
        <v>1.7927177526860407</v>
      </c>
      <c r="AQ116" s="49">
        <f t="shared" si="35"/>
        <v>102.71516108708784</v>
      </c>
      <c r="AR116" s="49">
        <f t="shared" si="36"/>
        <v>28.984873007949492</v>
      </c>
      <c r="AS116" s="49">
        <f t="shared" si="51"/>
        <v>46.962150587941906</v>
      </c>
      <c r="AT116" s="49">
        <f t="shared" si="52"/>
        <v>90.638985775816849</v>
      </c>
    </row>
    <row r="117" spans="18:46">
      <c r="R117" s="7"/>
      <c r="S117" s="7"/>
      <c r="T117" s="7"/>
      <c r="U117" s="7"/>
      <c r="V117" s="7"/>
      <c r="W117" s="7"/>
      <c r="X117" s="7"/>
      <c r="Y117" s="49">
        <v>115</v>
      </c>
      <c r="Z117" s="49">
        <f t="shared" si="29"/>
        <v>1180.0299807678607</v>
      </c>
      <c r="AA117" s="49" t="str">
        <f t="shared" si="37"/>
        <v>7414.34703719203i</v>
      </c>
      <c r="AB117" s="49">
        <f t="shared" si="27"/>
        <v>11.052166224580018</v>
      </c>
      <c r="AD117" s="49" t="str">
        <f t="shared" si="30"/>
        <v>0.951316026496027-0.215021236449955i</v>
      </c>
      <c r="AE117" s="49" t="str">
        <f t="shared" si="31"/>
        <v>0.99999935690354-0.00142673327760045i</v>
      </c>
      <c r="AF117" s="49" t="str">
        <f t="shared" si="45"/>
        <v>7.70326544819129-1.7526865429494i</v>
      </c>
      <c r="AG117" s="49">
        <f t="shared" si="32"/>
        <v>7.9001397888349842</v>
      </c>
      <c r="AH117" s="49">
        <f t="shared" si="46"/>
        <v>-0.22371660247421327</v>
      </c>
      <c r="AI117" s="49">
        <f t="shared" si="28"/>
        <v>-12.818017128778411</v>
      </c>
      <c r="AJ117" s="49">
        <f t="shared" si="47"/>
        <v>17.95269551943554</v>
      </c>
      <c r="AL117" s="49" t="str">
        <f t="shared" si="48"/>
        <v>0.0280280864847364-0.165053060719093i</v>
      </c>
      <c r="AM117" s="49" t="str">
        <f t="shared" si="49"/>
        <v>1.0001843419673+0.0460423570422902i</v>
      </c>
      <c r="AN117" s="49" t="str">
        <f t="shared" si="50"/>
        <v>-5.63509536666995+25.9028814191773i</v>
      </c>
      <c r="AO117" s="49">
        <f t="shared" si="33"/>
        <v>26.508745077944106</v>
      </c>
      <c r="AP117" s="49">
        <f t="shared" si="34"/>
        <v>1.785005720293446</v>
      </c>
      <c r="AQ117" s="49">
        <f t="shared" si="35"/>
        <v>102.27329417952397</v>
      </c>
      <c r="AR117" s="49">
        <f t="shared" si="36"/>
        <v>28.467783375013312</v>
      </c>
      <c r="AS117" s="49">
        <f t="shared" si="51"/>
        <v>46.420478894448848</v>
      </c>
      <c r="AT117" s="49">
        <f t="shared" si="52"/>
        <v>89.455277050745565</v>
      </c>
    </row>
    <row r="118" spans="18:46">
      <c r="R118" s="7"/>
      <c r="S118" s="7"/>
      <c r="T118" s="7"/>
      <c r="U118" s="7"/>
      <c r="V118" s="7"/>
      <c r="W118" s="7"/>
      <c r="X118" s="7"/>
      <c r="Y118" s="49">
        <v>116</v>
      </c>
      <c r="Z118" s="49">
        <f t="shared" si="29"/>
        <v>1254.8885447951977</v>
      </c>
      <c r="AA118" s="49" t="str">
        <f t="shared" si="37"/>
        <v>7884.69726680516i</v>
      </c>
      <c r="AB118" s="49">
        <f t="shared" si="27"/>
        <v>11.052166224580018</v>
      </c>
      <c r="AD118" s="49" t="str">
        <f t="shared" si="30"/>
        <v>0.94529249965637-0.227211388576931i</v>
      </c>
      <c r="AE118" s="49" t="str">
        <f t="shared" si="31"/>
        <v>0.999999272721817-0.00151724231701193i</v>
      </c>
      <c r="AF118" s="49" t="str">
        <f t="shared" si="45"/>
        <v>7.6541662090396-1.85205119323818i</v>
      </c>
      <c r="AG118" s="49">
        <f t="shared" si="32"/>
        <v>7.8750462841800868</v>
      </c>
      <c r="AH118" s="49">
        <f t="shared" si="46"/>
        <v>-0.23740347194483272</v>
      </c>
      <c r="AI118" s="49">
        <f t="shared" si="28"/>
        <v>-13.60221698419136</v>
      </c>
      <c r="AJ118" s="49">
        <f t="shared" si="47"/>
        <v>17.925062299150071</v>
      </c>
      <c r="AL118" s="49" t="str">
        <f t="shared" si="48"/>
        <v>0.0248645415034475-0.155712221997089i</v>
      </c>
      <c r="AM118" s="49" t="str">
        <f t="shared" si="49"/>
        <v>1.0002084719043+0.0489630824084188i</v>
      </c>
      <c r="AN118" s="49" t="str">
        <f t="shared" si="50"/>
        <v>-5.1387114343265+24.4375556885041i</v>
      </c>
      <c r="AO118" s="49">
        <f t="shared" si="33"/>
        <v>24.971993977934908</v>
      </c>
      <c r="AP118" s="49">
        <f t="shared" si="34"/>
        <v>1.778055982856015</v>
      </c>
      <c r="AQ118" s="49">
        <f t="shared" si="35"/>
        <v>101.87510355563512</v>
      </c>
      <c r="AR118" s="49">
        <f t="shared" si="36"/>
        <v>27.949064430559091</v>
      </c>
      <c r="AS118" s="49">
        <f t="shared" si="51"/>
        <v>45.874126729709161</v>
      </c>
      <c r="AT118" s="49">
        <f t="shared" si="52"/>
        <v>88.272886571443763</v>
      </c>
    </row>
    <row r="119" spans="18:46">
      <c r="R119" s="7"/>
      <c r="S119" s="7"/>
      <c r="T119" s="7"/>
      <c r="U119" s="7"/>
      <c r="V119" s="7"/>
      <c r="W119" s="7"/>
      <c r="X119" s="7"/>
      <c r="Y119" s="49">
        <v>117</v>
      </c>
      <c r="Z119" s="49">
        <f t="shared" si="29"/>
        <v>1334.4959751221782</v>
      </c>
      <c r="AA119" s="49" t="str">
        <f t="shared" si="37"/>
        <v>8384.88550337796i</v>
      </c>
      <c r="AB119" s="49">
        <f t="shared" si="27"/>
        <v>11.052166224580018</v>
      </c>
      <c r="AD119" s="49" t="str">
        <f t="shared" si="30"/>
        <v>0.938571905859091-0.239904366069194i</v>
      </c>
      <c r="AE119" s="49" t="str">
        <f t="shared" si="31"/>
        <v>0.999999177520602-0.00161349308538038i</v>
      </c>
      <c r="AF119" s="49" t="str">
        <f t="shared" si="45"/>
        <v>7.59938500669065-1.95551447982822i</v>
      </c>
      <c r="AG119" s="49">
        <f t="shared" si="32"/>
        <v>7.8469541454460199</v>
      </c>
      <c r="AH119" s="49">
        <f t="shared" si="46"/>
        <v>-0.25186114764358575</v>
      </c>
      <c r="AI119" s="49">
        <f t="shared" si="28"/>
        <v>-14.430580783298764</v>
      </c>
      <c r="AJ119" s="49">
        <f t="shared" si="47"/>
        <v>17.894022295365563</v>
      </c>
      <c r="AL119" s="49" t="str">
        <f t="shared" si="48"/>
        <v>0.0220499670777101-0.146846062356408i</v>
      </c>
      <c r="AM119" s="49" t="str">
        <f t="shared" si="49"/>
        <v>1.00023576032947+0.0520690714913579i</v>
      </c>
      <c r="AN119" s="49" t="str">
        <f t="shared" si="50"/>
        <v>-4.69708297300861+23.0467302090662i</v>
      </c>
      <c r="AO119" s="49">
        <f t="shared" si="33"/>
        <v>23.520509386167891</v>
      </c>
      <c r="AP119" s="49">
        <f t="shared" si="34"/>
        <v>1.7718496871502498</v>
      </c>
      <c r="AQ119" s="49">
        <f t="shared" si="35"/>
        <v>101.5195090052846</v>
      </c>
      <c r="AR119" s="49">
        <f t="shared" si="36"/>
        <v>27.4289344613527</v>
      </c>
      <c r="AS119" s="49">
        <f t="shared" si="51"/>
        <v>45.322956756718263</v>
      </c>
      <c r="AT119" s="49">
        <f t="shared" si="52"/>
        <v>87.088928221985839</v>
      </c>
    </row>
    <row r="120" spans="18:46">
      <c r="R120" s="7"/>
      <c r="S120" s="7"/>
      <c r="T120" s="7"/>
      <c r="U120" s="7"/>
      <c r="V120" s="7"/>
      <c r="W120" s="7"/>
      <c r="X120" s="7"/>
      <c r="Y120" s="49">
        <v>118</v>
      </c>
      <c r="Z120" s="49">
        <f t="shared" si="29"/>
        <v>1419.1535296132129</v>
      </c>
      <c r="AA120" s="49" t="str">
        <f t="shared" si="37"/>
        <v>8916.80460589779i</v>
      </c>
      <c r="AB120" s="49">
        <f t="shared" si="27"/>
        <v>11.052166224580018</v>
      </c>
      <c r="AD120" s="49" t="str">
        <f t="shared" si="30"/>
        <v>0.931086006854206-0.253085003937523i</v>
      </c>
      <c r="AE120" s="49" t="str">
        <f t="shared" si="31"/>
        <v>0.999999069857414-0.00171584983175332i</v>
      </c>
      <c r="AF120" s="49" t="str">
        <f t="shared" si="45"/>
        <v>7.53836561445864-2.06295278821189i</v>
      </c>
      <c r="AG120" s="49">
        <f t="shared" si="32"/>
        <v>7.8155441489152633</v>
      </c>
      <c r="AH120" s="49">
        <f t="shared" si="46"/>
        <v>-0.26712044824422698</v>
      </c>
      <c r="AI120" s="49">
        <f t="shared" si="28"/>
        <v>-15.304874306036949</v>
      </c>
      <c r="AJ120" s="49">
        <f t="shared" si="47"/>
        <v>17.859184413947993</v>
      </c>
      <c r="AL120" s="49" t="str">
        <f t="shared" si="48"/>
        <v>0.0195476054423651-0.138439505069307i</v>
      </c>
      <c r="AM120" s="49" t="str">
        <f t="shared" si="49"/>
        <v>1.00026662065506+0.0553720728043113i</v>
      </c>
      <c r="AN120" s="49" t="str">
        <f t="shared" si="50"/>
        <v>-4.30444239938608+21.7280406056461i</v>
      </c>
      <c r="AO120" s="49">
        <f t="shared" si="33"/>
        <v>22.150304127262867</v>
      </c>
      <c r="AP120" s="49">
        <f t="shared" si="34"/>
        <v>1.7663695038299154</v>
      </c>
      <c r="AQ120" s="49">
        <f t="shared" si="35"/>
        <v>101.20551763007145</v>
      </c>
      <c r="AR120" s="49">
        <f t="shared" si="36"/>
        <v>26.907593870671889</v>
      </c>
      <c r="AS120" s="49">
        <f t="shared" si="51"/>
        <v>44.766778284619882</v>
      </c>
      <c r="AT120" s="49">
        <f t="shared" si="52"/>
        <v>85.900643324034505</v>
      </c>
    </row>
    <row r="121" spans="18:46">
      <c r="R121" s="7"/>
      <c r="S121" s="7"/>
      <c r="T121" s="7"/>
      <c r="U121" s="7"/>
      <c r="V121" s="7"/>
      <c r="W121" s="7"/>
      <c r="X121" s="7"/>
      <c r="Y121" s="49">
        <v>119</v>
      </c>
      <c r="Z121" s="49">
        <f t="shared" si="29"/>
        <v>1509.1815772837017</v>
      </c>
      <c r="AA121" s="49" t="str">
        <f t="shared" si="37"/>
        <v>9482.46751225507i</v>
      </c>
      <c r="AB121" s="49">
        <f t="shared" si="27"/>
        <v>11.052166224580018</v>
      </c>
      <c r="AD121" s="49" t="str">
        <f t="shared" si="30"/>
        <v>0.922763046392084-0.266730095100306i</v>
      </c>
      <c r="AE121" s="49" t="str">
        <f t="shared" si="31"/>
        <v>0.999998948100944-0.00182469991359282i</v>
      </c>
      <c r="AF121" s="49" t="str">
        <f t="shared" si="45"/>
        <v>7.47052312957277-2.1741769507667i</v>
      </c>
      <c r="AG121" s="49">
        <f t="shared" si="32"/>
        <v>7.78047307319593</v>
      </c>
      <c r="AH121" s="49">
        <f t="shared" si="46"/>
        <v>-0.28321103363455213</v>
      </c>
      <c r="AI121" s="49">
        <f t="shared" si="28"/>
        <v>-16.226796938797442</v>
      </c>
      <c r="AJ121" s="49">
        <f t="shared" si="47"/>
        <v>17.820120080751</v>
      </c>
      <c r="AL121" s="49" t="str">
        <f t="shared" si="48"/>
        <v>0.0173241960118347-0.130476312962845i</v>
      </c>
      <c r="AM121" s="49" t="str">
        <f t="shared" si="49"/>
        <v>1.00030152039953+0.0588845793061118i</v>
      </c>
      <c r="AN121" s="49" t="str">
        <f t="shared" si="50"/>
        <v>-3.95557085514049+20.4789405015223i</v>
      </c>
      <c r="AO121" s="49">
        <f t="shared" si="33"/>
        <v>20.857457775455938</v>
      </c>
      <c r="AP121" s="49">
        <f t="shared" si="34"/>
        <v>1.7615997449597827</v>
      </c>
      <c r="AQ121" s="49">
        <f t="shared" si="35"/>
        <v>100.93223057751776</v>
      </c>
      <c r="AR121" s="49">
        <f t="shared" si="36"/>
        <v>26.385227461125776</v>
      </c>
      <c r="AS121" s="49">
        <f t="shared" si="51"/>
        <v>44.205347541876776</v>
      </c>
      <c r="AT121" s="49">
        <f t="shared" si="52"/>
        <v>84.705433638720308</v>
      </c>
    </row>
    <row r="122" spans="18:46">
      <c r="R122" s="7"/>
      <c r="S122" s="7"/>
      <c r="T122" s="7"/>
      <c r="U122" s="7"/>
      <c r="V122" s="7"/>
      <c r="W122" s="7"/>
      <c r="X122" s="7"/>
      <c r="Y122" s="49">
        <v>120</v>
      </c>
      <c r="Z122" s="49">
        <f t="shared" si="29"/>
        <v>1604.9208106703452</v>
      </c>
      <c r="AA122" s="49" t="str">
        <f t="shared" si="37"/>
        <v>10084.0148567907i</v>
      </c>
      <c r="AB122" s="49">
        <f t="shared" si="27"/>
        <v>11.052166224580018</v>
      </c>
      <c r="AD122" s="49" t="str">
        <f t="shared" si="30"/>
        <v>0.913528413952185-0.280807171684827i</v>
      </c>
      <c r="AE122" s="49" t="str">
        <f t="shared" si="31"/>
        <v>0.999998810406337-0.00194045526297466i</v>
      </c>
      <c r="AF122" s="49" t="str">
        <f t="shared" si="45"/>
        <v>7.3952493833899-2.28892231284152i</v>
      </c>
      <c r="AG122" s="49">
        <f t="shared" si="32"/>
        <v>7.7413744772328679</v>
      </c>
      <c r="AH122" s="49">
        <f t="shared" si="46"/>
        <v>-0.30016087325949509</v>
      </c>
      <c r="AI122" s="49">
        <f t="shared" si="28"/>
        <v>-17.197951212730278</v>
      </c>
      <c r="AJ122" s="49">
        <f t="shared" si="47"/>
        <v>17.776361526015666</v>
      </c>
      <c r="AL122" s="49" t="str">
        <f t="shared" si="48"/>
        <v>0.015349725229903-0.122939461383518i</v>
      </c>
      <c r="AM122" s="49" t="str">
        <f t="shared" si="49"/>
        <v>1.00034098826738+0.0626198754540629i</v>
      </c>
      <c r="AN122" s="49" t="str">
        <f t="shared" si="50"/>
        <v>-3.64575895596317+19.2967600441728i</v>
      </c>
      <c r="AO122" s="49">
        <f t="shared" si="33"/>
        <v>19.63813908106798</v>
      </c>
      <c r="AP122" s="49">
        <f t="shared" si="34"/>
        <v>1.7575264569889226</v>
      </c>
      <c r="AQ122" s="49">
        <f t="shared" si="35"/>
        <v>100.69884836804607</v>
      </c>
      <c r="AR122" s="49">
        <f t="shared" si="36"/>
        <v>25.862006629187341</v>
      </c>
      <c r="AS122" s="49">
        <f t="shared" si="51"/>
        <v>43.638368155203011</v>
      </c>
      <c r="AT122" s="49">
        <f t="shared" si="52"/>
        <v>83.500897155315798</v>
      </c>
    </row>
    <row r="123" spans="18:46">
      <c r="R123" s="7"/>
      <c r="S123" s="7"/>
      <c r="T123" s="7"/>
      <c r="U123" s="7"/>
      <c r="V123" s="7"/>
      <c r="W123" s="7"/>
      <c r="X123" s="7"/>
      <c r="Y123" s="49">
        <v>121</v>
      </c>
      <c r="Z123" s="49">
        <f t="shared" si="29"/>
        <v>1706.7335351116335</v>
      </c>
      <c r="AA123" s="49" t="str">
        <f t="shared" si="37"/>
        <v>10723.7230710841i</v>
      </c>
      <c r="AB123" s="49">
        <f t="shared" si="27"/>
        <v>11.052166224580018</v>
      </c>
      <c r="AD123" s="49" t="str">
        <f t="shared" si="30"/>
        <v>0.903305570590361-0.295273255307304i</v>
      </c>
      <c r="AE123" s="49" t="str">
        <f t="shared" si="31"/>
        <v>0.999998654687229-0.0020635539458507i</v>
      </c>
      <c r="AF123" s="49" t="str">
        <f t="shared" si="45"/>
        <v>7.31192048819911-2.40683854598076i</v>
      </c>
      <c r="AG123" s="49">
        <f t="shared" si="32"/>
        <v>7.6978602879088864</v>
      </c>
      <c r="AH123" s="49">
        <f t="shared" si="46"/>
        <v>-0.31799563829760813</v>
      </c>
      <c r="AI123" s="49">
        <f t="shared" si="28"/>
        <v>-18.219807978021635</v>
      </c>
      <c r="AJ123" s="49">
        <f t="shared" si="47"/>
        <v>17.727400492300973</v>
      </c>
      <c r="AL123" s="49" t="str">
        <f t="shared" si="48"/>
        <v>0.0135971747770173-0.115811448549358i</v>
      </c>
      <c r="AM123" s="49" t="str">
        <f t="shared" si="49"/>
        <v>1.00038562215504+0.0665920872066239i</v>
      </c>
      <c r="AN123" s="49" t="str">
        <f t="shared" si="50"/>
        <v>-3.37076728273783+18.178754606973i</v>
      </c>
      <c r="AO123" s="49">
        <f t="shared" si="33"/>
        <v>18.488623289334388</v>
      </c>
      <c r="AP123" s="49">
        <f t="shared" si="34"/>
        <v>1.7541374929945655</v>
      </c>
      <c r="AQ123" s="49">
        <f t="shared" si="35"/>
        <v>100.50467503424761</v>
      </c>
      <c r="AR123" s="49">
        <f t="shared" si="36"/>
        <v>25.338091473475281</v>
      </c>
      <c r="AS123" s="49">
        <f t="shared" si="51"/>
        <v>43.065491965776253</v>
      </c>
      <c r="AT123" s="49">
        <f t="shared" si="52"/>
        <v>82.284867056225977</v>
      </c>
    </row>
    <row r="124" spans="18:46">
      <c r="R124" s="7"/>
      <c r="S124" s="7"/>
      <c r="T124" s="7"/>
      <c r="U124" s="7"/>
      <c r="V124" s="7"/>
      <c r="W124" s="7"/>
      <c r="X124" s="7"/>
      <c r="Y124" s="49">
        <v>122</v>
      </c>
      <c r="Z124" s="49">
        <f t="shared" si="29"/>
        <v>1815.0050398174897</v>
      </c>
      <c r="AA124" s="49" t="str">
        <f t="shared" si="37"/>
        <v>11404.0129986382i</v>
      </c>
      <c r="AB124" s="49">
        <f t="shared" si="27"/>
        <v>11.052166224580018</v>
      </c>
      <c r="AD124" s="49" t="str">
        <f t="shared" si="30"/>
        <v>0.892017276027861-0.310073622088133i</v>
      </c>
      <c r="AE124" s="49" t="str">
        <f t="shared" si="31"/>
        <v>0.99999847858414-0.00219446182028885i</v>
      </c>
      <c r="AF124" s="49" t="str">
        <f t="shared" si="45"/>
        <v>7.21990683952048-2.52747958125864i</v>
      </c>
      <c r="AG124" s="49">
        <f t="shared" si="32"/>
        <v>7.6495233711018846</v>
      </c>
      <c r="AH124" s="49">
        <f t="shared" si="46"/>
        <v>-0.33673801709975715</v>
      </c>
      <c r="AI124" s="49">
        <f t="shared" si="28"/>
        <v>-19.293667181420233</v>
      </c>
      <c r="AJ124" s="49">
        <f t="shared" si="47"/>
        <v>17.672687516800298</v>
      </c>
      <c r="AL124" s="49" t="str">
        <f t="shared" si="48"/>
        <v>0.012042274080982-0.109074551183769i</v>
      </c>
      <c r="AM124" s="49" t="str">
        <f t="shared" si="49"/>
        <v>1.00043609820377+0.0708162351559676i</v>
      </c>
      <c r="AN124" s="49" t="str">
        <f t="shared" si="50"/>
        <v>-3.12678754784145+17.1221449055684i</v>
      </c>
      <c r="AO124" s="49">
        <f t="shared" si="33"/>
        <v>17.405305126214198</v>
      </c>
      <c r="AP124" s="49">
        <f t="shared" si="34"/>
        <v>1.7514225674546606</v>
      </c>
      <c r="AQ124" s="49">
        <f t="shared" si="35"/>
        <v>100.34912125911877</v>
      </c>
      <c r="AR124" s="49">
        <f t="shared" si="36"/>
        <v>24.81363282298307</v>
      </c>
      <c r="AS124" s="49">
        <f t="shared" si="51"/>
        <v>42.486320339783369</v>
      </c>
      <c r="AT124" s="49">
        <f t="shared" si="52"/>
        <v>81.055454077698542</v>
      </c>
    </row>
    <row r="125" spans="18:46">
      <c r="R125" s="7"/>
      <c r="S125" s="7"/>
      <c r="T125" s="7"/>
      <c r="U125" s="7"/>
      <c r="V125" s="7"/>
      <c r="W125" s="7"/>
      <c r="X125" s="7"/>
      <c r="Y125" s="49">
        <v>123</v>
      </c>
      <c r="Z125" s="49">
        <f t="shared" si="29"/>
        <v>1930.1450559166665</v>
      </c>
      <c r="AA125" s="49" t="str">
        <f t="shared" si="37"/>
        <v>12127.4590560609i</v>
      </c>
      <c r="AB125" s="49">
        <f t="shared" si="27"/>
        <v>11.052166224580018</v>
      </c>
      <c r="AD125" s="49" t="str">
        <f t="shared" si="30"/>
        <v>0.879587151419995-0.325140643391202i</v>
      </c>
      <c r="AE125" s="49" t="str">
        <f t="shared" si="31"/>
        <v>0.999998279428707-0.00233367429998144i</v>
      </c>
      <c r="AF125" s="49" t="str">
        <f t="shared" si="45"/>
        <v>7.11858585461012-2.65029415985836i</v>
      </c>
      <c r="AG125" s="49">
        <f t="shared" si="32"/>
        <v>7.5959412651253837</v>
      </c>
      <c r="AH125" s="49">
        <f t="shared" si="46"/>
        <v>-0.35640695659909666</v>
      </c>
      <c r="AI125" s="49">
        <f t="shared" si="28"/>
        <v>-20.420614402230541</v>
      </c>
      <c r="AJ125" s="49">
        <f t="shared" si="47"/>
        <v>17.611631958765209</v>
      </c>
      <c r="AL125" s="49" t="str">
        <f t="shared" si="48"/>
        <v>0.0106632613982178-0.102711032779206i</v>
      </c>
      <c r="AM125" s="49" t="str">
        <f t="shared" si="49"/>
        <v>1.00049318103634+0.0753082909804125i</v>
      </c>
      <c r="AN125" s="49" t="str">
        <f t="shared" si="50"/>
        <v>-2.91040510609673+16.1241496819103i</v>
      </c>
      <c r="AO125" s="49">
        <f t="shared" si="33"/>
        <v>16.384708140404634</v>
      </c>
      <c r="AP125" s="49">
        <f t="shared" si="34"/>
        <v>1.7493732962481012</v>
      </c>
      <c r="AQ125" s="49">
        <f t="shared" si="35"/>
        <v>100.23170666790526</v>
      </c>
      <c r="AR125" s="49">
        <f t="shared" si="36"/>
        <v>24.288774194635607</v>
      </c>
      <c r="AS125" s="49">
        <f t="shared" si="51"/>
        <v>41.900406153400816</v>
      </c>
      <c r="AT125" s="49">
        <f t="shared" si="52"/>
        <v>79.811092265674716</v>
      </c>
    </row>
    <row r="126" spans="18:46">
      <c r="R126" s="7"/>
      <c r="S126" s="7"/>
      <c r="T126" s="7"/>
      <c r="U126" s="7"/>
      <c r="V126" s="7"/>
      <c r="W126" s="7"/>
      <c r="X126" s="7"/>
      <c r="Y126" s="49">
        <v>124</v>
      </c>
      <c r="Z126" s="49">
        <f t="shared" si="29"/>
        <v>2052.58930699948</v>
      </c>
      <c r="AA126" s="49" t="str">
        <f t="shared" si="37"/>
        <v>12896.7989754131i</v>
      </c>
      <c r="AB126" s="49">
        <f t="shared" si="27"/>
        <v>11.052166224580018</v>
      </c>
      <c r="AD126" s="49" t="str">
        <f t="shared" si="30"/>
        <v>0.865941602862647-0.340392779641007i</v>
      </c>
      <c r="AE126" s="49" t="str">
        <f t="shared" si="31"/>
        <v>0.999998054203258-0.00248171822971572i</v>
      </c>
      <c r="AF126" s="49" t="str">
        <f t="shared" si="45"/>
        <v>7.00735765142686-2.7746176314255i</v>
      </c>
      <c r="AG126" s="49">
        <f t="shared" si="32"/>
        <v>7.5366812494378319</v>
      </c>
      <c r="AH126" s="49">
        <f t="shared" si="46"/>
        <v>-0.37701683666018188</v>
      </c>
      <c r="AI126" s="49">
        <f t="shared" si="28"/>
        <v>-21.601473546001554</v>
      </c>
      <c r="AJ126" s="49">
        <f t="shared" si="47"/>
        <v>17.543602958911787</v>
      </c>
      <c r="AL126" s="49" t="str">
        <f t="shared" si="48"/>
        <v>0.00944065638945805-0.0967033111966402i</v>
      </c>
      <c r="AM126" s="49" t="str">
        <f t="shared" si="49"/>
        <v>1.00055773533225+0.0800852374170661i</v>
      </c>
      <c r="AN126" s="49" t="str">
        <f t="shared" si="50"/>
        <v>-2.71856326913461+15.1820120081846i</v>
      </c>
      <c r="AO126" s="49">
        <f t="shared" si="33"/>
        <v>15.423491007711233</v>
      </c>
      <c r="AP126" s="49">
        <f t="shared" si="34"/>
        <v>1.7479832240420183</v>
      </c>
      <c r="AQ126" s="49">
        <f t="shared" si="35"/>
        <v>100.15206139727826</v>
      </c>
      <c r="AR126" s="49">
        <f t="shared" si="36"/>
        <v>23.763653691924862</v>
      </c>
      <c r="AS126" s="49">
        <f t="shared" si="51"/>
        <v>41.307256650836649</v>
      </c>
      <c r="AT126" s="49">
        <f t="shared" si="52"/>
        <v>78.550587851276703</v>
      </c>
    </row>
    <row r="127" spans="18:46">
      <c r="R127" s="7"/>
      <c r="S127" s="7"/>
      <c r="T127" s="7"/>
      <c r="U127" s="7"/>
      <c r="V127" s="7"/>
      <c r="W127" s="7"/>
      <c r="X127" s="7"/>
      <c r="Y127" s="49">
        <v>125</v>
      </c>
      <c r="Z127" s="49">
        <f t="shared" si="29"/>
        <v>2182.8011580236971</v>
      </c>
      <c r="AA127" s="49" t="str">
        <f t="shared" si="37"/>
        <v>13714.9441645891i</v>
      </c>
      <c r="AB127" s="49">
        <f t="shared" si="27"/>
        <v>11.052166224580018</v>
      </c>
      <c r="AD127" s="49" t="str">
        <f t="shared" si="30"/>
        <v>0.851012115502151-0.3557338208495i</v>
      </c>
      <c r="AE127" s="49" t="str">
        <f t="shared" si="31"/>
        <v>0.999997799495068-0.00263915387992598i</v>
      </c>
      <c r="AF127" s="49" t="str">
        <f t="shared" si="45"/>
        <v>6.88566374847667-2.89966576341198i</v>
      </c>
      <c r="AG127" s="49">
        <f t="shared" si="32"/>
        <v>7.4713069001741177</v>
      </c>
      <c r="AH127" s="49">
        <f t="shared" si="46"/>
        <v>-0.39857658960668574</v>
      </c>
      <c r="AI127" s="49">
        <f t="shared" si="28"/>
        <v>-22.836756397180967</v>
      </c>
      <c r="AJ127" s="49">
        <f t="shared" si="47"/>
        <v>17.467931527311691</v>
      </c>
      <c r="AL127" s="49" t="str">
        <f t="shared" si="48"/>
        <v>0.00835704605688076-0.091034091625522i</v>
      </c>
      <c r="AM127" s="49" t="str">
        <f t="shared" si="49"/>
        <v>1.00063073891603+0.0851651319656298i</v>
      </c>
      <c r="AN127" s="49" t="str">
        <f t="shared" si="50"/>
        <v>-2.54852971609236+14.2930201559712i</v>
      </c>
      <c r="AO127" s="49">
        <f t="shared" si="33"/>
        <v>14.518451325565161</v>
      </c>
      <c r="AP127" s="49">
        <f t="shared" si="34"/>
        <v>1.7472478407069234</v>
      </c>
      <c r="AQ127" s="49">
        <f t="shared" si="35"/>
        <v>100.10992703585306</v>
      </c>
      <c r="AR127" s="49">
        <f t="shared" si="36"/>
        <v>23.238405858091507</v>
      </c>
      <c r="AS127" s="49">
        <f t="shared" si="51"/>
        <v>40.706337385403202</v>
      </c>
      <c r="AT127" s="49">
        <f t="shared" si="52"/>
        <v>77.273170638672099</v>
      </c>
    </row>
    <row r="128" spans="18:46">
      <c r="R128" s="7"/>
      <c r="S128" s="7"/>
      <c r="T128" s="7"/>
      <c r="U128" s="7"/>
      <c r="V128" s="7"/>
      <c r="W128" s="7"/>
      <c r="X128" s="7"/>
      <c r="Y128" s="49">
        <v>126</v>
      </c>
      <c r="Z128" s="49">
        <f t="shared" si="29"/>
        <v>2321.2733688234066</v>
      </c>
      <c r="AA128" s="49" t="str">
        <f t="shared" si="37"/>
        <v>14584.9907249385i</v>
      </c>
      <c r="AB128" s="49">
        <f t="shared" si="27"/>
        <v>11.052166224580018</v>
      </c>
      <c r="AD128" s="49" t="str">
        <f t="shared" si="30"/>
        <v>0.834737906208097-0.371052481863545i</v>
      </c>
      <c r="AE128" s="49" t="str">
        <f t="shared" si="31"/>
        <v>0.999997511444647-0.00280657706790418i</v>
      </c>
      <c r="AF128" s="49" t="str">
        <f t="shared" si="45"/>
        <v>6.7530086873905-3.02453144183384i</v>
      </c>
      <c r="AG128" s="49">
        <f t="shared" si="32"/>
        <v>7.3993862431024002</v>
      </c>
      <c r="AH128" s="49">
        <f t="shared" si="46"/>
        <v>-0.42108878339456779</v>
      </c>
      <c r="AI128" s="49">
        <f t="shared" si="28"/>
        <v>-24.12661008880724</v>
      </c>
      <c r="AJ128" s="49">
        <f t="shared" si="47"/>
        <v>17.383913956002321</v>
      </c>
      <c r="AL128" s="49" t="str">
        <f t="shared" si="48"/>
        <v>0.00739688509264968-0.0856864702480842i</v>
      </c>
      <c r="AM128" s="49" t="str">
        <f t="shared" si="49"/>
        <v>1.00071329755639+0.0905671745452163i</v>
      </c>
      <c r="AN128" s="49" t="str">
        <f t="shared" si="50"/>
        <v>-2.39786516537389+13.4545238691458i</v>
      </c>
      <c r="AO128" s="49">
        <f t="shared" si="33"/>
        <v>13.666527353235264</v>
      </c>
      <c r="AP128" s="49">
        <f t="shared" si="34"/>
        <v>1.7471645879006696</v>
      </c>
      <c r="AQ128" s="49">
        <f t="shared" si="35"/>
        <v>100.10515700142211</v>
      </c>
      <c r="AR128" s="49">
        <f t="shared" si="36"/>
        <v>22.713163498494787</v>
      </c>
      <c r="AS128" s="49">
        <f t="shared" si="51"/>
        <v>40.097077454497111</v>
      </c>
      <c r="AT128" s="49">
        <f t="shared" si="52"/>
        <v>75.978546912614874</v>
      </c>
    </row>
    <row r="129" spans="18:46">
      <c r="R129" s="7"/>
      <c r="S129" s="7"/>
      <c r="T129" s="7"/>
      <c r="U129" s="7"/>
      <c r="V129" s="7"/>
      <c r="W129" s="7"/>
      <c r="X129" s="7"/>
      <c r="Y129" s="49">
        <v>127</v>
      </c>
      <c r="Z129" s="49">
        <f t="shared" si="29"/>
        <v>2468.5299588567814</v>
      </c>
      <c r="AA129" s="49" t="str">
        <f t="shared" si="37"/>
        <v>15510.2311678216i</v>
      </c>
      <c r="AB129" s="49">
        <f t="shared" si="27"/>
        <v>11.052166224580018</v>
      </c>
      <c r="AD129" s="49" t="str">
        <f t="shared" si="30"/>
        <v>0.817068893736358-0.38622247039097i</v>
      </c>
      <c r="AE129" s="49" t="str">
        <f t="shared" si="31"/>
        <v>0.999997185687237-0.00298462141372912i</v>
      </c>
      <c r="AF129" s="49" t="str">
        <f t="shared" si="45"/>
        <v>6.60898424344146-3.14818522576187i</v>
      </c>
      <c r="AG129" s="49">
        <f t="shared" si="32"/>
        <v>7.3205015501509738</v>
      </c>
      <c r="AH129" s="49">
        <f t="shared" si="46"/>
        <v>-0.44454869389095264</v>
      </c>
      <c r="AI129" s="49">
        <f t="shared" si="28"/>
        <v>-25.470763948004748</v>
      </c>
      <c r="AJ129" s="49">
        <f t="shared" si="47"/>
        <v>17.290816738656961</v>
      </c>
      <c r="AL129" s="49" t="str">
        <f t="shared" si="48"/>
        <v>0.00654631106939251-0.080644013297797i</v>
      </c>
      <c r="AM129" s="49" t="str">
        <f t="shared" si="49"/>
        <v>1.00080666169932+0.0963117793370798i</v>
      </c>
      <c r="AN129" s="49" t="str">
        <f t="shared" si="50"/>
        <v>-2.26439437500124+12.6639467764087i</v>
      </c>
      <c r="AO129" s="49">
        <f t="shared" si="33"/>
        <v>12.864798087853908</v>
      </c>
      <c r="AP129" s="49">
        <f t="shared" si="34"/>
        <v>1.7477328564774435</v>
      </c>
      <c r="AQ129" s="49">
        <f t="shared" si="35"/>
        <v>100.13771639250116</v>
      </c>
      <c r="AR129" s="49">
        <f t="shared" si="36"/>
        <v>22.1880594875398</v>
      </c>
      <c r="AS129" s="49">
        <f t="shared" si="51"/>
        <v>39.478876226196761</v>
      </c>
      <c r="AT129" s="49">
        <f t="shared" si="52"/>
        <v>74.666952444496417</v>
      </c>
    </row>
    <row r="130" spans="18:46">
      <c r="R130" s="7"/>
      <c r="S130" s="7"/>
      <c r="T130" s="7"/>
      <c r="U130" s="7"/>
      <c r="V130" s="7"/>
      <c r="W130" s="7"/>
      <c r="X130" s="7"/>
      <c r="Y130" s="49">
        <v>128</v>
      </c>
      <c r="Z130" s="49">
        <f t="shared" si="29"/>
        <v>2625.1281902493761</v>
      </c>
      <c r="AA130" s="49" t="str">
        <f t="shared" si="37"/>
        <v>16494.1668744378i</v>
      </c>
      <c r="AB130" s="49">
        <f t="shared" ref="AB130:AB193" si="53">$B$22/$G$3</f>
        <v>11.052166224580018</v>
      </c>
      <c r="AD130" s="49" t="str">
        <f t="shared" si="30"/>
        <v>0.797968909551634-0.401103148612992i</v>
      </c>
      <c r="AE130" s="49" t="str">
        <f t="shared" si="31"/>
        <v>0.999996817286667-0.00317396073949217i</v>
      </c>
      <c r="AF130" s="49" t="str">
        <f t="shared" si="45"/>
        <v>6.45329559773591-3.26948074027888i</v>
      </c>
      <c r="AG130" s="49">
        <f t="shared" si="32"/>
        <v>7.2342607350587125</v>
      </c>
      <c r="AH130" s="49">
        <f t="shared" si="46"/>
        <v>-0.46894339912316418</v>
      </c>
      <c r="AI130" s="49">
        <f t="shared" ref="AI130:AI193" si="54">AH130/(PI())*180</f>
        <v>-26.868477600276176</v>
      </c>
      <c r="AJ130" s="49">
        <f t="shared" si="47"/>
        <v>17.187883148386518</v>
      </c>
      <c r="AL130" s="49" t="str">
        <f t="shared" si="48"/>
        <v>0.00579297444392169-0.0758908155906481i</v>
      </c>
      <c r="AM130" s="49" t="str">
        <f t="shared" si="49"/>
        <v>1.00091224538736+0.102420651057328i</v>
      </c>
      <c r="AN130" s="49" t="str">
        <f t="shared" si="50"/>
        <v>-2.14617946702731+11.9187955834403i</v>
      </c>
      <c r="AO130" s="49">
        <f t="shared" si="33"/>
        <v>12.110482007935342</v>
      </c>
      <c r="AP130" s="49">
        <f t="shared" si="34"/>
        <v>1.7489539749022061</v>
      </c>
      <c r="AQ130" s="49">
        <f t="shared" si="35"/>
        <v>100.20768132452572</v>
      </c>
      <c r="AR130" s="49">
        <f t="shared" si="36"/>
        <v>21.663228575859673</v>
      </c>
      <c r="AS130" s="49">
        <f t="shared" si="51"/>
        <v>38.851111724246195</v>
      </c>
      <c r="AT130" s="49">
        <f t="shared" si="52"/>
        <v>73.339203724249543</v>
      </c>
    </row>
    <row r="131" spans="18:46">
      <c r="R131" s="7"/>
      <c r="S131" s="7"/>
      <c r="T131" s="7"/>
      <c r="U131" s="7"/>
      <c r="V131" s="7"/>
      <c r="W131" s="7"/>
      <c r="X131" s="7"/>
      <c r="Y131" s="49">
        <v>129</v>
      </c>
      <c r="Z131" s="49">
        <f t="shared" ref="Z131:Z194" si="55">10^(LOG($G$6/$G$5,10)*Y131/200)</f>
        <v>2791.6606766374607</v>
      </c>
      <c r="AA131" s="49" t="str">
        <f t="shared" si="37"/>
        <v>17540.5213460795i</v>
      </c>
      <c r="AB131" s="49">
        <f t="shared" si="53"/>
        <v>11.052166224580018</v>
      </c>
      <c r="AD131" s="49" t="str">
        <f t="shared" ref="AD131:AD194" si="56">IMDIV(IMSUM(1,IMDIV(AA131,$G$12)),IMSUM(1,IMDIV(AA131,$G$14)))</f>
        <v>0.777419031558818-0.415540901388081i</v>
      </c>
      <c r="AE131" s="49" t="str">
        <f t="shared" ref="AE131:AE194" si="57">IMDIV(1,IMSUM(1,IMDIV(AA131,IMPRODUCT($G$10*$G$11)),IMDIV(IMPRODUCT(AA131,AA131),$G$10*$G$10)))</f>
        <v>0.999996400660525-0.00337531162094711i</v>
      </c>
      <c r="AF131" s="49" t="str">
        <f t="shared" si="45"/>
        <v>6.28578851126349-3.38716582903523i</v>
      </c>
      <c r="AG131" s="49">
        <f t="shared" ref="AG131:AG194" si="58">IMABS(AF131)</f>
        <v>7.140310186659681</v>
      </c>
      <c r="AH131" s="49">
        <f t="shared" si="46"/>
        <v>-0.49425093562766664</v>
      </c>
      <c r="AI131" s="49">
        <f t="shared" si="54"/>
        <v>-28.318492631857431</v>
      </c>
      <c r="AJ131" s="49">
        <f t="shared" si="47"/>
        <v>17.074341572858376</v>
      </c>
      <c r="AL131" s="49" t="str">
        <f t="shared" si="48"/>
        <v>0.00512588301447944-0.0714115420488965i</v>
      </c>
      <c r="AM131" s="49" t="str">
        <f t="shared" si="49"/>
        <v>1.00103164765022+0.108916865914834i</v>
      </c>
      <c r="AN131" s="49" t="str">
        <f t="shared" si="50"/>
        <v>-2.04149551953738+11.2166665969656i</v>
      </c>
      <c r="AO131" s="49">
        <f t="shared" ref="AO131:AO194" si="59">IMABS(AN131)</f>
        <v>11.400934764473265</v>
      </c>
      <c r="AP131" s="49">
        <f t="shared" ref="AP131:AP194" si="60">IMARGUMENT(AN131)</f>
        <v>1.7508311883782588</v>
      </c>
      <c r="AQ131" s="49">
        <f t="shared" ref="AQ131:AQ194" si="61">AP131/(PI())*180</f>
        <v>100.31523773394862</v>
      </c>
      <c r="AR131" s="49">
        <f t="shared" ref="AR131:AR194" si="62">20*LOG(AO131,10)</f>
        <v>21.13880921341309</v>
      </c>
      <c r="AS131" s="49">
        <f t="shared" si="51"/>
        <v>38.21315078627147</v>
      </c>
      <c r="AT131" s="49">
        <f t="shared" si="52"/>
        <v>71.996745102091182</v>
      </c>
    </row>
    <row r="132" spans="18:46">
      <c r="R132" s="7"/>
      <c r="S132" s="7"/>
      <c r="T132" s="7"/>
      <c r="U132" s="7"/>
      <c r="V132" s="7"/>
      <c r="W132" s="7"/>
      <c r="X132" s="7"/>
      <c r="Y132" s="49">
        <v>130</v>
      </c>
      <c r="Z132" s="49">
        <f t="shared" si="55"/>
        <v>2968.757625791824</v>
      </c>
      <c r="AA132" s="49" t="str">
        <f t="shared" ref="AA132:AA195" si="63">IMPRODUCT(COMPLEX(0,1),2*PI()*Z132)</f>
        <v>18653.2542949525i</v>
      </c>
      <c r="AB132" s="49">
        <f t="shared" si="53"/>
        <v>11.052166224580018</v>
      </c>
      <c r="AD132" s="49" t="str">
        <f t="shared" si="56"/>
        <v>0.75542087993017-0.429371302593671i</v>
      </c>
      <c r="AE132" s="49" t="str">
        <f t="shared" si="57"/>
        <v>0.99999592949555-0.00358943610129872i</v>
      </c>
      <c r="AF132" s="49" t="str">
        <f t="shared" si="45"/>
        <v>6.10647618998027-3.49990021261981i</v>
      </c>
      <c r="AG132" s="49">
        <f t="shared" si="58"/>
        <v>7.0383487379563787</v>
      </c>
      <c r="AH132" s="49">
        <f t="shared" ref="AH132:AH163" si="64">IMARGUMENT(AF132)</f>
        <v>-0.52043956340716779</v>
      </c>
      <c r="AI132" s="49">
        <f t="shared" si="54"/>
        <v>-29.818990474861913</v>
      </c>
      <c r="AJ132" s="49">
        <f t="shared" ref="AJ132:AJ163" si="65">20*LOG(AG132,10)</f>
        <v>16.949415631392544</v>
      </c>
      <c r="AL132" s="49" t="str">
        <f t="shared" ref="AL132:AL163" si="66">IMDIV(1,IMSUM(1,IMDIV(AA132,wp2e)))</f>
        <v>0.00453526024189047-0.0671914552337482i</v>
      </c>
      <c r="AM132" s="49" t="str">
        <f t="shared" ref="AM132:AM163" si="67">IMDIV(IMSUM(1,IMDIV(AA132,wz2e)),IMSUM(1,IMDIV(AA132,wp1e)))</f>
        <v>1.00116667668862+0.1158249575205i</v>
      </c>
      <c r="AN132" s="49" t="str">
        <f t="shared" ref="AN132:AN163" si="68">IMPRODUCT($AK$2,AL132,AM132)</f>
        <v>-1.94880833368963+10.5552500540588i</v>
      </c>
      <c r="AO132" s="49">
        <f t="shared" si="59"/>
        <v>10.733646054587716</v>
      </c>
      <c r="AP132" s="49">
        <f t="shared" si="60"/>
        <v>1.7533696279188247</v>
      </c>
      <c r="AQ132" s="49">
        <f t="shared" si="61"/>
        <v>100.46067960617218</v>
      </c>
      <c r="AR132" s="49">
        <f t="shared" si="62"/>
        <v>20.614945403753243</v>
      </c>
      <c r="AS132" s="49">
        <f t="shared" ref="AS132:AS163" si="69">AR132+AJ132</f>
        <v>37.564361035145787</v>
      </c>
      <c r="AT132" s="49">
        <f t="shared" ref="AT132:AT163" si="70">AQ132+AI132</f>
        <v>70.641689131310272</v>
      </c>
    </row>
    <row r="133" spans="18:46">
      <c r="R133" s="7"/>
      <c r="S133" s="7"/>
      <c r="T133" s="7"/>
      <c r="U133" s="7"/>
      <c r="V133" s="7"/>
      <c r="W133" s="7"/>
      <c r="X133" s="7"/>
      <c r="Y133" s="49">
        <v>131</v>
      </c>
      <c r="Z133" s="49">
        <f t="shared" si="55"/>
        <v>3157.0892245088098</v>
      </c>
      <c r="AA133" s="49" t="str">
        <f t="shared" si="63"/>
        <v>19836.5766288887i</v>
      </c>
      <c r="AB133" s="49">
        <f t="shared" si="53"/>
        <v>11.052166224580018</v>
      </c>
      <c r="AD133" s="49" t="str">
        <f t="shared" si="56"/>
        <v>0.73199967362027-0.442422133727719i</v>
      </c>
      <c r="AE133" s="49" t="str">
        <f t="shared" si="57"/>
        <v>0.999995396651919-0.00381714457747018i</v>
      </c>
      <c r="AF133" s="49" t="str">
        <f t="shared" si="45"/>
        <v>5.91556419919877-3.60628009390774i</v>
      </c>
      <c r="AG133" s="49">
        <f t="shared" si="58"/>
        <v>6.9281423130993343</v>
      </c>
      <c r="AH133" s="49">
        <f t="shared" si="64"/>
        <v>-0.54746719057751336</v>
      </c>
      <c r="AI133" s="49">
        <f t="shared" si="54"/>
        <v>-31.367559441975825</v>
      </c>
      <c r="AJ133" s="49">
        <f t="shared" si="65"/>
        <v>16.812336001545368</v>
      </c>
      <c r="AL133" s="49" t="str">
        <f t="shared" si="66"/>
        <v>0.0040124166937938-0.0632164314563007i</v>
      </c>
      <c r="AM133" s="49" t="str">
        <f t="shared" si="67"/>
        <v>1.00131937721514+0.123171008024695i</v>
      </c>
      <c r="AN133" s="49" t="str">
        <f t="shared" si="68"/>
        <v>-1.86675425951495+9.93233265986273i</v>
      </c>
      <c r="AO133" s="49">
        <f t="shared" si="59"/>
        <v>10.106235873538331</v>
      </c>
      <c r="AP133" s="49">
        <f t="shared" si="60"/>
        <v>1.7565762681068069</v>
      </c>
      <c r="AQ133" s="49">
        <f t="shared" si="61"/>
        <v>100.64440655536059</v>
      </c>
      <c r="AR133" s="49">
        <f t="shared" si="62"/>
        <v>20.091788603911414</v>
      </c>
      <c r="AS133" s="49">
        <f t="shared" si="69"/>
        <v>36.904124605456786</v>
      </c>
      <c r="AT133" s="49">
        <f t="shared" si="70"/>
        <v>69.276847113384761</v>
      </c>
    </row>
    <row r="134" spans="18:46">
      <c r="R134" s="7"/>
      <c r="S134" s="7"/>
      <c r="T134" s="7"/>
      <c r="U134" s="7"/>
      <c r="V134" s="7"/>
      <c r="W134" s="7"/>
      <c r="X134" s="7"/>
      <c r="Y134" s="49">
        <v>132</v>
      </c>
      <c r="Z134" s="49">
        <f t="shared" si="55"/>
        <v>3357.3681747937244</v>
      </c>
      <c r="AA134" s="49" t="str">
        <f t="shared" si="63"/>
        <v>21094.9663866563i</v>
      </c>
      <c r="AB134" s="49">
        <f t="shared" si="53"/>
        <v>11.052166224580018</v>
      </c>
      <c r="AD134" s="49" t="str">
        <f t="shared" si="56"/>
        <v>0.707206814080791-0.454517254774675i</v>
      </c>
      <c r="AE134" s="49" t="str">
        <f t="shared" si="57"/>
        <v>0.99999479405502-0.00405929886985604i</v>
      </c>
      <c r="AF134" s="49" t="str">
        <f t="shared" si="45"/>
        <v>5.71347152406798-3.70486971042231i</v>
      </c>
      <c r="AG134" s="49">
        <f t="shared" si="58"/>
        <v>6.8095386354392895</v>
      </c>
      <c r="AH134" s="49">
        <f t="shared" si="64"/>
        <v>-0.57528101053786573</v>
      </c>
      <c r="AI134" s="49">
        <f t="shared" si="54"/>
        <v>-32.961173937840741</v>
      </c>
      <c r="AJ134" s="49">
        <f t="shared" si="65"/>
        <v>16.662353765802113</v>
      </c>
      <c r="AL134" s="49" t="str">
        <f t="shared" si="66"/>
        <v>0.0035496337802495-0.0594729676430865i</v>
      </c>
      <c r="AM134" s="49" t="str">
        <f t="shared" si="67"/>
        <v>1.001492061363+0.130982744769614i</v>
      </c>
      <c r="AN134" s="49" t="str">
        <f t="shared" si="68"/>
        <v>-1.79412194993139+9.34579867523875i</v>
      </c>
      <c r="AO134" s="49">
        <f t="shared" si="59"/>
        <v>9.5164503071954307</v>
      </c>
      <c r="AP134" s="49">
        <f t="shared" si="60"/>
        <v>1.7604598717842566</v>
      </c>
      <c r="AQ134" s="49">
        <f t="shared" si="61"/>
        <v>100.86692065537993</v>
      </c>
      <c r="AR134" s="49">
        <f t="shared" si="62"/>
        <v>19.569499683073989</v>
      </c>
      <c r="AS134" s="49">
        <f t="shared" si="69"/>
        <v>36.231853448876102</v>
      </c>
      <c r="AT134" s="49">
        <f t="shared" si="70"/>
        <v>67.905746717539188</v>
      </c>
    </row>
    <row r="135" spans="18:46">
      <c r="R135" s="7"/>
      <c r="S135" s="7"/>
      <c r="T135" s="7"/>
      <c r="U135" s="7"/>
      <c r="V135" s="7"/>
      <c r="W135" s="7"/>
      <c r="X135" s="7"/>
      <c r="Y135" s="49">
        <v>133</v>
      </c>
      <c r="Z135" s="49">
        <f t="shared" si="55"/>
        <v>3570.3523909342362</v>
      </c>
      <c r="AA135" s="49" t="str">
        <f t="shared" si="63"/>
        <v>22433.1856841715i</v>
      </c>
      <c r="AB135" s="49">
        <f t="shared" si="53"/>
        <v>11.052166224580018</v>
      </c>
      <c r="AD135" s="49" t="str">
        <f t="shared" si="56"/>
        <v>0.681121746058945-0.465481258193797i</v>
      </c>
      <c r="AE135" s="49" t="str">
        <f t="shared" si="57"/>
        <v>0.999994112573031-0.00431681548727909i</v>
      </c>
      <c r="AF135" s="49" t="str">
        <f t="shared" si="45"/>
        <v>5.50084573738527-3.79423927011705i</v>
      </c>
      <c r="AG135" s="49">
        <f t="shared" si="58"/>
        <v>6.6824812356944232</v>
      </c>
      <c r="AH135" s="49">
        <f t="shared" si="64"/>
        <v>-0.60381740243660353</v>
      </c>
      <c r="AI135" s="49">
        <f t="shared" si="54"/>
        <v>-34.596188756169731</v>
      </c>
      <c r="AJ135" s="49">
        <f t="shared" si="65"/>
        <v>16.498754958759868</v>
      </c>
      <c r="AL135" s="49" t="str">
        <f t="shared" si="66"/>
        <v>0.00314005890363803-0.0559481807900821i</v>
      </c>
      <c r="AM135" s="49" t="str">
        <f t="shared" si="67"/>
        <v>1.00168734362666+0.139289642752545i</v>
      </c>
      <c r="AN135" s="49" t="str">
        <f t="shared" si="68"/>
        <v>-1.72983590530391+8.79362984212092i</v>
      </c>
      <c r="AO135" s="49">
        <f t="shared" si="59"/>
        <v>8.9621569981516274</v>
      </c>
      <c r="AP135" s="49">
        <f t="shared" si="60"/>
        <v>1.7650309193913505</v>
      </c>
      <c r="AQ135" s="49">
        <f t="shared" si="61"/>
        <v>101.1288223912198</v>
      </c>
      <c r="AR135" s="49">
        <f t="shared" si="62"/>
        <v>19.04825095140146</v>
      </c>
      <c r="AS135" s="49">
        <f t="shared" si="69"/>
        <v>35.547005910161332</v>
      </c>
      <c r="AT135" s="49">
        <f t="shared" si="70"/>
        <v>66.532633635050075</v>
      </c>
    </row>
    <row r="136" spans="18:46">
      <c r="R136" s="7"/>
      <c r="S136" s="7"/>
      <c r="T136" s="7"/>
      <c r="U136" s="7"/>
      <c r="V136" s="7"/>
      <c r="W136" s="7"/>
      <c r="X136" s="7"/>
      <c r="Y136" s="49">
        <v>134</v>
      </c>
      <c r="Z136" s="49">
        <f t="shared" si="55"/>
        <v>3796.8478676703417</v>
      </c>
      <c r="AA136" s="49" t="str">
        <f t="shared" si="63"/>
        <v>23856.2987357424i</v>
      </c>
      <c r="AB136" s="49">
        <f t="shared" si="53"/>
        <v>11.052166224580018</v>
      </c>
      <c r="AD136" s="49" t="str">
        <f t="shared" si="56"/>
        <v>0.65385285101386-0.475144757385748i</v>
      </c>
      <c r="AE136" s="49" t="str">
        <f t="shared" si="57"/>
        <v>0.999993341878458-0.00459066909962884i</v>
      </c>
      <c r="AF136" s="49" t="str">
        <f t="shared" si="45"/>
        <v>5.2785702820405-3.87300805894405i</v>
      </c>
      <c r="AG136" s="49">
        <f t="shared" si="58"/>
        <v>6.5470218914470326</v>
      </c>
      <c r="AH136" s="49">
        <f t="shared" si="64"/>
        <v>-0.63300213903328539</v>
      </c>
      <c r="AI136" s="49">
        <f t="shared" si="54"/>
        <v>-36.268350989360599</v>
      </c>
      <c r="AJ136" s="49">
        <f t="shared" si="65"/>
        <v>16.32087586172312</v>
      </c>
      <c r="AL136" s="49" t="str">
        <f t="shared" si="66"/>
        <v>0.00277761113405038-0.0526298015428368i</v>
      </c>
      <c r="AM136" s="49" t="str">
        <f t="shared" si="67"/>
        <v>1.00190818035807+0.148123033203802i</v>
      </c>
      <c r="AN136" s="49" t="str">
        <f t="shared" si="68"/>
        <v>-1.67294166903348+8.27390438787776i</v>
      </c>
      <c r="AO136" s="49">
        <f t="shared" si="59"/>
        <v>8.4413403940210454</v>
      </c>
      <c r="AP136" s="49">
        <f t="shared" si="60"/>
        <v>1.7703015201315218</v>
      </c>
      <c r="AQ136" s="49">
        <f t="shared" si="61"/>
        <v>101.43080556913014</v>
      </c>
      <c r="AR136" s="49">
        <f t="shared" si="62"/>
        <v>18.528228267837314</v>
      </c>
      <c r="AS136" s="49">
        <f t="shared" si="69"/>
        <v>34.84910412956043</v>
      </c>
      <c r="AT136" s="49">
        <f t="shared" si="70"/>
        <v>65.162454579769545</v>
      </c>
    </row>
    <row r="137" spans="18:46">
      <c r="R137" s="7"/>
      <c r="S137" s="7"/>
      <c r="T137" s="7"/>
      <c r="U137" s="7"/>
      <c r="V137" s="7"/>
      <c r="W137" s="7"/>
      <c r="X137" s="7"/>
      <c r="Y137" s="49">
        <v>135</v>
      </c>
      <c r="Z137" s="49">
        <f t="shared" si="55"/>
        <v>4037.7117303148448</v>
      </c>
      <c r="AA137" s="49" t="str">
        <f t="shared" si="63"/>
        <v>25369.6910185409i</v>
      </c>
      <c r="AB137" s="49">
        <f t="shared" si="53"/>
        <v>11.052166224580018</v>
      </c>
      <c r="AD137" s="49" t="str">
        <f t="shared" si="56"/>
        <v>0.625537161945639-0.48335007899321i</v>
      </c>
      <c r="AE137" s="49" t="str">
        <f t="shared" si="57"/>
        <v>0.999992470291542-0.00488189623146988i</v>
      </c>
      <c r="AF137" s="49" t="str">
        <f t="shared" si="45"/>
        <v>5.04776214650692-3.93989084017098i</v>
      </c>
      <c r="AG137" s="49">
        <f t="shared" si="58"/>
        <v>6.4033305802661271</v>
      </c>
      <c r="AH137" s="49">
        <f t="shared" si="64"/>
        <v>-0.66275093436179955</v>
      </c>
      <c r="AI137" s="49">
        <f t="shared" si="54"/>
        <v>-37.97283140728296</v>
      </c>
      <c r="AJ137" s="49">
        <f t="shared" si="65"/>
        <v>16.128118468403912</v>
      </c>
      <c r="AL137" s="49" t="str">
        <f t="shared" si="66"/>
        <v>0.00245689653396556-0.0495061631858797i</v>
      </c>
      <c r="AM137" s="49" t="str">
        <f t="shared" si="67"/>
        <v>1.00215791440985+0.157516218589355i</v>
      </c>
      <c r="AN137" s="49" t="str">
        <f t="shared" si="68"/>
        <v>-1.62259253663019+7.78479531004971i</v>
      </c>
      <c r="AO137" s="49">
        <f t="shared" si="59"/>
        <v>7.9520968655631936</v>
      </c>
      <c r="AP137" s="49">
        <f t="shared" si="60"/>
        <v>1.7762853015773954</v>
      </c>
      <c r="AQ137" s="49">
        <f t="shared" si="61"/>
        <v>101.7736509915074</v>
      </c>
      <c r="AR137" s="49">
        <f t="shared" si="62"/>
        <v>18.009633232421358</v>
      </c>
      <c r="AS137" s="49">
        <f t="shared" si="69"/>
        <v>34.13775170082527</v>
      </c>
      <c r="AT137" s="49">
        <f t="shared" si="70"/>
        <v>63.800819584224435</v>
      </c>
    </row>
    <row r="138" spans="18:46">
      <c r="R138" s="7"/>
      <c r="S138" s="7"/>
      <c r="T138" s="7"/>
      <c r="U138" s="7"/>
      <c r="V138" s="7"/>
      <c r="W138" s="7"/>
      <c r="X138" s="7"/>
      <c r="Y138" s="49">
        <v>136</v>
      </c>
      <c r="Z138" s="49">
        <f t="shared" si="55"/>
        <v>4293.8554783669315</v>
      </c>
      <c r="AA138" s="49" t="str">
        <f t="shared" si="63"/>
        <v>26979.0896528277i</v>
      </c>
      <c r="AB138" s="49">
        <f t="shared" si="53"/>
        <v>11.052166224580018</v>
      </c>
      <c r="AD138" s="49" t="str">
        <f t="shared" si="56"/>
        <v>0.596338751578722-0.489957054423535i</v>
      </c>
      <c r="AE138" s="49" t="str">
        <f t="shared" si="57"/>
        <v>0.999991484603133-0.00519159919077409i</v>
      </c>
      <c r="AF138" s="49" t="str">
        <f t="shared" si="45"/>
        <v>4.80975872651853-3.99374506248036i</v>
      </c>
      <c r="AG138" s="49">
        <f t="shared" si="58"/>
        <v>6.251702058752274</v>
      </c>
      <c r="AH138" s="49">
        <f t="shared" si="64"/>
        <v>-0.69297034704131077</v>
      </c>
      <c r="AI138" s="49">
        <f t="shared" si="54"/>
        <v>-39.704276213183086</v>
      </c>
      <c r="AJ138" s="49">
        <f t="shared" si="65"/>
        <v>15.919965447969597</v>
      </c>
      <c r="AL138" s="49" t="str">
        <f t="shared" si="66"/>
        <v>0.00217313228561759-0.0465661871070286i</v>
      </c>
      <c r="AM138" s="49" t="str">
        <f t="shared" si="67"/>
        <v>1.00244032559287+0.167504594352066i</v>
      </c>
      <c r="AN138" s="49" t="str">
        <f t="shared" si="68"/>
        <v>-1.57803764536147+7.32456810870132i</v>
      </c>
      <c r="AO138" s="49">
        <f t="shared" si="59"/>
        <v>7.4926297645874911</v>
      </c>
      <c r="AP138" s="49">
        <f t="shared" si="60"/>
        <v>1.7829972737572359</v>
      </c>
      <c r="AQ138" s="49">
        <f t="shared" si="61"/>
        <v>102.15821866962146</v>
      </c>
      <c r="AR138" s="49">
        <f t="shared" si="62"/>
        <v>17.492685464268966</v>
      </c>
      <c r="AS138" s="49">
        <f t="shared" si="69"/>
        <v>33.412650912238561</v>
      </c>
      <c r="AT138" s="49">
        <f t="shared" si="70"/>
        <v>62.453942456438376</v>
      </c>
    </row>
    <row r="139" spans="18:46">
      <c r="R139" s="7"/>
      <c r="S139" s="7"/>
      <c r="T139" s="7"/>
      <c r="U139" s="7"/>
      <c r="V139" s="7"/>
      <c r="W139" s="7"/>
      <c r="X139" s="7"/>
      <c r="Y139" s="49">
        <v>137</v>
      </c>
      <c r="Z139" s="49">
        <f t="shared" si="55"/>
        <v>4566.248434893605</v>
      </c>
      <c r="AA139" s="49" t="str">
        <f t="shared" si="63"/>
        <v>28690.5850750553i</v>
      </c>
      <c r="AB139" s="49">
        <f t="shared" si="53"/>
        <v>11.052166224580018</v>
      </c>
      <c r="AD139" s="49" t="str">
        <f t="shared" si="56"/>
        <v>0.566445736729521-0.494848551929327i</v>
      </c>
      <c r="AE139" s="49" t="str">
        <f t="shared" si="57"/>
        <v>0.99999036987435-0.00552095024785674i</v>
      </c>
      <c r="AF139" s="49" t="str">
        <f t="shared" si="45"/>
        <v>4.56609340692713-4.03361595329256i</v>
      </c>
      <c r="AG139" s="49">
        <f t="shared" si="58"/>
        <v>6.0925583016857257</v>
      </c>
      <c r="AH139" s="49">
        <f t="shared" si="64"/>
        <v>-0.72355903451796888</v>
      </c>
      <c r="AI139" s="49">
        <f t="shared" si="54"/>
        <v>-41.456878906440267</v>
      </c>
      <c r="AJ139" s="49">
        <f t="shared" si="65"/>
        <v>15.695993875655541</v>
      </c>
      <c r="AL139" s="49" t="str">
        <f t="shared" si="66"/>
        <v>0.0019220788154498-0.0437993656172895i</v>
      </c>
      <c r="AM139" s="49" t="str">
        <f t="shared" si="67"/>
        <v>1.00275968770085+0.178125777706522i</v>
      </c>
      <c r="AN139" s="49" t="str">
        <f t="shared" si="68"/>
        <v>-1.53861131799027+6.89157810460577i</v>
      </c>
      <c r="AO139" s="49">
        <f t="shared" si="59"/>
        <v>7.0612444767002236</v>
      </c>
      <c r="AP139" s="49">
        <f t="shared" si="60"/>
        <v>1.7904536631868144</v>
      </c>
      <c r="AQ139" s="49">
        <f t="shared" si="61"/>
        <v>102.58543831434227</v>
      </c>
      <c r="AR139" s="49">
        <f t="shared" si="62"/>
        <v>16.977624960794408</v>
      </c>
      <c r="AS139" s="49">
        <f t="shared" si="69"/>
        <v>32.673618836449947</v>
      </c>
      <c r="AT139" s="49">
        <f t="shared" si="70"/>
        <v>61.128559407902003</v>
      </c>
    </row>
    <row r="140" spans="18:46">
      <c r="R140" s="7"/>
      <c r="S140" s="7"/>
      <c r="T140" s="7"/>
      <c r="U140" s="7"/>
      <c r="V140" s="7"/>
      <c r="W140" s="7"/>
      <c r="X140" s="7"/>
      <c r="Y140" s="49">
        <v>138</v>
      </c>
      <c r="Z140" s="49">
        <f t="shared" si="55"/>
        <v>4855.9214147324665</v>
      </c>
      <c r="AA140" s="49" t="str">
        <f t="shared" si="63"/>
        <v>30510.6540858657i</v>
      </c>
      <c r="AB140" s="49">
        <f t="shared" si="53"/>
        <v>11.052166224580018</v>
      </c>
      <c r="AD140" s="49" t="str">
        <f t="shared" si="56"/>
        <v>0.536065953023271-0.497935367637776i</v>
      </c>
      <c r="AE140" s="49" t="str">
        <f t="shared" si="57"/>
        <v>0.999989109209978-0.00587119608058592i</v>
      </c>
      <c r="AF140" s="49" t="str">
        <f t="shared" ref="AF140:AF202" si="71">IMPRODUCT(AB140,AC$2,AD140,AE140)</f>
        <v>4.31846030525031-4.05877638672338i</v>
      </c>
      <c r="AG140" s="49">
        <f t="shared" si="58"/>
        <v>5.9264462509539308</v>
      </c>
      <c r="AH140" s="49">
        <f t="shared" si="64"/>
        <v>-0.7544093305333609</v>
      </c>
      <c r="AI140" s="49">
        <f t="shared" si="54"/>
        <v>-43.224470664851488</v>
      </c>
      <c r="AJ140" s="49">
        <f t="shared" si="65"/>
        <v>15.455886999681493</v>
      </c>
      <c r="AL140" s="49" t="str">
        <f t="shared" si="66"/>
        <v>0.00169997915813892-0.041195742850455i</v>
      </c>
      <c r="AM140" s="49" t="str">
        <f t="shared" si="67"/>
        <v>1.00312083295126+0.189419743799722i</v>
      </c>
      <c r="AN140" s="49" t="str">
        <f t="shared" si="68"/>
        <v>-1.50372354165198+6.48426745691422i</v>
      </c>
      <c r="AO140" s="49">
        <f t="shared" si="59"/>
        <v>6.6563435114569609</v>
      </c>
      <c r="AP140" s="49">
        <f t="shared" si="60"/>
        <v>1.7986717117570197</v>
      </c>
      <c r="AQ140" s="49">
        <f t="shared" si="61"/>
        <v>103.05629781324856</v>
      </c>
      <c r="AR140" s="49">
        <f t="shared" si="62"/>
        <v>16.46471452671312</v>
      </c>
      <c r="AS140" s="49">
        <f t="shared" si="69"/>
        <v>31.920601526394613</v>
      </c>
      <c r="AT140" s="49">
        <f t="shared" si="70"/>
        <v>59.831827148397075</v>
      </c>
    </row>
    <row r="141" spans="18:46">
      <c r="R141" s="7"/>
      <c r="S141" s="7"/>
      <c r="T141" s="7"/>
      <c r="U141" s="7"/>
      <c r="V141" s="7"/>
      <c r="W141" s="7"/>
      <c r="X141" s="7"/>
      <c r="Y141" s="49">
        <v>139</v>
      </c>
      <c r="Z141" s="49">
        <f t="shared" si="55"/>
        <v>5163.9706253973836</v>
      </c>
      <c r="AA141" s="49" t="str">
        <f t="shared" si="63"/>
        <v>32446.1843602037i</v>
      </c>
      <c r="AB141" s="49">
        <f t="shared" si="53"/>
        <v>11.052166224580018</v>
      </c>
      <c r="AD141" s="49" t="str">
        <f t="shared" si="56"/>
        <v>0.505421473773406-0.499160110159205i</v>
      </c>
      <c r="AE141" s="49" t="str">
        <f t="shared" si="57"/>
        <v>0.999987683502151-0.00624366250299422i</v>
      </c>
      <c r="AF141" s="49" t="str">
        <f t="shared" si="71"/>
        <v>4.06866959370477-4.06875854795988i</v>
      </c>
      <c r="AG141" s="49">
        <f t="shared" si="58"/>
        <v>5.7540306207331158</v>
      </c>
      <c r="AH141" s="49">
        <f t="shared" si="64"/>
        <v>-0.78540909489245614</v>
      </c>
      <c r="AI141" s="49">
        <f t="shared" si="54"/>
        <v>-45.000626328527723</v>
      </c>
      <c r="AJ141" s="49">
        <f t="shared" si="65"/>
        <v>15.199443374165877</v>
      </c>
      <c r="AL141" s="49" t="str">
        <f t="shared" si="66"/>
        <v>0.00150350485462758-0.038745894334493i</v>
      </c>
      <c r="AM141" s="49" t="str">
        <f t="shared" si="67"/>
        <v>1.00352922479988+0.201428969542472i</v>
      </c>
      <c r="AN141" s="49" t="str">
        <f t="shared" si="68"/>
        <v>-1.47285147106009+6.10116197324571i</v>
      </c>
      <c r="AO141" s="49">
        <f t="shared" si="59"/>
        <v>6.2764216620287199</v>
      </c>
      <c r="AP141" s="49">
        <f t="shared" si="60"/>
        <v>1.8076694348843694</v>
      </c>
      <c r="AQ141" s="49">
        <f t="shared" si="61"/>
        <v>103.57182937367295</v>
      </c>
      <c r="AR141" s="49">
        <f t="shared" si="62"/>
        <v>15.954242252602642</v>
      </c>
      <c r="AS141" s="49">
        <f t="shared" si="69"/>
        <v>31.153685626768521</v>
      </c>
      <c r="AT141" s="49">
        <f t="shared" si="70"/>
        <v>58.571203045145232</v>
      </c>
    </row>
    <row r="142" spans="18:46">
      <c r="R142" s="7"/>
      <c r="S142" s="7"/>
      <c r="T142" s="7"/>
      <c r="U142" s="7"/>
      <c r="V142" s="7"/>
      <c r="W142" s="7"/>
      <c r="X142" s="7"/>
      <c r="Y142" s="49">
        <v>140</v>
      </c>
      <c r="Z142" s="49">
        <f t="shared" si="55"/>
        <v>5491.5618154492358</v>
      </c>
      <c r="AA142" s="49" t="str">
        <f t="shared" si="63"/>
        <v>34504.5005122991i</v>
      </c>
      <c r="AB142" s="49">
        <f t="shared" si="53"/>
        <v>11.052166224580018</v>
      </c>
      <c r="AD142" s="49" t="str">
        <f t="shared" si="56"/>
        <v>0.474742259363601-0.498499771571428i</v>
      </c>
      <c r="AE142" s="49" t="str">
        <f t="shared" si="57"/>
        <v>0.999986071140419-0.00663975949555619i</v>
      </c>
      <c r="AF142" s="49" t="str">
        <f t="shared" si="71"/>
        <v>3.81859573375288-4.06337488996485i</v>
      </c>
      <c r="AG142" s="49">
        <f t="shared" si="58"/>
        <v>5.5760818568446924</v>
      </c>
      <c r="AH142" s="49">
        <f t="shared" si="64"/>
        <v>-0.81644376367513016</v>
      </c>
      <c r="AI142" s="49">
        <f t="shared" si="54"/>
        <v>-46.778781868361349</v>
      </c>
      <c r="AJ142" s="49">
        <f t="shared" si="65"/>
        <v>14.926582811537287</v>
      </c>
      <c r="AL142" s="49" t="str">
        <f t="shared" si="66"/>
        <v>0.00132970773204988-0.0364409057159288i</v>
      </c>
      <c r="AM142" s="49" t="str">
        <f t="shared" si="67"/>
        <v>1.00399104020788+0.214198585402973i</v>
      </c>
      <c r="AN142" s="49" t="str">
        <f t="shared" si="68"/>
        <v>-1.44553185360308+5.74086778773258i</v>
      </c>
      <c r="AO142" s="49">
        <f t="shared" si="59"/>
        <v>5.9200612577917413</v>
      </c>
      <c r="AP142" s="49">
        <f t="shared" si="60"/>
        <v>1.8174653329224797</v>
      </c>
      <c r="AQ142" s="49">
        <f t="shared" si="61"/>
        <v>104.13309298779717</v>
      </c>
      <c r="AR142" s="49">
        <f t="shared" si="62"/>
        <v>15.446524012104625</v>
      </c>
      <c r="AS142" s="49">
        <f t="shared" si="69"/>
        <v>30.373106823641912</v>
      </c>
      <c r="AT142" s="49">
        <f t="shared" si="70"/>
        <v>57.35431111943582</v>
      </c>
    </row>
    <row r="143" spans="18:46">
      <c r="R143" s="7"/>
      <c r="S143" s="7"/>
      <c r="T143" s="7"/>
      <c r="U143" s="7"/>
      <c r="V143" s="7"/>
      <c r="W143" s="7"/>
      <c r="X143" s="7"/>
      <c r="Y143" s="49">
        <v>141</v>
      </c>
      <c r="Z143" s="49">
        <f t="shared" si="55"/>
        <v>5839.9346860303567</v>
      </c>
      <c r="AA143" s="49" t="str">
        <f t="shared" si="63"/>
        <v>36693.3918141544i</v>
      </c>
      <c r="AB143" s="49">
        <f t="shared" si="53"/>
        <v>11.052166224580018</v>
      </c>
      <c r="AD143" s="49" t="str">
        <f t="shared" si="56"/>
        <v>0.444259312747504-0.495966773712602i</v>
      </c>
      <c r="AE143" s="49" t="str">
        <f t="shared" si="57"/>
        <v>0.99998424768378-0.00706098655661136i</v>
      </c>
      <c r="AF143" s="49" t="str">
        <f t="shared" si="71"/>
        <v>3.57012168489151-4.0427266620488i</v>
      </c>
      <c r="AG143" s="49">
        <f t="shared" si="58"/>
        <v>5.3934597160795432</v>
      </c>
      <c r="AH143" s="49">
        <f t="shared" si="64"/>
        <v>-0.84739851189804449</v>
      </c>
      <c r="AI143" s="49">
        <f t="shared" si="54"/>
        <v>-48.552358297424426</v>
      </c>
      <c r="AJ143" s="49">
        <f t="shared" si="65"/>
        <v>14.637348786432954</v>
      </c>
      <c r="AL143" s="49" t="str">
        <f t="shared" si="66"/>
        <v>0.00117597696664802-0.0342723510255998i</v>
      </c>
      <c r="AM143" s="49" t="str">
        <f t="shared" si="67"/>
        <v>1.00451326257679+0.22777653543337i</v>
      </c>
      <c r="AN143" s="49" t="str">
        <f t="shared" si="68"/>
        <v>-1.42135428223009+5.40206796798972i</v>
      </c>
      <c r="AO143" s="49">
        <f t="shared" si="59"/>
        <v>5.5859275260599652</v>
      </c>
      <c r="AP143" s="49">
        <f t="shared" si="60"/>
        <v>1.8280780495755002</v>
      </c>
      <c r="AQ143" s="49">
        <f t="shared" si="61"/>
        <v>104.74115686118343</v>
      </c>
      <c r="AR143" s="49">
        <f t="shared" si="62"/>
        <v>14.941905934007842</v>
      </c>
      <c r="AS143" s="49">
        <f t="shared" si="69"/>
        <v>29.579254720440794</v>
      </c>
      <c r="AT143" s="49">
        <f t="shared" si="70"/>
        <v>56.188798563759001</v>
      </c>
    </row>
    <row r="144" spans="18:46">
      <c r="R144" s="7"/>
      <c r="S144" s="7"/>
      <c r="T144" s="7"/>
      <c r="U144" s="7"/>
      <c r="V144" s="7"/>
      <c r="W144" s="7"/>
      <c r="X144" s="7"/>
      <c r="Y144" s="49">
        <v>142</v>
      </c>
      <c r="Z144" s="49">
        <f t="shared" si="55"/>
        <v>6210.4075822572904</v>
      </c>
      <c r="AA144" s="49" t="str">
        <f t="shared" si="63"/>
        <v>39021.1416724357i</v>
      </c>
      <c r="AB144" s="49">
        <f t="shared" si="53"/>
        <v>11.052166224580018</v>
      </c>
      <c r="AD144" s="49" t="str">
        <f t="shared" si="56"/>
        <v>0.414197769022533-0.491608402190024i</v>
      </c>
      <c r="AE144" s="49" t="str">
        <f t="shared" si="57"/>
        <v>0.999982185489671-0.00750893839571841i</v>
      </c>
      <c r="AF144" s="49" t="str">
        <f t="shared" si="71"/>
        <v>3.32508257605949-4.00719929632104i</v>
      </c>
      <c r="AG144" s="49">
        <f t="shared" si="58"/>
        <v>5.2070932714951681</v>
      </c>
      <c r="AH144" s="49">
        <f t="shared" si="64"/>
        <v>-0.87816043133108546</v>
      </c>
      <c r="AI144" s="49">
        <f t="shared" si="54"/>
        <v>-50.314886450659138</v>
      </c>
      <c r="AJ144" s="49">
        <f t="shared" si="65"/>
        <v>14.331907139966225</v>
      </c>
      <c r="AL144" s="49" t="str">
        <f t="shared" si="66"/>
        <v>0.00104000088255036-0.0322322707967443i</v>
      </c>
      <c r="AM144" s="49" t="str">
        <f t="shared" si="67"/>
        <v>1.0051037867199+0.242213745770108i</v>
      </c>
      <c r="AN144" s="49" t="str">
        <f t="shared" si="68"/>
        <v>-1.39995519012991+5.08351909982642i</v>
      </c>
      <c r="AO144" s="49">
        <f t="shared" si="59"/>
        <v>5.2727640732989078</v>
      </c>
      <c r="AP144" s="49">
        <f t="shared" si="60"/>
        <v>1.8395259710238561</v>
      </c>
      <c r="AQ144" s="49">
        <f t="shared" si="61"/>
        <v>105.39707444437151</v>
      </c>
      <c r="AR144" s="49">
        <f t="shared" si="62"/>
        <v>14.440766790343762</v>
      </c>
      <c r="AS144" s="49">
        <f t="shared" si="69"/>
        <v>28.772673930309985</v>
      </c>
      <c r="AT144" s="49">
        <f t="shared" si="70"/>
        <v>55.082187993712374</v>
      </c>
    </row>
    <row r="145" spans="18:46">
      <c r="R145" s="7"/>
      <c r="S145" s="7"/>
      <c r="T145" s="7"/>
      <c r="U145" s="7"/>
      <c r="V145" s="7"/>
      <c r="W145" s="7"/>
      <c r="X145" s="7"/>
      <c r="Y145" s="49">
        <v>143</v>
      </c>
      <c r="Z145" s="49">
        <f t="shared" si="55"/>
        <v>6604.3824822253073</v>
      </c>
      <c r="AA145" s="49" t="str">
        <f t="shared" si="63"/>
        <v>41496.5589753123i</v>
      </c>
      <c r="AB145" s="49">
        <f t="shared" si="53"/>
        <v>11.052166224580018</v>
      </c>
      <c r="AD145" s="49" t="str">
        <f t="shared" si="56"/>
        <v>0.384770354106787-0.485504675607885i</v>
      </c>
      <c r="AE145" s="49" t="str">
        <f t="shared" si="57"/>
        <v>0.999979853294264-0.00798531099112664i</v>
      </c>
      <c r="AF145" s="49" t="str">
        <f t="shared" si="71"/>
        <v>3.0852123856907-3.95744503922853i</v>
      </c>
      <c r="AG145" s="49">
        <f t="shared" si="58"/>
        <v>5.017958419849033</v>
      </c>
      <c r="AH145" s="49">
        <f t="shared" si="64"/>
        <v>-0.90862062492466467</v>
      </c>
      <c r="AI145" s="49">
        <f t="shared" si="54"/>
        <v>-52.060126986722658</v>
      </c>
      <c r="AJ145" s="49">
        <f t="shared" si="65"/>
        <v>14.010541166256017</v>
      </c>
      <c r="AL145" s="49" t="str">
        <f t="shared" si="66"/>
        <v>0.000919732988791481-0.0303131502820279i</v>
      </c>
      <c r="AM145" s="49" t="str">
        <f t="shared" si="67"/>
        <v>1.00577153740955+0.257564301807743i</v>
      </c>
      <c r="AN145" s="49" t="str">
        <f t="shared" si="68"/>
        <v>-1.38101250895765+4.78404788841474i</v>
      </c>
      <c r="AO145" s="49">
        <f t="shared" si="59"/>
        <v>4.9793884914257331</v>
      </c>
      <c r="AP145" s="49">
        <f t="shared" si="60"/>
        <v>1.8518267597609421</v>
      </c>
      <c r="AQ145" s="49">
        <f t="shared" si="61"/>
        <v>106.1018577236886</v>
      </c>
      <c r="AR145" s="49">
        <f t="shared" si="62"/>
        <v>13.943520224246061</v>
      </c>
      <c r="AS145" s="49">
        <f t="shared" si="69"/>
        <v>27.954061390502076</v>
      </c>
      <c r="AT145" s="49">
        <f t="shared" si="70"/>
        <v>54.041730736965938</v>
      </c>
    </row>
    <row r="146" spans="18:46">
      <c r="R146" s="7"/>
      <c r="S146" s="7"/>
      <c r="T146" s="7"/>
      <c r="U146" s="7"/>
      <c r="V146" s="7"/>
      <c r="W146" s="7"/>
      <c r="X146" s="7"/>
      <c r="Y146" s="49">
        <v>144</v>
      </c>
      <c r="Z146" s="49">
        <f t="shared" si="55"/>
        <v>7023.3503025047467</v>
      </c>
      <c r="AA146" s="49" t="str">
        <f t="shared" si="63"/>
        <v>44129.0114278731i</v>
      </c>
      <c r="AB146" s="49">
        <f t="shared" si="53"/>
        <v>11.052166224580018</v>
      </c>
      <c r="AD146" s="49" t="str">
        <f t="shared" si="56"/>
        <v>0.356171608209072-0.477764826291005i</v>
      </c>
      <c r="AE146" s="49" t="str">
        <f t="shared" si="57"/>
        <v>0.999977215737646-0.00849190803506041i</v>
      </c>
      <c r="AF146" s="49" t="str">
        <f t="shared" si="71"/>
        <v>2.85209685577805-3.89435426505919i</v>
      </c>
      <c r="AG146" s="49">
        <f t="shared" si="58"/>
        <v>4.8270541344099041</v>
      </c>
      <c r="AH146" s="49">
        <f t="shared" si="64"/>
        <v>-0.93867612627669617</v>
      </c>
      <c r="AI146" s="49">
        <f t="shared" si="54"/>
        <v>-53.782180365343798</v>
      </c>
      <c r="AJ146" s="49">
        <f t="shared" si="65"/>
        <v>13.67364338736895</v>
      </c>
      <c r="AL146" s="49" t="str">
        <f t="shared" si="66"/>
        <v>0.000813361803680209-0.0285078979627843i</v>
      </c>
      <c r="AM146" s="49" t="str">
        <f t="shared" si="67"/>
        <v>1.00652660323181+0.273885634190846i</v>
      </c>
      <c r="AN146" s="49" t="str">
        <f t="shared" si="68"/>
        <v>-1.36424091967474+4.5025478062573i</v>
      </c>
      <c r="AO146" s="49">
        <f t="shared" si="59"/>
        <v>4.7046880911009827</v>
      </c>
      <c r="AP146" s="49">
        <f t="shared" si="60"/>
        <v>1.864996817856813</v>
      </c>
      <c r="AQ146" s="49">
        <f t="shared" si="61"/>
        <v>106.85644646852411</v>
      </c>
      <c r="AR146" s="49">
        <f t="shared" si="62"/>
        <v>13.450616721880015</v>
      </c>
      <c r="AS146" s="49">
        <f t="shared" si="69"/>
        <v>27.124260109248965</v>
      </c>
      <c r="AT146" s="49">
        <f t="shared" si="70"/>
        <v>53.074266103180314</v>
      </c>
    </row>
    <row r="147" spans="18:46">
      <c r="R147" s="7"/>
      <c r="S147" s="7"/>
      <c r="T147" s="7"/>
      <c r="U147" s="7"/>
      <c r="V147" s="7"/>
      <c r="W147" s="7"/>
      <c r="X147" s="7"/>
      <c r="Y147" s="49">
        <v>145</v>
      </c>
      <c r="Z147" s="49">
        <f t="shared" si="55"/>
        <v>7468.8965402065769</v>
      </c>
      <c r="AA147" s="49" t="str">
        <f t="shared" si="63"/>
        <v>46928.4610022704i</v>
      </c>
      <c r="AB147" s="49">
        <f t="shared" si="53"/>
        <v>11.052166224580018</v>
      </c>
      <c r="AD147" s="49" t="str">
        <f t="shared" si="56"/>
        <v>0.328573190338551-0.468522674506086i</v>
      </c>
      <c r="AE147" s="49" t="str">
        <f t="shared" si="57"/>
        <v>0.999974232826623-0.00903064779213489i</v>
      </c>
      <c r="AF147" s="49" t="str">
        <f t="shared" si="71"/>
        <v>2.62713521774988-3.81901777007265i</v>
      </c>
      <c r="AG147" s="49">
        <f t="shared" si="58"/>
        <v>4.6353787526449644</v>
      </c>
      <c r="AH147" s="49">
        <f t="shared" si="64"/>
        <v>-0.96823156684164369</v>
      </c>
      <c r="AI147" s="49">
        <f t="shared" si="54"/>
        <v>-55.47558237136505</v>
      </c>
      <c r="AJ147" s="49">
        <f t="shared" si="65"/>
        <v>13.321704514867525</v>
      </c>
      <c r="AL147" s="49" t="str">
        <f t="shared" si="66"/>
        <v>0.000719284059264669-0.0268098244997381i</v>
      </c>
      <c r="AM147" s="49" t="str">
        <f t="shared" si="67"/>
        <v>1.00738038769375+0.291238713696622i</v>
      </c>
      <c r="AN147" s="49" t="str">
        <f t="shared" si="68"/>
        <v>-1.34938763189244+4.23797581138343i</v>
      </c>
      <c r="AO147" s="49">
        <f t="shared" si="59"/>
        <v>4.4476157611663503</v>
      </c>
      <c r="AP147" s="49">
        <f t="shared" si="60"/>
        <v>1.8790506756367737</v>
      </c>
      <c r="AQ147" s="49">
        <f t="shared" si="61"/>
        <v>107.66167320519297</v>
      </c>
      <c r="AR147" s="49">
        <f t="shared" si="62"/>
        <v>12.962545211708324</v>
      </c>
      <c r="AS147" s="49">
        <f t="shared" si="69"/>
        <v>26.284249726575851</v>
      </c>
      <c r="AT147" s="49">
        <f t="shared" si="70"/>
        <v>52.186090833827919</v>
      </c>
    </row>
    <row r="148" spans="18:46">
      <c r="R148" s="7"/>
      <c r="S148" s="7"/>
      <c r="T148" s="7"/>
      <c r="U148" s="7"/>
      <c r="V148" s="7"/>
      <c r="W148" s="7"/>
      <c r="X148" s="7"/>
      <c r="Y148" s="49">
        <v>146</v>
      </c>
      <c r="Z148" s="49">
        <f t="shared" si="55"/>
        <v>7942.7072729684578</v>
      </c>
      <c r="AA148" s="49" t="str">
        <f t="shared" si="63"/>
        <v>49905.5016367439i</v>
      </c>
      <c r="AB148" s="49">
        <f t="shared" si="53"/>
        <v>11.052166224580018</v>
      </c>
      <c r="AD148" s="49" t="str">
        <f t="shared" si="56"/>
        <v>0.302120472901702-0.457931248466253i</v>
      </c>
      <c r="AE148" s="49" t="str">
        <f t="shared" si="57"/>
        <v>0.999970859326925-0.0096035703979727i</v>
      </c>
      <c r="AF148" s="49" t="str">
        <f t="shared" si="71"/>
        <v>2.41151243415681-3.73268291882548i</v>
      </c>
      <c r="AG148" s="49">
        <f t="shared" si="58"/>
        <v>4.4439075139548541</v>
      </c>
      <c r="AH148" s="49">
        <f t="shared" si="64"/>
        <v>-0.99720053332775083</v>
      </c>
      <c r="AI148" s="49">
        <f t="shared" si="54"/>
        <v>-57.135381887874914</v>
      </c>
      <c r="AJ148" s="49">
        <f t="shared" si="65"/>
        <v>12.955300237613216</v>
      </c>
      <c r="AL148" s="49" t="str">
        <f t="shared" si="66"/>
        <v>0.000636080919065613-0.0252126222382761i</v>
      </c>
      <c r="AM148" s="49" t="str">
        <f t="shared" si="67"/>
        <v>1.00834577976675+0.309688254988242i</v>
      </c>
      <c r="AN148" s="49" t="str">
        <f t="shared" si="68"/>
        <v>-1.33622863392603+3.98934915351154i</v>
      </c>
      <c r="AO148" s="49">
        <f t="shared" si="59"/>
        <v>4.2071859515294854</v>
      </c>
      <c r="AP148" s="49">
        <f t="shared" si="60"/>
        <v>1.8940003037237658</v>
      </c>
      <c r="AQ148" s="49">
        <f t="shared" si="61"/>
        <v>108.51822379986783</v>
      </c>
      <c r="AR148" s="49">
        <f t="shared" si="62"/>
        <v>12.479834152574028</v>
      </c>
      <c r="AS148" s="49">
        <f t="shared" si="69"/>
        <v>25.435134390187244</v>
      </c>
      <c r="AT148" s="49">
        <f t="shared" si="70"/>
        <v>51.382841911992912</v>
      </c>
    </row>
    <row r="149" spans="18:46">
      <c r="R149" s="7"/>
      <c r="S149" s="7"/>
      <c r="T149" s="7"/>
      <c r="U149" s="7"/>
      <c r="V149" s="7"/>
      <c r="W149" s="7"/>
      <c r="X149" s="7"/>
      <c r="Y149" s="49">
        <v>147</v>
      </c>
      <c r="Z149" s="49">
        <f t="shared" si="55"/>
        <v>8446.5755395671058</v>
      </c>
      <c r="AA149" s="49" t="str">
        <f t="shared" si="63"/>
        <v>53071.3993261905i</v>
      </c>
      <c r="AB149" s="49">
        <f t="shared" si="53"/>
        <v>11.052166224580018</v>
      </c>
      <c r="AD149" s="49" t="str">
        <f t="shared" si="56"/>
        <v>0.276930516211396-0.446157031216579i</v>
      </c>
      <c r="AE149" s="49" t="str">
        <f t="shared" si="57"/>
        <v>0.999967044075477-0.0102128456269833i</v>
      </c>
      <c r="AF149" s="49" t="str">
        <f t="shared" si="71"/>
        <v>2.2061826883523-3.63670674911057i</v>
      </c>
      <c r="AG149" s="49">
        <f t="shared" si="58"/>
        <v>4.2535723848797673</v>
      </c>
      <c r="AH149" s="49">
        <f t="shared" si="64"/>
        <v>-1.0255065805382102</v>
      </c>
      <c r="AI149" s="49">
        <f t="shared" si="54"/>
        <v>-58.757198927732297</v>
      </c>
      <c r="AJ149" s="49">
        <f t="shared" si="65"/>
        <v>12.575076555614331</v>
      </c>
      <c r="AL149" s="49" t="str">
        <f t="shared" si="66"/>
        <v>0.000562496879435527-0.0237103453516846i</v>
      </c>
      <c r="AM149" s="49" t="str">
        <f t="shared" si="67"/>
        <v>1.00943734631479+0.329302929101223i</v>
      </c>
      <c r="AN149" s="49" t="str">
        <f t="shared" si="68"/>
        <v>-1.3245653615732+3.75574228125249i</v>
      </c>
      <c r="AO149" s="49">
        <f t="shared" si="59"/>
        <v>3.9824707758208602</v>
      </c>
      <c r="AP149" s="49">
        <f t="shared" si="60"/>
        <v>1.9098543491757798</v>
      </c>
      <c r="AQ149" s="49">
        <f t="shared" si="61"/>
        <v>109.42659369247683</v>
      </c>
      <c r="AR149" s="49">
        <f t="shared" si="62"/>
        <v>12.003051950875527</v>
      </c>
      <c r="AS149" s="49">
        <f t="shared" si="69"/>
        <v>24.578128506489858</v>
      </c>
      <c r="AT149" s="49">
        <f t="shared" si="70"/>
        <v>50.669394764744531</v>
      </c>
    </row>
    <row r="150" spans="18:46">
      <c r="R150" s="7"/>
      <c r="S150" s="7"/>
      <c r="T150" s="7"/>
      <c r="U150" s="7"/>
      <c r="V150" s="7"/>
      <c r="W150" s="7"/>
      <c r="X150" s="7"/>
      <c r="Y150" s="49">
        <v>148</v>
      </c>
      <c r="Z150" s="49">
        <f t="shared" si="55"/>
        <v>8982.4081253027471</v>
      </c>
      <c r="AA150" s="49" t="str">
        <f t="shared" si="63"/>
        <v>56438.1347559928i</v>
      </c>
      <c r="AB150" s="49">
        <f t="shared" si="53"/>
        <v>11.052166224580018</v>
      </c>
      <c r="AD150" s="49" t="str">
        <f t="shared" si="56"/>
        <v>0.253091397440992-0.43337420365899i</v>
      </c>
      <c r="AE150" s="49" t="str">
        <f t="shared" si="57"/>
        <v>0.999962729202196-0.0108607811603121i</v>
      </c>
      <c r="AF150" s="49" t="str">
        <f t="shared" si="71"/>
        <v>2.01186391457755-3.53250904542561i</v>
      </c>
      <c r="AG150" s="49">
        <f t="shared" si="58"/>
        <v>4.0652449577845937</v>
      </c>
      <c r="AH150" s="49">
        <f t="shared" si="64"/>
        <v>-1.0530838882237286</v>
      </c>
      <c r="AI150" s="49">
        <f t="shared" si="54"/>
        <v>-60.337262268446189</v>
      </c>
      <c r="AJ150" s="49">
        <f t="shared" si="65"/>
        <v>12.18173439643161</v>
      </c>
      <c r="AL150" s="49" t="str">
        <f t="shared" si="66"/>
        <v>0.000497421058917685-0.0222973906815984i</v>
      </c>
      <c r="AM150" s="49" t="str">
        <f t="shared" si="67"/>
        <v>1.01067154915058+0.350155584377046i</v>
      </c>
      <c r="AN150" s="49" t="str">
        <f t="shared" si="68"/>
        <v>-1.31422173893579+3.53628385961933i</v>
      </c>
      <c r="AO150" s="49">
        <f t="shared" si="59"/>
        <v>3.7725962300378231</v>
      </c>
      <c r="AP150" s="49">
        <f t="shared" si="60"/>
        <v>1.9266173001670184</v>
      </c>
      <c r="AQ150" s="49">
        <f t="shared" si="61"/>
        <v>110.38704003645944</v>
      </c>
      <c r="AR150" s="49">
        <f t="shared" si="62"/>
        <v>11.532806528350324</v>
      </c>
      <c r="AS150" s="49">
        <f t="shared" si="69"/>
        <v>23.714540924781936</v>
      </c>
      <c r="AT150" s="49">
        <f t="shared" si="70"/>
        <v>50.04977776801325</v>
      </c>
    </row>
    <row r="151" spans="18:46">
      <c r="R151" s="7"/>
      <c r="S151" s="7"/>
      <c r="T151" s="7"/>
      <c r="U151" s="7"/>
      <c r="V151" s="7"/>
      <c r="W151" s="7"/>
      <c r="X151" s="7"/>
      <c r="Y151" s="49">
        <v>149</v>
      </c>
      <c r="Z151" s="49">
        <f t="shared" si="55"/>
        <v>9552.2327778341514</v>
      </c>
      <c r="AA151" s="49" t="str">
        <f t="shared" si="63"/>
        <v>60018.4486404468i</v>
      </c>
      <c r="AB151" s="49">
        <f t="shared" si="53"/>
        <v>11.052166224580018</v>
      </c>
      <c r="AD151" s="49" t="str">
        <f t="shared" si="56"/>
        <v>0.230662770534924-0.419759207169104i</v>
      </c>
      <c r="AE151" s="49" t="str">
        <f t="shared" si="57"/>
        <v>0.999957849249319-0.0115498313871883i</v>
      </c>
      <c r="AF151" s="49" t="str">
        <f t="shared" si="71"/>
        <v>1.8290423618649-3.421528017511i</v>
      </c>
      <c r="AG151" s="49">
        <f t="shared" si="58"/>
        <v>3.8797229200174961</v>
      </c>
      <c r="AH151" s="49">
        <f t="shared" si="64"/>
        <v>-1.0798775720037408</v>
      </c>
      <c r="AI151" s="49">
        <f t="shared" si="54"/>
        <v>-61.872427266649012</v>
      </c>
      <c r="AJ151" s="49">
        <f t="shared" si="65"/>
        <v>11.776014209799964</v>
      </c>
      <c r="AL151" s="49" t="str">
        <f t="shared" si="66"/>
        <v>0.000439870610950167-0.0209684793152911i</v>
      </c>
      <c r="AM151" s="49" t="str">
        <f t="shared" si="67"/>
        <v>1.01206698978754+0.372323475373498i</v>
      </c>
      <c r="AN151" s="49" t="str">
        <f t="shared" si="68"/>
        <v>-1.30504154942858+3.33015390400997i</v>
      </c>
      <c r="AO151" s="49">
        <f t="shared" si="59"/>
        <v>3.5767385241484733</v>
      </c>
      <c r="AP151" s="49">
        <f t="shared" si="60"/>
        <v>1.9442885883849566</v>
      </c>
      <c r="AQ151" s="49">
        <f t="shared" si="61"/>
        <v>111.39953026990655</v>
      </c>
      <c r="AR151" s="49">
        <f t="shared" si="62"/>
        <v>11.069743848156055</v>
      </c>
      <c r="AS151" s="49">
        <f t="shared" si="69"/>
        <v>22.845758057956019</v>
      </c>
      <c r="AT151" s="49">
        <f t="shared" si="70"/>
        <v>49.527103003257537</v>
      </c>
    </row>
    <row r="152" spans="18:46">
      <c r="R152" s="7"/>
      <c r="S152" s="7"/>
      <c r="T152" s="7"/>
      <c r="U152" s="7"/>
      <c r="V152" s="7"/>
      <c r="W152" s="7"/>
      <c r="X152" s="7"/>
      <c r="Y152" s="49">
        <v>150</v>
      </c>
      <c r="Z152" s="49">
        <f t="shared" si="55"/>
        <v>10158.205880770249</v>
      </c>
      <c r="AA152" s="49" t="str">
        <f t="shared" si="63"/>
        <v>63825.8899373609i</v>
      </c>
      <c r="AB152" s="49">
        <f t="shared" si="53"/>
        <v>11.052166224580018</v>
      </c>
      <c r="AD152" s="49" t="str">
        <f t="shared" si="56"/>
        <v>0.209677461669229-0.405485880000493i</v>
      </c>
      <c r="AE152" s="49" t="str">
        <f t="shared" si="57"/>
        <v>0.99995233017469-0.0122826067753055i</v>
      </c>
      <c r="AF152" s="49" t="str">
        <f t="shared" si="71"/>
        <v>1.65798559895237-3.30518065596592i</v>
      </c>
      <c r="AG152" s="49">
        <f t="shared" si="58"/>
        <v>3.6977202997123455</v>
      </c>
      <c r="AH152" s="49">
        <f t="shared" si="64"/>
        <v>-1.1058436762991932</v>
      </c>
      <c r="AI152" s="49">
        <f t="shared" si="54"/>
        <v>-63.360175453174953</v>
      </c>
      <c r="AJ152" s="49">
        <f t="shared" si="65"/>
        <v>11.358681149521177</v>
      </c>
      <c r="AL152" s="49" t="str">
        <f t="shared" si="66"/>
        <v>0.000388976023347102-0.0197186389236266i</v>
      </c>
      <c r="AM152" s="49" t="str">
        <f t="shared" si="67"/>
        <v>1.0136446853147+0.395888499052123i</v>
      </c>
      <c r="AN152" s="49" t="str">
        <f t="shared" si="68"/>
        <v>-1.29688609948751+3.13658103432612i</v>
      </c>
      <c r="AO152" s="49">
        <f t="shared" si="59"/>
        <v>3.3941205252521955</v>
      </c>
      <c r="AP152" s="49">
        <f t="shared" si="60"/>
        <v>1.962861644041165</v>
      </c>
      <c r="AQ152" s="49">
        <f t="shared" si="61"/>
        <v>112.46368797166888</v>
      </c>
      <c r="AR152" s="49">
        <f t="shared" si="62"/>
        <v>10.614545201133369</v>
      </c>
      <c r="AS152" s="49">
        <f t="shared" si="69"/>
        <v>21.973226350654546</v>
      </c>
      <c r="AT152" s="49">
        <f t="shared" si="70"/>
        <v>49.103512518493922</v>
      </c>
    </row>
    <row r="153" spans="18:46">
      <c r="R153" s="7"/>
      <c r="S153" s="7"/>
      <c r="T153" s="7"/>
      <c r="U153" s="7"/>
      <c r="V153" s="7"/>
      <c r="W153" s="7"/>
      <c r="X153" s="7"/>
      <c r="Y153" s="49">
        <v>151</v>
      </c>
      <c r="Z153" s="49">
        <f t="shared" si="55"/>
        <v>10802.620614058389</v>
      </c>
      <c r="AA153" s="49" t="str">
        <f t="shared" si="63"/>
        <v>67874.867121287i</v>
      </c>
      <c r="AB153" s="49">
        <f t="shared" si="53"/>
        <v>11.052166224580018</v>
      </c>
      <c r="AD153" s="49" t="str">
        <f t="shared" si="56"/>
        <v>0.190143862694491-0.390721340880459i</v>
      </c>
      <c r="AE153" s="49" t="str">
        <f t="shared" si="57"/>
        <v>0.999946088223613-0.0130618838485001i</v>
      </c>
      <c r="AF153" s="49" t="str">
        <f t="shared" si="71"/>
        <v>1.49876202373769-3.18482917840154i</v>
      </c>
      <c r="AG153" s="49">
        <f t="shared" si="58"/>
        <v>3.5198614318458796</v>
      </c>
      <c r="AH153" s="49">
        <f t="shared" si="64"/>
        <v>-1.1309488904227061</v>
      </c>
      <c r="AI153" s="49">
        <f t="shared" si="54"/>
        <v>-64.79859826622446</v>
      </c>
      <c r="AJ153" s="49">
        <f t="shared" si="65"/>
        <v>10.930511334510104</v>
      </c>
      <c r="AL153" s="49" t="str">
        <f t="shared" si="66"/>
        <v>0.000343968093375343-0.0185431868708182i</v>
      </c>
      <c r="AM153" s="49" t="str">
        <f t="shared" si="67"/>
        <v>1.01542837921505+0.420937437261068i</v>
      </c>
      <c r="AN153" s="49" t="str">
        <f t="shared" si="68"/>
        <v>-1.28963214143027+2.95483985087114i</v>
      </c>
      <c r="AO153" s="49">
        <f t="shared" si="59"/>
        <v>3.2240083133432216</v>
      </c>
      <c r="AP153" s="49">
        <f t="shared" si="60"/>
        <v>1.9823229250090697</v>
      </c>
      <c r="AQ153" s="49">
        <f t="shared" si="61"/>
        <v>113.57873723504808</v>
      </c>
      <c r="AR153" s="49">
        <f t="shared" si="62"/>
        <v>10.167923059896992</v>
      </c>
      <c r="AS153" s="49">
        <f t="shared" si="69"/>
        <v>21.098434394407096</v>
      </c>
      <c r="AT153" s="49">
        <f t="shared" si="70"/>
        <v>48.780138968823621</v>
      </c>
    </row>
    <row r="154" spans="18:46">
      <c r="R154" s="7"/>
      <c r="S154" s="7"/>
      <c r="T154" s="7"/>
      <c r="U154" s="7"/>
      <c r="V154" s="7"/>
      <c r="W154" s="7"/>
      <c r="X154" s="7"/>
      <c r="Y154" s="49">
        <v>152</v>
      </c>
      <c r="Z154" s="49">
        <f t="shared" si="55"/>
        <v>11487.915632049675</v>
      </c>
      <c r="AA154" s="49" t="str">
        <f t="shared" si="63"/>
        <v>72180.7027094132i</v>
      </c>
      <c r="AB154" s="49">
        <f t="shared" si="53"/>
        <v>11.052166224580018</v>
      </c>
      <c r="AD154" s="49" t="str">
        <f t="shared" si="56"/>
        <v>0.172048871515631-0.375622711987156i</v>
      </c>
      <c r="AE154" s="49" t="str">
        <f t="shared" si="57"/>
        <v>0.99993902865178-0.013890615812851i</v>
      </c>
      <c r="AF154" s="49" t="str">
        <f t="shared" si="71"/>
        <v>1.3512648309368-3.06175431759249i</v>
      </c>
      <c r="AG154" s="49">
        <f t="shared" si="58"/>
        <v>3.3466783748401809</v>
      </c>
      <c r="AH154" s="49">
        <f t="shared" si="64"/>
        <v>-1.1551700371324491</v>
      </c>
      <c r="AI154" s="49">
        <f t="shared" si="54"/>
        <v>-66.186367747659929</v>
      </c>
      <c r="AJ154" s="49">
        <f t="shared" si="65"/>
        <v>10.49227954895562</v>
      </c>
      <c r="AL154" s="49" t="str">
        <f t="shared" si="66"/>
        <v>0.000304166390124482-0.0174377140970828i</v>
      </c>
      <c r="AM154" s="49" t="str">
        <f t="shared" si="67"/>
        <v>1.01744489137831+0.447562204185533i</v>
      </c>
      <c r="AN154" s="49" t="str">
        <f t="shared" si="68"/>
        <v>-1.28317002546614+2.78424843205482i</v>
      </c>
      <c r="AO154" s="49">
        <f t="shared" si="59"/>
        <v>3.0657078539310465</v>
      </c>
      <c r="AP154" s="49">
        <f t="shared" si="60"/>
        <v>2.0026509488448667</v>
      </c>
      <c r="AQ154" s="49">
        <f t="shared" si="61"/>
        <v>114.7434472066806</v>
      </c>
      <c r="AR154" s="49">
        <f t="shared" si="62"/>
        <v>9.7306153295396971</v>
      </c>
      <c r="AS154" s="49">
        <f t="shared" si="69"/>
        <v>20.222894878495318</v>
      </c>
      <c r="AT154" s="49">
        <f t="shared" si="70"/>
        <v>48.55707945902067</v>
      </c>
    </row>
    <row r="155" spans="18:46">
      <c r="R155" s="7"/>
      <c r="S155" s="7"/>
      <c r="T155" s="7"/>
      <c r="U155" s="7"/>
      <c r="V155" s="7"/>
      <c r="W155" s="7"/>
      <c r="X155" s="7"/>
      <c r="Y155" s="49">
        <v>153</v>
      </c>
      <c r="Z155" s="49">
        <f t="shared" si="55"/>
        <v>12216.684292082227</v>
      </c>
      <c r="AA155" s="49" t="str">
        <f t="shared" si="63"/>
        <v>76759.6912464627i</v>
      </c>
      <c r="AB155" s="49">
        <f t="shared" si="53"/>
        <v>11.052166224580018</v>
      </c>
      <c r="AD155" s="49" t="str">
        <f t="shared" si="56"/>
        <v>0.155361138989262-0.360334700609051i</v>
      </c>
      <c r="AE155" s="49" t="str">
        <f t="shared" si="57"/>
        <v>0.999931044279448-0.0147719438754611i</v>
      </c>
      <c r="AF155" s="49" t="str">
        <f t="shared" si="71"/>
        <v>1.21523847822965-2.9371356089534i</v>
      </c>
      <c r="AG155" s="49">
        <f t="shared" si="58"/>
        <v>3.1786113547195383</v>
      </c>
      <c r="AH155" s="49">
        <f t="shared" si="64"/>
        <v>-1.1784933863326728</v>
      </c>
      <c r="AI155" s="49">
        <f t="shared" si="54"/>
        <v>-67.522697220942561</v>
      </c>
      <c r="AJ155" s="49">
        <f t="shared" si="65"/>
        <v>10.044748609135528</v>
      </c>
      <c r="AL155" s="49" t="str">
        <f t="shared" si="66"/>
        <v>0.000268969036437953-0.0163980697673656i</v>
      </c>
      <c r="AM155" s="49" t="str">
        <f t="shared" si="67"/>
        <v>1.01972451202666+0.47586009701583i</v>
      </c>
      <c r="AN155" s="49" t="str">
        <f t="shared" si="68"/>
        <v>-1.27740205402899+2.62416595264595i</v>
      </c>
      <c r="AO155" s="49">
        <f t="shared" si="59"/>
        <v>2.9185617955876331</v>
      </c>
      <c r="AP155" s="49">
        <f t="shared" si="60"/>
        <v>2.0238153638764711</v>
      </c>
      <c r="AQ155" s="49">
        <f t="shared" si="61"/>
        <v>115.95607886385477</v>
      </c>
      <c r="AR155" s="49">
        <f t="shared" si="62"/>
        <v>9.3033778638270785</v>
      </c>
      <c r="AS155" s="49">
        <f t="shared" si="69"/>
        <v>19.348126472962605</v>
      </c>
      <c r="AT155" s="49">
        <f t="shared" si="70"/>
        <v>48.433381642912209</v>
      </c>
    </row>
    <row r="156" spans="18:46">
      <c r="R156" s="7"/>
      <c r="S156" s="7"/>
      <c r="T156" s="7"/>
      <c r="U156" s="7"/>
      <c r="V156" s="7"/>
      <c r="W156" s="7"/>
      <c r="X156" s="7"/>
      <c r="Y156" s="49">
        <v>154</v>
      </c>
      <c r="Z156" s="49">
        <f t="shared" si="55"/>
        <v>12991.684468506162</v>
      </c>
      <c r="AA156" s="49" t="str">
        <f t="shared" si="63"/>
        <v>81629.1609680312i</v>
      </c>
      <c r="AB156" s="49">
        <f t="shared" si="53"/>
        <v>11.052166224580018</v>
      </c>
      <c r="AD156" s="49" t="str">
        <f t="shared" si="56"/>
        <v>0.140034410112725-0.344987999861545i</v>
      </c>
      <c r="AE156" s="49" t="str">
        <f t="shared" si="57"/>
        <v>0.999922013854322-0.0157092093036184i</v>
      </c>
      <c r="AF156" s="49" t="str">
        <f t="shared" si="71"/>
        <v>1.0903059209867-2.81203835434553i</v>
      </c>
      <c r="AG156" s="49">
        <f t="shared" si="58"/>
        <v>3.0160117220675673</v>
      </c>
      <c r="AH156" s="49">
        <f t="shared" si="64"/>
        <v>-1.20091384589963</v>
      </c>
      <c r="AI156" s="49">
        <f t="shared" si="54"/>
        <v>-68.807294928872921</v>
      </c>
      <c r="AJ156" s="49">
        <f t="shared" si="65"/>
        <v>9.5886605027038527</v>
      </c>
      <c r="AL156" s="49" t="str">
        <f t="shared" si="66"/>
        <v>0.000237843661127718-0.0154203466731646i</v>
      </c>
      <c r="AM156" s="49" t="str">
        <f t="shared" si="67"/>
        <v>1.02230144477647+0.505934047569716i</v>
      </c>
      <c r="AN156" s="49" t="str">
        <f t="shared" si="68"/>
        <v>-1.272241014449+2.47399042029385i</v>
      </c>
      <c r="AO156" s="49">
        <f t="shared" si="59"/>
        <v>2.7819464046871865</v>
      </c>
      <c r="AP156" s="49">
        <f t="shared" si="60"/>
        <v>2.045776102518563</v>
      </c>
      <c r="AQ156" s="49">
        <f t="shared" si="61"/>
        <v>117.21433650303648</v>
      </c>
      <c r="AR156" s="49">
        <f t="shared" si="62"/>
        <v>8.8869751775862493</v>
      </c>
      <c r="AS156" s="49">
        <f t="shared" si="69"/>
        <v>18.475635680290104</v>
      </c>
      <c r="AT156" s="49">
        <f t="shared" si="70"/>
        <v>48.407041574163557</v>
      </c>
    </row>
    <row r="157" spans="18:46">
      <c r="R157" s="7"/>
      <c r="S157" s="7"/>
      <c r="T157" s="7"/>
      <c r="U157" s="7"/>
      <c r="V157" s="7"/>
      <c r="W157" s="7"/>
      <c r="X157" s="7"/>
      <c r="Y157" s="49">
        <v>155</v>
      </c>
      <c r="Z157" s="49">
        <f t="shared" si="55"/>
        <v>13815.848989288772</v>
      </c>
      <c r="AA157" s="49" t="str">
        <f t="shared" si="63"/>
        <v>86807.5393757111i</v>
      </c>
      <c r="AB157" s="49">
        <f t="shared" si="53"/>
        <v>11.052166224580018</v>
      </c>
      <c r="AD157" s="49" t="str">
        <f t="shared" si="56"/>
        <v>0.126010786010642-0.329698426388542i</v>
      </c>
      <c r="AE157" s="49" t="str">
        <f t="shared" si="57"/>
        <v>0.999911800197539-0.0167059662758174i</v>
      </c>
      <c r="AF157" s="49" t="str">
        <f t="shared" si="71"/>
        <v>0.975995201381263-2.6874065932223i</v>
      </c>
      <c r="AG157" s="49">
        <f t="shared" si="58"/>
        <v>2.8591468710812915</v>
      </c>
      <c r="AH157" s="49">
        <f t="shared" si="64"/>
        <v>-1.2224340777794152</v>
      </c>
      <c r="AI157" s="49">
        <f t="shared" si="54"/>
        <v>-70.040313389727501</v>
      </c>
      <c r="AJ157" s="49">
        <f t="shared" si="65"/>
        <v>9.1247293027655072</v>
      </c>
      <c r="AL157" s="49" t="str">
        <f t="shared" si="66"/>
        <v>0.000210319388721759-0.0145008673697985i</v>
      </c>
      <c r="AM157" s="49" t="str">
        <f t="shared" si="67"/>
        <v>1.02521430459892+0.537892871983943i</v>
      </c>
      <c r="AN157" s="49" t="str">
        <f t="shared" si="68"/>
        <v>-1.26760886851329+2.33315652723831i</v>
      </c>
      <c r="AO157" s="49">
        <f t="shared" si="59"/>
        <v>2.6552686538518611</v>
      </c>
      <c r="AP157" s="49">
        <f t="shared" si="60"/>
        <v>2.0684826656569424</v>
      </c>
      <c r="AQ157" s="49">
        <f t="shared" si="61"/>
        <v>118.51532673811295</v>
      </c>
      <c r="AR157" s="49">
        <f t="shared" si="62"/>
        <v>8.4821693707434349</v>
      </c>
      <c r="AS157" s="49">
        <f t="shared" si="69"/>
        <v>17.606898673508944</v>
      </c>
      <c r="AT157" s="49">
        <f t="shared" si="70"/>
        <v>48.475013348385446</v>
      </c>
    </row>
    <row r="158" spans="18:46">
      <c r="R158" s="7"/>
      <c r="S158" s="7"/>
      <c r="T158" s="7"/>
      <c r="U158" s="7"/>
      <c r="V158" s="7"/>
      <c r="W158" s="7"/>
      <c r="X158" s="7"/>
      <c r="Y158" s="49">
        <v>156</v>
      </c>
      <c r="Z158" s="49">
        <f t="shared" si="55"/>
        <v>14692.296734695852</v>
      </c>
      <c r="AA158" s="49" t="str">
        <f t="shared" si="63"/>
        <v>92314.4229721636i</v>
      </c>
      <c r="AB158" s="49">
        <f t="shared" si="53"/>
        <v>11.052166224580018</v>
      </c>
      <c r="AD158" s="49" t="str">
        <f t="shared" si="56"/>
        <v>0.113223776102647-0.3145666869175i</v>
      </c>
      <c r="AE158" s="49" t="str">
        <f t="shared" si="57"/>
        <v>0.999900248103637-0.0177659955802967i</v>
      </c>
      <c r="AF158" s="49" t="str">
        <f t="shared" si="71"/>
        <v>0.871764327200111-2.56406119970718i</v>
      </c>
      <c r="AG158" s="49">
        <f t="shared" si="58"/>
        <v>2.7082065796431563</v>
      </c>
      <c r="AH158" s="49">
        <f t="shared" si="64"/>
        <v>-1.243063581568133</v>
      </c>
      <c r="AI158" s="49">
        <f t="shared" si="54"/>
        <v>-71.222296890270172</v>
      </c>
      <c r="AJ158" s="49">
        <f t="shared" si="65"/>
        <v>8.6536357776422275</v>
      </c>
      <c r="AL158" s="49" t="str">
        <f t="shared" si="66"/>
        <v>0.000185979748770549-0.0136361710279534i</v>
      </c>
      <c r="AM158" s="49" t="str">
        <f t="shared" si="67"/>
        <v>1.02850667701383+0.571851514839868i</v>
      </c>
      <c r="AN158" s="49" t="str">
        <f t="shared" si="68"/>
        <v>-1.2634355797234+2.20113361349562i</v>
      </c>
      <c r="AO158" s="49">
        <f t="shared" si="59"/>
        <v>2.5379634844834333</v>
      </c>
      <c r="AP158" s="49">
        <f t="shared" si="60"/>
        <v>2.0918735903688042</v>
      </c>
      <c r="AQ158" s="49">
        <f t="shared" si="61"/>
        <v>119.8555280030109</v>
      </c>
      <c r="AR158" s="49">
        <f t="shared" si="62"/>
        <v>8.089707385895295</v>
      </c>
      <c r="AS158" s="49">
        <f t="shared" si="69"/>
        <v>16.743343163537524</v>
      </c>
      <c r="AT158" s="49">
        <f t="shared" si="70"/>
        <v>48.633231112740731</v>
      </c>
    </row>
    <row r="159" spans="18:46">
      <c r="R159" s="7"/>
      <c r="S159" s="7"/>
      <c r="T159" s="7"/>
      <c r="U159" s="7"/>
      <c r="V159" s="7"/>
      <c r="W159" s="7"/>
      <c r="X159" s="7"/>
      <c r="Y159" s="49">
        <v>157</v>
      </c>
      <c r="Z159" s="49">
        <f t="shared" si="55"/>
        <v>15624.344440049217</v>
      </c>
      <c r="AA159" s="49" t="str">
        <f t="shared" si="63"/>
        <v>98170.6514200303i</v>
      </c>
      <c r="AB159" s="49">
        <f t="shared" si="53"/>
        <v>11.052166224580018</v>
      </c>
      <c r="AD159" s="49" t="str">
        <f t="shared" si="56"/>
        <v>0.101601051787098-0.299678653943085i</v>
      </c>
      <c r="AE159" s="49" t="str">
        <f t="shared" si="57"/>
        <v>0.999887181961384-0.0188933192213721i</v>
      </c>
      <c r="AF159" s="49" t="str">
        <f t="shared" si="71"/>
        <v>0.777023717618517-2.44270212969655i</v>
      </c>
      <c r="AG159" s="49">
        <f t="shared" si="58"/>
        <v>2.5633102723169823</v>
      </c>
      <c r="AH159" s="49">
        <f t="shared" si="64"/>
        <v>-1.2628177807024046</v>
      </c>
      <c r="AI159" s="49">
        <f t="shared" si="54"/>
        <v>-72.354129128324914</v>
      </c>
      <c r="AJ159" s="49">
        <f t="shared" si="65"/>
        <v>8.1760235587183381</v>
      </c>
      <c r="AL159" s="49" t="str">
        <f t="shared" si="66"/>
        <v>0.000164456399933135-0.0128230009758112i</v>
      </c>
      <c r="AM159" s="49" t="str">
        <f t="shared" si="67"/>
        <v>1.03222774544803+0.607931283185595i</v>
      </c>
      <c r="AN159" s="49" t="str">
        <f t="shared" si="68"/>
        <v>-1.25965806106301+2.07742373731456i</v>
      </c>
      <c r="AO159" s="49">
        <f t="shared" si="59"/>
        <v>2.4294912667385771</v>
      </c>
      <c r="AP159" s="49">
        <f t="shared" si="60"/>
        <v>2.1158761533833506</v>
      </c>
      <c r="AQ159" s="49">
        <f t="shared" si="61"/>
        <v>121.23077356124121</v>
      </c>
      <c r="AR159" s="49">
        <f t="shared" si="62"/>
        <v>7.7103068449793728</v>
      </c>
      <c r="AS159" s="49">
        <f t="shared" si="69"/>
        <v>15.886330403697711</v>
      </c>
      <c r="AT159" s="49">
        <f t="shared" si="70"/>
        <v>48.876644432916294</v>
      </c>
    </row>
    <row r="160" spans="18:46">
      <c r="R160" s="7"/>
      <c r="S160" s="7"/>
      <c r="T160" s="7"/>
      <c r="U160" s="7"/>
      <c r="V160" s="7"/>
      <c r="W160" s="7"/>
      <c r="X160" s="7"/>
      <c r="Y160" s="49">
        <v>158</v>
      </c>
      <c r="Z160" s="49">
        <f t="shared" si="55"/>
        <v>16615.519247226184</v>
      </c>
      <c r="AA160" s="49" t="str">
        <f t="shared" si="63"/>
        <v>104398.386405331i</v>
      </c>
      <c r="AB160" s="49">
        <f t="shared" si="53"/>
        <v>11.052166224580018</v>
      </c>
      <c r="AD160" s="49" t="str">
        <f t="shared" si="56"/>
        <v>0.0910668505068352-0.285106030745385i</v>
      </c>
      <c r="AE160" s="49" t="str">
        <f t="shared" si="57"/>
        <v>0.999872403057729-0.0200922159989779i</v>
      </c>
      <c r="AF160" s="49" t="str">
        <f t="shared" si="71"/>
        <v>0.691155799131943-2.32391384151621i</v>
      </c>
      <c r="AG160" s="49">
        <f t="shared" si="58"/>
        <v>2.4245147723749474</v>
      </c>
      <c r="AH160" s="49">
        <f t="shared" si="64"/>
        <v>-1.2817171389636433</v>
      </c>
      <c r="AI160" s="49">
        <f t="shared" si="54"/>
        <v>-73.436982592199598</v>
      </c>
      <c r="AJ160" s="49">
        <f t="shared" si="65"/>
        <v>7.6924966916242177</v>
      </c>
      <c r="AL160" s="49" t="str">
        <f t="shared" si="66"/>
        <v>0.000145423575830673-0.0120582929063058i</v>
      </c>
      <c r="AM160" s="49" t="str">
        <f t="shared" si="67"/>
        <v>1.03643299430222+0.646260064835889i</v>
      </c>
      <c r="AN160" s="49" t="str">
        <f t="shared" si="68"/>
        <v>-1.25621922787004+1.96155984830368i</v>
      </c>
      <c r="AO160" s="49">
        <f t="shared" si="59"/>
        <v>2.3293354818375893</v>
      </c>
      <c r="AP160" s="49">
        <f t="shared" si="60"/>
        <v>2.1404063586159303</v>
      </c>
      <c r="AQ160" s="49">
        <f t="shared" si="61"/>
        <v>122.63625079165776</v>
      </c>
      <c r="AR160" s="49">
        <f t="shared" si="62"/>
        <v>7.3446408434140187</v>
      </c>
      <c r="AS160" s="49">
        <f t="shared" si="69"/>
        <v>15.037137535038237</v>
      </c>
      <c r="AT160" s="49">
        <f t="shared" si="70"/>
        <v>49.19926819945816</v>
      </c>
    </row>
    <row r="161" spans="18:46">
      <c r="R161" s="7"/>
      <c r="S161" s="7"/>
      <c r="T161" s="7"/>
      <c r="U161" s="7"/>
      <c r="V161" s="7"/>
      <c r="W161" s="7"/>
      <c r="X161" s="7"/>
      <c r="Y161" s="49">
        <v>159</v>
      </c>
      <c r="Z161" s="49">
        <f t="shared" si="55"/>
        <v>17669.572052398642</v>
      </c>
      <c r="AA161" s="49" t="str">
        <f t="shared" si="63"/>
        <v>111021.195503782i</v>
      </c>
      <c r="AB161" s="49">
        <f t="shared" si="53"/>
        <v>11.052166224580018</v>
      </c>
      <c r="AD161" s="49" t="str">
        <f t="shared" si="56"/>
        <v>0.0815440102003979-0.270907294138672i</v>
      </c>
      <c r="AE161" s="49" t="str">
        <f t="shared" si="57"/>
        <v>0.99985568652188-0.021367238132552i</v>
      </c>
      <c r="AF161" s="49" t="str">
        <f t="shared" si="71"/>
        <v>0.61353158864449-2.20817298041893i</v>
      </c>
      <c r="AG161" s="49">
        <f t="shared" si="58"/>
        <v>2.2918221837037991</v>
      </c>
      <c r="AH161" s="49">
        <f t="shared" si="64"/>
        <v>-1.2997863278420581</v>
      </c>
      <c r="AI161" s="49">
        <f t="shared" si="54"/>
        <v>-74.4722708541575</v>
      </c>
      <c r="AJ161" s="49">
        <f t="shared" si="65"/>
        <v>7.2036183773208284</v>
      </c>
      <c r="AL161" s="49" t="str">
        <f t="shared" si="66"/>
        <v>0.000128593170138993-0.0113391637229377i</v>
      </c>
      <c r="AM161" s="49" t="str">
        <f t="shared" si="67"/>
        <v>1.04118499588443+0.686972524039336i</v>
      </c>
      <c r="AN161" s="49" t="str">
        <f t="shared" si="68"/>
        <v>-1.25306714198624+1.85310405831753i</v>
      </c>
      <c r="AO161" s="49">
        <f t="shared" si="59"/>
        <v>2.2370006511573624</v>
      </c>
      <c r="AP161" s="49">
        <f t="shared" si="60"/>
        <v>2.1653692481833837</v>
      </c>
      <c r="AQ161" s="49">
        <f t="shared" si="61"/>
        <v>124.06651900832399</v>
      </c>
      <c r="AR161" s="49">
        <f t="shared" si="62"/>
        <v>6.9933222102652532</v>
      </c>
      <c r="AS161" s="49">
        <f t="shared" si="69"/>
        <v>14.196940587586081</v>
      </c>
      <c r="AT161" s="49">
        <f t="shared" si="70"/>
        <v>49.594248154166493</v>
      </c>
    </row>
    <row r="162" spans="18:46">
      <c r="R162" s="7"/>
      <c r="S162" s="7"/>
      <c r="T162" s="7"/>
      <c r="U162" s="7"/>
      <c r="V162" s="7"/>
      <c r="W162" s="7"/>
      <c r="X162" s="7"/>
      <c r="Y162" s="49">
        <v>160</v>
      </c>
      <c r="Z162" s="49">
        <f t="shared" si="55"/>
        <v>18790.49170052441</v>
      </c>
      <c r="AA162" s="49" t="str">
        <f t="shared" si="63"/>
        <v>118064.141367415i</v>
      </c>
      <c r="AB162" s="49">
        <f t="shared" si="53"/>
        <v>11.052166224580018</v>
      </c>
      <c r="AD162" s="49" t="str">
        <f t="shared" si="56"/>
        <v>0.0729556381715664-0.257128816709187i</v>
      </c>
      <c r="AE162" s="49" t="str">
        <f t="shared" si="57"/>
        <v>0.999836777860476-0.022723229006798i</v>
      </c>
      <c r="AF162" s="49" t="str">
        <f t="shared" si="71"/>
        <v>0.54352429658371-2.09585752613116i</v>
      </c>
      <c r="AG162" s="49">
        <f t="shared" si="58"/>
        <v>2.1651876202346632</v>
      </c>
      <c r="AH162" s="49">
        <f t="shared" si="64"/>
        <v>-1.3170534588285794</v>
      </c>
      <c r="AI162" s="49">
        <f t="shared" si="54"/>
        <v>-75.461604583984737</v>
      </c>
      <c r="AJ162" s="49">
        <f t="shared" si="65"/>
        <v>6.7099107057244289</v>
      </c>
      <c r="AL162" s="49" t="str">
        <f t="shared" si="66"/>
        <v>0.000113710387723312-0.010662900996963i</v>
      </c>
      <c r="AM162" s="49" t="str">
        <f t="shared" si="67"/>
        <v>1.04655428996355+0.730210266065028i</v>
      </c>
      <c r="AN162" s="49" t="str">
        <f t="shared" si="68"/>
        <v>-1.25015423475723+1.75164600492767i</v>
      </c>
      <c r="AO162" s="49">
        <f t="shared" si="59"/>
        <v>2.152010533724336</v>
      </c>
      <c r="AP162" s="49">
        <f t="shared" si="60"/>
        <v>2.1906595623601328</v>
      </c>
      <c r="AQ162" s="49">
        <f t="shared" si="61"/>
        <v>125.51554727321158</v>
      </c>
      <c r="AR162" s="49">
        <f t="shared" si="62"/>
        <v>6.6568878559386739</v>
      </c>
      <c r="AS162" s="49">
        <f t="shared" si="69"/>
        <v>13.366798561663103</v>
      </c>
      <c r="AT162" s="49">
        <f t="shared" si="70"/>
        <v>50.053942689226844</v>
      </c>
    </row>
    <row r="163" spans="18:46">
      <c r="R163" s="7"/>
      <c r="S163" s="7"/>
      <c r="T163" s="7"/>
      <c r="U163" s="7"/>
      <c r="V163" s="7"/>
      <c r="W163" s="7"/>
      <c r="X163" s="7"/>
      <c r="Y163" s="49">
        <v>161</v>
      </c>
      <c r="Z163" s="49">
        <f t="shared" si="55"/>
        <v>19982.5200803064</v>
      </c>
      <c r="AA163" s="49" t="str">
        <f t="shared" si="63"/>
        <v>125553.876569002i</v>
      </c>
      <c r="AB163" s="49">
        <f t="shared" si="53"/>
        <v>11.052166224580018</v>
      </c>
      <c r="AD163" s="49" t="str">
        <f t="shared" si="56"/>
        <v>0.0652264355375936-0.243806086227973i</v>
      </c>
      <c r="AE163" s="49" t="str">
        <f t="shared" si="57"/>
        <v>0.999815389027831-0.0241653421240433i</v>
      </c>
      <c r="AF163" s="49" t="str">
        <f t="shared" si="71"/>
        <v>0.480520122521352-1.98725673248626i</v>
      </c>
      <c r="AG163" s="49">
        <f t="shared" si="58"/>
        <v>2.0445265733073517</v>
      </c>
      <c r="AH163" s="49">
        <f t="shared" si="64"/>
        <v>-1.3335493891396284</v>
      </c>
      <c r="AI163" s="49">
        <f t="shared" si="54"/>
        <v>-76.406751769949764</v>
      </c>
      <c r="AJ163" s="49">
        <f t="shared" si="65"/>
        <v>6.211855191578187</v>
      </c>
      <c r="AL163" s="49" t="str">
        <f t="shared" si="66"/>
        <v>0.000100549896917729-0.0100269530085644i</v>
      </c>
      <c r="AM163" s="49" t="str">
        <f t="shared" si="67"/>
        <v>1.05262036524462+0.776121960438316i</v>
      </c>
      <c r="AN163" s="49" t="str">
        <f t="shared" si="68"/>
        <v>-1.24743659769944+1.65680130207512i</v>
      </c>
      <c r="AO163" s="49">
        <f t="shared" si="59"/>
        <v>2.0739066082728428</v>
      </c>
      <c r="AP163" s="49">
        <f t="shared" si="60"/>
        <v>2.2161627554354695</v>
      </c>
      <c r="AQ163" s="49">
        <f t="shared" si="61"/>
        <v>126.97677260053564</v>
      </c>
      <c r="AR163" s="49">
        <f t="shared" si="62"/>
        <v>6.3357839087076959</v>
      </c>
      <c r="AS163" s="49">
        <f t="shared" si="69"/>
        <v>12.547639100285883</v>
      </c>
      <c r="AT163" s="49">
        <f t="shared" si="70"/>
        <v>50.570020830585875</v>
      </c>
    </row>
    <row r="164" spans="18:46">
      <c r="R164" s="7"/>
      <c r="S164" s="7"/>
      <c r="T164" s="7"/>
      <c r="U164" s="7"/>
      <c r="V164" s="7"/>
      <c r="W164" s="7"/>
      <c r="X164" s="7"/>
      <c r="Y164" s="49">
        <v>162</v>
      </c>
      <c r="Z164" s="49">
        <f t="shared" si="55"/>
        <v>21250.168176743602</v>
      </c>
      <c r="AA164" s="49" t="str">
        <f t="shared" si="63"/>
        <v>133518.744463211i</v>
      </c>
      <c r="AB164" s="49">
        <f t="shared" si="53"/>
        <v>11.052166224580018</v>
      </c>
      <c r="AD164" s="49" t="str">
        <f t="shared" si="56"/>
        <v>0.0582837094272213-0.230964956417273i</v>
      </c>
      <c r="AE164" s="49" t="str">
        <f t="shared" si="57"/>
        <v>0.999791193967207-0.025699061355993i</v>
      </c>
      <c r="AF164" s="49" t="str">
        <f t="shared" si="71"/>
        <v>0.42392650553033-1.88258132261531i</v>
      </c>
      <c r="AG164" s="49">
        <f t="shared" si="58"/>
        <v>1.9297217722643769</v>
      </c>
      <c r="AH164" s="49">
        <f t="shared" ref="AH164:AH195" si="72">IMARGUMENT(AF164)</f>
        <v>-1.3493071048247636</v>
      </c>
      <c r="AI164" s="49">
        <f t="shared" si="54"/>
        <v>-77.309602373475116</v>
      </c>
      <c r="AJ164" s="49">
        <f t="shared" ref="AJ164:AJ195" si="73">20*LOG(AG164,10)</f>
        <v>5.7098939368319162</v>
      </c>
      <c r="AL164" s="49" t="str">
        <f t="shared" ref="AL164:AL195" si="74">IMDIV(1,IMSUM(1,IMDIV(AA164,wp2e)))</f>
        <v>0.0000889124254286717-0.00942891934472218i</v>
      </c>
      <c r="AM164" s="49" t="str">
        <f t="shared" ref="AM164:AM195" si="75">IMDIV(IMSUM(1,IMDIV(AA164,wz2e)),IMSUM(1,IMDIV(AA164,wp1e)))</f>
        <v>1.05947275253173+0.824863410402724i</v>
      </c>
      <c r="AN164" s="49" t="str">
        <f t="shared" ref="AN164:AN195" si="76">IMPRODUCT($AK$2,AL164,AM164)</f>
        <v>-1.24487333075779+1.56821007228723i</v>
      </c>
      <c r="AO164" s="49">
        <f t="shared" si="59"/>
        <v>2.0022468480322586</v>
      </c>
      <c r="AP164" s="49">
        <f t="shared" si="60"/>
        <v>2.241756352579134</v>
      </c>
      <c r="AQ164" s="49">
        <f t="shared" si="61"/>
        <v>128.44317769942569</v>
      </c>
      <c r="AR164" s="49">
        <f t="shared" si="62"/>
        <v>6.0303523732517235</v>
      </c>
      <c r="AS164" s="49">
        <f t="shared" ref="AS164:AS195" si="77">AR164+AJ164</f>
        <v>11.74024631008364</v>
      </c>
      <c r="AT164" s="49">
        <f t="shared" ref="AT164:AT195" si="78">AQ164+AI164</f>
        <v>51.133575325950574</v>
      </c>
    </row>
    <row r="165" spans="18:46">
      <c r="R165" s="7"/>
      <c r="S165" s="7"/>
      <c r="T165" s="7"/>
      <c r="U165" s="7"/>
      <c r="V165" s="7"/>
      <c r="W165" s="7"/>
      <c r="X165" s="7"/>
      <c r="Y165" s="49">
        <v>163</v>
      </c>
      <c r="Z165" s="49">
        <f t="shared" si="55"/>
        <v>22598.233142021272</v>
      </c>
      <c r="AA165" s="49" t="str">
        <f t="shared" si="63"/>
        <v>141988.886446167i</v>
      </c>
      <c r="AB165" s="49">
        <f t="shared" si="53"/>
        <v>11.052166224580018</v>
      </c>
      <c r="AD165" s="49" t="str">
        <f t="shared" si="56"/>
        <v>0.0520581110705005-0.218622878916686i</v>
      </c>
      <c r="AE165" s="49" t="str">
        <f t="shared" si="57"/>
        <v>0.999763823549843-0.0273302225968204i</v>
      </c>
      <c r="AF165" s="49" t="str">
        <f t="shared" si="71"/>
        <v>0.373178140178107-1.78197353087748i</v>
      </c>
      <c r="AG165" s="49">
        <f t="shared" si="58"/>
        <v>1.8206294485849512</v>
      </c>
      <c r="AH165" s="49">
        <f t="shared" si="72"/>
        <v>-1.3643611816495314</v>
      </c>
      <c r="AI165" s="49">
        <f t="shared" si="54"/>
        <v>-78.172137440000014</v>
      </c>
      <c r="AJ165" s="49">
        <f t="shared" si="73"/>
        <v>5.2044312628447917</v>
      </c>
      <c r="AL165" s="49" t="str">
        <f t="shared" si="74"/>
        <v>0.0000786217488935351-0.00886654202686346i</v>
      </c>
      <c r="AM165" s="49" t="str">
        <f t="shared" si="75"/>
        <v>1.06721223967263+0.876597553654695i</v>
      </c>
      <c r="AN165" s="49" t="str">
        <f t="shared" si="76"/>
        <v>-1.24242593907066+1.48553555462565i</v>
      </c>
      <c r="AO165" s="49">
        <f t="shared" si="59"/>
        <v>1.9366047862515856</v>
      </c>
      <c r="AP165" s="49">
        <f t="shared" si="60"/>
        <v>2.267311609500704</v>
      </c>
      <c r="AQ165" s="49">
        <f t="shared" si="61"/>
        <v>129.90738606540415</v>
      </c>
      <c r="AR165" s="49">
        <f t="shared" si="62"/>
        <v>5.7408200172464685</v>
      </c>
      <c r="AS165" s="49">
        <f t="shared" si="77"/>
        <v>10.945251280091259</v>
      </c>
      <c r="AT165" s="49">
        <f t="shared" si="78"/>
        <v>51.735248625404139</v>
      </c>
    </row>
    <row r="166" spans="18:46">
      <c r="R166" s="7"/>
      <c r="S166" s="7"/>
      <c r="T166" s="7"/>
      <c r="U166" s="7"/>
      <c r="V166" s="7"/>
      <c r="W166" s="7"/>
      <c r="X166" s="7"/>
      <c r="Y166" s="49">
        <v>164</v>
      </c>
      <c r="Z166" s="49">
        <f t="shared" si="55"/>
        <v>24031.816449341983</v>
      </c>
      <c r="AA166" s="49" t="str">
        <f t="shared" si="63"/>
        <v>150996.356019342i</v>
      </c>
      <c r="AB166" s="49">
        <f t="shared" si="53"/>
        <v>11.052166224580018</v>
      </c>
      <c r="AD166" s="49" t="str">
        <f t="shared" si="56"/>
        <v>0.0464841400058716-0.206790080285737i</v>
      </c>
      <c r="AE166" s="49" t="str">
        <f t="shared" si="57"/>
        <v>0.999732859827674-0.0290650369298957i</v>
      </c>
      <c r="AF166" s="49" t="str">
        <f t="shared" si="71"/>
        <v>0.327741086038671-1.68551669675132i</v>
      </c>
      <c r="AG166" s="49">
        <f t="shared" si="58"/>
        <v>1.7170849584412791</v>
      </c>
      <c r="AH166" s="49">
        <f t="shared" si="72"/>
        <v>-1.378747321506246</v>
      </c>
      <c r="AI166" s="49">
        <f t="shared" si="54"/>
        <v>-78.99640253727469</v>
      </c>
      <c r="AJ166" s="49">
        <f t="shared" si="73"/>
        <v>4.6958356768866309</v>
      </c>
      <c r="AL166" s="49" t="str">
        <f t="shared" si="74"/>
        <v>0.0000695220269425346-0.00833769714191541i</v>
      </c>
      <c r="AM166" s="49" t="str">
        <f t="shared" si="75"/>
        <v>1.07595221850711+0.93149437643799i</v>
      </c>
      <c r="AN166" s="49" t="str">
        <f t="shared" si="76"/>
        <v>-1.24005777005789+1.40846278229973i</v>
      </c>
      <c r="AO166" s="49">
        <f t="shared" si="59"/>
        <v>1.876568858902983</v>
      </c>
      <c r="AP166" s="49">
        <f t="shared" si="60"/>
        <v>2.2926954142862517</v>
      </c>
      <c r="AQ166" s="49">
        <f t="shared" si="61"/>
        <v>131.36177094760001</v>
      </c>
      <c r="AR166" s="49">
        <f t="shared" si="62"/>
        <v>5.4672901012588184</v>
      </c>
      <c r="AS166" s="49">
        <f t="shared" si="77"/>
        <v>10.163125778145449</v>
      </c>
      <c r="AT166" s="49">
        <f t="shared" si="78"/>
        <v>52.365368410325317</v>
      </c>
    </row>
    <row r="167" spans="18:46">
      <c r="R167" s="7"/>
      <c r="S167" s="7"/>
      <c r="T167" s="7"/>
      <c r="U167" s="7"/>
      <c r="V167" s="7"/>
      <c r="W167" s="7"/>
      <c r="X167" s="7"/>
      <c r="Y167" s="49">
        <v>165</v>
      </c>
      <c r="Z167" s="49">
        <f t="shared" si="55"/>
        <v>25556.343198396022</v>
      </c>
      <c r="AA167" s="49" t="str">
        <f t="shared" si="63"/>
        <v>160575.240089401i</v>
      </c>
      <c r="AB167" s="49">
        <f t="shared" si="53"/>
        <v>11.052166224580018</v>
      </c>
      <c r="AD167" s="49" t="str">
        <f t="shared" si="56"/>
        <v>0.041500453911641-0.195470659769247i</v>
      </c>
      <c r="AE167" s="49" t="str">
        <f t="shared" si="57"/>
        <v>0.999697829503282-0.0309101154322337i</v>
      </c>
      <c r="AF167" s="49" t="str">
        <f t="shared" si="71"/>
        <v>0.287115292749467-1.59324421282349i</v>
      </c>
      <c r="AG167" s="49">
        <f t="shared" si="58"/>
        <v>1.6189077530934719</v>
      </c>
      <c r="AH167" s="49">
        <f t="shared" si="72"/>
        <v>-1.3925019602653248</v>
      </c>
      <c r="AI167" s="49">
        <f t="shared" si="54"/>
        <v>-79.784485286896981</v>
      </c>
      <c r="AJ167" s="49">
        <f t="shared" si="73"/>
        <v>4.184442058898842</v>
      </c>
      <c r="AL167" s="49" t="str">
        <f t="shared" si="74"/>
        <v>0.0000614754467732901-0.00784038695108437i</v>
      </c>
      <c r="AM167" s="49" t="str">
        <f t="shared" si="75"/>
        <v>1.08582017388234+0.989730719641321i</v>
      </c>
      <c r="AN167" s="49" t="str">
        <f t="shared" si="76"/>
        <v>-1.2377334834739+1.3366973236188i</v>
      </c>
      <c r="AO167" s="49">
        <f t="shared" si="59"/>
        <v>1.8217419990443482</v>
      </c>
      <c r="AP167" s="49">
        <f t="shared" si="60"/>
        <v>2.317772351881545</v>
      </c>
      <c r="AQ167" s="49">
        <f t="shared" si="61"/>
        <v>132.79857363492326</v>
      </c>
      <c r="AR167" s="49">
        <f t="shared" si="62"/>
        <v>5.2097374162377506</v>
      </c>
      <c r="AS167" s="49">
        <f t="shared" si="77"/>
        <v>9.3941794751365926</v>
      </c>
      <c r="AT167" s="49">
        <f t="shared" si="78"/>
        <v>53.014088348026277</v>
      </c>
    </row>
    <row r="168" spans="18:46">
      <c r="R168" s="7"/>
      <c r="S168" s="7"/>
      <c r="T168" s="7"/>
      <c r="U168" s="7"/>
      <c r="V168" s="7"/>
      <c r="W168" s="7"/>
      <c r="X168" s="7"/>
      <c r="Y168" s="49">
        <v>166</v>
      </c>
      <c r="Z168" s="49">
        <f t="shared" si="55"/>
        <v>27177.582645530147</v>
      </c>
      <c r="AA168" s="49" t="str">
        <f t="shared" si="63"/>
        <v>170761.787963054i</v>
      </c>
      <c r="AB168" s="49">
        <f t="shared" si="53"/>
        <v>11.052166224580018</v>
      </c>
      <c r="AD168" s="49" t="str">
        <f t="shared" si="56"/>
        <v>0.0370500209874852-0.184663593230305i</v>
      </c>
      <c r="AE168" s="49" t="str">
        <f t="shared" si="57"/>
        <v>0.999658196506107-0.0328724957541928i</v>
      </c>
      <c r="AF168" s="49" t="str">
        <f t="shared" si="71"/>
        <v>0.250835841596363-1.5051477079024i</v>
      </c>
      <c r="AG168" s="49">
        <f t="shared" si="58"/>
        <v>1.5259057120389858</v>
      </c>
      <c r="AH168" s="49">
        <f t="shared" si="72"/>
        <v>-1.4056619418060654</v>
      </c>
      <c r="AI168" s="49">
        <f t="shared" si="54"/>
        <v>-80.538496687651474</v>
      </c>
      <c r="AJ168" s="49">
        <f t="shared" si="73"/>
        <v>3.6705539750470386</v>
      </c>
      <c r="AL168" s="49" t="str">
        <f t="shared" si="74"/>
        <v>0.0000543601388258471-0.00737273245148323i</v>
      </c>
      <c r="AM168" s="49" t="str">
        <f t="shared" si="75"/>
        <v>1.09695932424331+1.05148995156412i</v>
      </c>
      <c r="AN168" s="49" t="str">
        <f t="shared" si="76"/>
        <v>-1.23541854784701+1.26996407965363i</v>
      </c>
      <c r="AO168" s="49">
        <f t="shared" si="59"/>
        <v>1.7717414461413117</v>
      </c>
      <c r="AP168" s="49">
        <f t="shared" si="60"/>
        <v>2.342406838608849</v>
      </c>
      <c r="AQ168" s="49">
        <f t="shared" si="61"/>
        <v>134.21002575486881</v>
      </c>
      <c r="AR168" s="49">
        <f t="shared" si="62"/>
        <v>4.9680068938315749</v>
      </c>
      <c r="AS168" s="49">
        <f t="shared" si="77"/>
        <v>8.6385608688786135</v>
      </c>
      <c r="AT168" s="49">
        <f t="shared" si="78"/>
        <v>53.671529067217335</v>
      </c>
    </row>
    <row r="169" spans="18:46">
      <c r="R169" s="7"/>
      <c r="S169" s="7"/>
      <c r="T169" s="7"/>
      <c r="U169" s="7"/>
      <c r="V169" s="7"/>
      <c r="W169" s="7"/>
      <c r="X169" s="7"/>
      <c r="Y169" s="49">
        <v>167</v>
      </c>
      <c r="Z169" s="49">
        <f t="shared" si="55"/>
        <v>28901.670036305419</v>
      </c>
      <c r="AA169" s="49" t="str">
        <f t="shared" si="63"/>
        <v>181594.548525067i</v>
      </c>
      <c r="AB169" s="49">
        <f t="shared" si="53"/>
        <v>11.052166224580018</v>
      </c>
      <c r="AD169" s="49" t="str">
        <f t="shared" si="56"/>
        <v>0.0330801481261128-0.174363636220779i</v>
      </c>
      <c r="AE169" s="49" t="str">
        <f t="shared" si="57"/>
        <v>0.999613353547037-0.0349596706273415i</v>
      </c>
      <c r="AF169" s="49" t="str">
        <f t="shared" si="71"/>
        <v>0.21847317456752-1.4211844079486i</v>
      </c>
      <c r="AG169" s="49">
        <f t="shared" si="58"/>
        <v>1.4378788716028281</v>
      </c>
      <c r="AH169" s="49">
        <f t="shared" si="72"/>
        <v>-1.4182642523238425</v>
      </c>
      <c r="AI169" s="49">
        <f t="shared" si="54"/>
        <v>-81.26055589243343</v>
      </c>
      <c r="AJ169" s="49">
        <f t="shared" si="73"/>
        <v>3.1544460434658204</v>
      </c>
      <c r="AL169" s="49" t="str">
        <f t="shared" si="74"/>
        <v>0.0000480683332051033-0.00693296636660284i</v>
      </c>
      <c r="AM169" s="49" t="str">
        <f t="shared" si="75"/>
        <v>1.10953042221757+1.11696147745159i</v>
      </c>
      <c r="AN169" s="49" t="str">
        <f t="shared" si="76"/>
        <v>-1.23307875747918+1.20800613162388i</v>
      </c>
      <c r="AO169" s="49">
        <f t="shared" si="59"/>
        <v>1.7261987244194363</v>
      </c>
      <c r="AP169" s="49">
        <f t="shared" si="60"/>
        <v>2.3664652285595675</v>
      </c>
      <c r="AQ169" s="49">
        <f t="shared" si="61"/>
        <v>135.58846996092495</v>
      </c>
      <c r="AR169" s="49">
        <f t="shared" si="62"/>
        <v>4.7418158270133439</v>
      </c>
      <c r="AS169" s="49">
        <f t="shared" si="77"/>
        <v>7.8962618704791643</v>
      </c>
      <c r="AT169" s="49">
        <f t="shared" si="78"/>
        <v>54.327914068491523</v>
      </c>
    </row>
    <row r="170" spans="18:46">
      <c r="R170" s="7"/>
      <c r="S170" s="7"/>
      <c r="T170" s="7"/>
      <c r="U170" s="7"/>
      <c r="V170" s="7"/>
      <c r="W170" s="7"/>
      <c r="X170" s="7"/>
      <c r="Y170" s="49">
        <v>168</v>
      </c>
      <c r="Z170" s="49">
        <f t="shared" si="55"/>
        <v>30735.129823066054</v>
      </c>
      <c r="AA170" s="49" t="str">
        <f t="shared" si="63"/>
        <v>193114.516118546i</v>
      </c>
      <c r="AB170" s="49">
        <f t="shared" si="53"/>
        <v>11.052166224580018</v>
      </c>
      <c r="AD170" s="49" t="str">
        <f t="shared" si="56"/>
        <v>0.0295424139038357-0.16456212483179i</v>
      </c>
      <c r="AE170" s="49" t="str">
        <f t="shared" si="57"/>
        <v>0.99956261250377-0.0371796184710706i</v>
      </c>
      <c r="AF170" s="49" t="str">
        <f t="shared" si="71"/>
        <v>0.189632547488104-1.34128366375058i</v>
      </c>
      <c r="AG170" s="49">
        <f t="shared" si="58"/>
        <v>1.3546225930904174</v>
      </c>
      <c r="AH170" s="49">
        <f t="shared" si="72"/>
        <v>-1.4303458087776704</v>
      </c>
      <c r="AI170" s="49">
        <f t="shared" si="54"/>
        <v>-81.952778087186815</v>
      </c>
      <c r="AJ170" s="49">
        <f t="shared" si="73"/>
        <v>2.6363662943374813</v>
      </c>
      <c r="AL170" s="49" t="str">
        <f t="shared" si="74"/>
        <v>0.0000425047290957198-0.00651942654255145i</v>
      </c>
      <c r="AM170" s="49" t="str">
        <f t="shared" si="75"/>
        <v>1.12371372181649+1.18634005071223i</v>
      </c>
      <c r="AN170" s="49" t="str">
        <f t="shared" si="76"/>
        <v>-1.23067976493886+1.15058363061572i</v>
      </c>
      <c r="AO170" s="49">
        <f t="shared" si="59"/>
        <v>1.6847597380252233</v>
      </c>
      <c r="AP170" s="49">
        <f t="shared" si="60"/>
        <v>2.3898177964551848</v>
      </c>
      <c r="AQ170" s="49">
        <f t="shared" si="61"/>
        <v>136.92647354213651</v>
      </c>
      <c r="AR170" s="49">
        <f t="shared" si="62"/>
        <v>4.5307595060494137</v>
      </c>
      <c r="AS170" s="49">
        <f t="shared" si="77"/>
        <v>7.167125800386895</v>
      </c>
      <c r="AT170" s="49">
        <f t="shared" si="78"/>
        <v>54.973695454949691</v>
      </c>
    </row>
    <row r="171" spans="18:46">
      <c r="R171" s="7"/>
      <c r="S171" s="7"/>
      <c r="T171" s="7"/>
      <c r="U171" s="7"/>
      <c r="V171" s="7"/>
      <c r="W171" s="7"/>
      <c r="X171" s="7"/>
      <c r="Y171" s="49">
        <v>169</v>
      </c>
      <c r="Z171" s="49">
        <f t="shared" si="55"/>
        <v>32684.900355380338</v>
      </c>
      <c r="AA171" s="49" t="str">
        <f t="shared" si="63"/>
        <v>205365.285679555i</v>
      </c>
      <c r="AB171" s="49">
        <f t="shared" si="53"/>
        <v>11.052166224580018</v>
      </c>
      <c r="AD171" s="49" t="str">
        <f t="shared" si="56"/>
        <v>0.0263925310965869-0.155247677025242i</v>
      </c>
      <c r="AE171" s="49" t="str">
        <f t="shared" si="57"/>
        <v>0.999505193466049-0.0395408362888399i</v>
      </c>
      <c r="AF171" s="49" t="str">
        <f t="shared" si="71"/>
        <v>0.163952908615317-1.26535266735715i</v>
      </c>
      <c r="AG171" s="49">
        <f t="shared" si="58"/>
        <v>1.2759302210666839</v>
      </c>
      <c r="AH171" s="49">
        <f t="shared" si="72"/>
        <v>-1.441943295409986</v>
      </c>
      <c r="AI171" s="49">
        <f t="shared" si="54"/>
        <v>-82.617265124177891</v>
      </c>
      <c r="AJ171" s="49">
        <f t="shared" si="73"/>
        <v>2.1165384808950871</v>
      </c>
      <c r="AL171" s="49" t="str">
        <f t="shared" si="74"/>
        <v>0.0000375850526029203-0.00613054972793966i</v>
      </c>
      <c r="AM171" s="49" t="str">
        <f t="shared" si="75"/>
        <v>1.13971111615646+1.25982484489772i</v>
      </c>
      <c r="AN171" s="49" t="str">
        <f t="shared" si="76"/>
        <v>-1.22818662477255+1.09747272175562i</v>
      </c>
      <c r="AO171" s="49">
        <f t="shared" si="59"/>
        <v>1.6470849280677291</v>
      </c>
      <c r="AP171" s="49">
        <f t="shared" si="60"/>
        <v>2.4123405122753305</v>
      </c>
      <c r="AQ171" s="49">
        <f t="shared" si="61"/>
        <v>138.2169301018034</v>
      </c>
      <c r="AR171" s="49">
        <f t="shared" si="62"/>
        <v>4.3343198624508732</v>
      </c>
      <c r="AS171" s="49">
        <f t="shared" si="77"/>
        <v>6.4508583433459599</v>
      </c>
      <c r="AT171" s="49">
        <f t="shared" si="78"/>
        <v>55.599664977625508</v>
      </c>
    </row>
    <row r="172" spans="18:46">
      <c r="R172" s="7"/>
      <c r="S172" s="7"/>
      <c r="T172" s="7"/>
      <c r="U172" s="7"/>
      <c r="V172" s="7"/>
      <c r="W172" s="7"/>
      <c r="X172" s="7"/>
      <c r="Y172" s="49">
        <v>170</v>
      </c>
      <c r="Z172" s="49">
        <f t="shared" si="55"/>
        <v>34758.360136790499</v>
      </c>
      <c r="AA172" s="49" t="str">
        <f t="shared" si="63"/>
        <v>218393.217713139i</v>
      </c>
      <c r="AB172" s="49">
        <f t="shared" si="53"/>
        <v>11.052166224580018</v>
      </c>
      <c r="AD172" s="49" t="str">
        <f t="shared" si="56"/>
        <v>0.0235901592732184-0.146406799885058i</v>
      </c>
      <c r="AE172" s="49" t="str">
        <f t="shared" si="57"/>
        <v>0.999440212242626-0.0420523750683824i</v>
      </c>
      <c r="AF172" s="49" t="str">
        <f t="shared" si="71"/>
        <v>0.14110537020606-1.19328140159042i</v>
      </c>
      <c r="AG172" s="49">
        <f t="shared" si="58"/>
        <v>1.2015952849785099</v>
      </c>
      <c r="AH172" s="49">
        <f t="shared" si="72"/>
        <v>-1.4530930425493462</v>
      </c>
      <c r="AI172" s="49">
        <f t="shared" si="54"/>
        <v>-83.256098577901298</v>
      </c>
      <c r="AJ172" s="49">
        <f t="shared" si="73"/>
        <v>1.5951643101154322</v>
      </c>
      <c r="AL172" s="49" t="str">
        <f t="shared" si="74"/>
        <v>0.0000332347812771672-0.00576486571625747i</v>
      </c>
      <c r="AM172" s="49" t="str">
        <f t="shared" si="75"/>
        <v>1.15774844570085+1.33761823904983i</v>
      </c>
      <c r="AN172" s="49" t="str">
        <f t="shared" si="76"/>
        <v>-1.22556334502308+1.04846449442184i</v>
      </c>
      <c r="AO172" s="49">
        <f t="shared" si="59"/>
        <v>1.6128494377118423</v>
      </c>
      <c r="AP172" s="49">
        <f t="shared" si="60"/>
        <v>2.4339165402458502</v>
      </c>
      <c r="AQ172" s="49">
        <f t="shared" si="61"/>
        <v>139.4531454431704</v>
      </c>
      <c r="AR172" s="49">
        <f t="shared" si="62"/>
        <v>4.1518765427836506</v>
      </c>
      <c r="AS172" s="49">
        <f t="shared" si="77"/>
        <v>5.7470408528990831</v>
      </c>
      <c r="AT172" s="49">
        <f t="shared" si="78"/>
        <v>56.197046865269101</v>
      </c>
    </row>
    <row r="173" spans="18:46">
      <c r="R173" s="7"/>
      <c r="S173" s="7"/>
      <c r="T173" s="7"/>
      <c r="U173" s="7"/>
      <c r="V173" s="7"/>
      <c r="W173" s="7"/>
      <c r="X173" s="7"/>
      <c r="Y173" s="49">
        <v>171</v>
      </c>
      <c r="Z173" s="49">
        <f t="shared" si="55"/>
        <v>36963.355747234389</v>
      </c>
      <c r="AA173" s="49" t="str">
        <f t="shared" si="63"/>
        <v>232247.613735075i</v>
      </c>
      <c r="AB173" s="49">
        <f t="shared" si="53"/>
        <v>11.052166224580018</v>
      </c>
      <c r="AD173" s="49" t="str">
        <f t="shared" si="56"/>
        <v>0.0210986842011805-0.138024409921181i</v>
      </c>
      <c r="AE173" s="49" t="str">
        <f t="shared" si="57"/>
        <v>0.999366666099424-0.0447238779272454i</v>
      </c>
      <c r="AF173" s="49" t="str">
        <f t="shared" si="71"/>
        <v>0.120791409457141-1.12494688077368i</v>
      </c>
      <c r="AG173" s="49">
        <f t="shared" si="58"/>
        <v>1.1314132972353981</v>
      </c>
      <c r="AH173" s="49">
        <f t="shared" si="72"/>
        <v>-1.4638309423246356</v>
      </c>
      <c r="AI173" s="49">
        <f t="shared" si="54"/>
        <v>-83.871334915859848</v>
      </c>
      <c r="AJ173" s="49">
        <f t="shared" si="73"/>
        <v>1.0724255719135498</v>
      </c>
      <c r="AL173" s="49" t="str">
        <f t="shared" si="74"/>
        <v>0.0000293880160824976-0.00542099183056092i</v>
      </c>
      <c r="AM173" s="49" t="str">
        <f t="shared" si="75"/>
        <v>1.17807797162237+1.41992426195206i</v>
      </c>
      <c r="AN173" s="49" t="str">
        <f t="shared" si="76"/>
        <v>-1.22277244411712+1.00336394946705i</v>
      </c>
      <c r="AO173" s="49">
        <f t="shared" si="59"/>
        <v>1.5817432361740233</v>
      </c>
      <c r="AP173" s="49">
        <f t="shared" si="60"/>
        <v>2.4544374165228229</v>
      </c>
      <c r="AQ173" s="49">
        <f t="shared" si="61"/>
        <v>140.62890504575105</v>
      </c>
      <c r="AR173" s="49">
        <f t="shared" si="62"/>
        <v>3.9827197202361346</v>
      </c>
      <c r="AS173" s="49">
        <f t="shared" si="77"/>
        <v>5.0551452921496844</v>
      </c>
      <c r="AT173" s="49">
        <f t="shared" si="78"/>
        <v>56.757570129891207</v>
      </c>
    </row>
    <row r="174" spans="18:46">
      <c r="R174" s="7"/>
      <c r="S174" s="7"/>
      <c r="T174" s="7"/>
      <c r="U174" s="7"/>
      <c r="V174" s="7"/>
      <c r="W174" s="7"/>
      <c r="X174" s="7"/>
      <c r="Y174" s="49">
        <v>172</v>
      </c>
      <c r="Z174" s="49">
        <f t="shared" si="55"/>
        <v>39308.231536804677</v>
      </c>
      <c r="AA174" s="49" t="str">
        <f t="shared" si="63"/>
        <v>246980.902843264i</v>
      </c>
      <c r="AB174" s="49">
        <f t="shared" si="53"/>
        <v>11.052166224580018</v>
      </c>
      <c r="AD174" s="49" t="str">
        <f t="shared" si="56"/>
        <v>0.018884977410708-0.130084274458269i</v>
      </c>
      <c r="AE174" s="49" t="str">
        <f t="shared" si="57"/>
        <v>0.999283417460111-0.0475656212763688i</v>
      </c>
      <c r="AF174" s="49" t="str">
        <f t="shared" si="71"/>
        <v>0.102740907592127-1.06021674813361i</v>
      </c>
      <c r="AG174" s="49">
        <f t="shared" si="58"/>
        <v>1.0651831988516627</v>
      </c>
      <c r="AH174" s="49">
        <f t="shared" si="72"/>
        <v>-1.4741923964204242</v>
      </c>
      <c r="AI174" s="49">
        <f t="shared" si="54"/>
        <v>-84.465002505167078</v>
      </c>
      <c r="AJ174" s="49">
        <f t="shared" si="73"/>
        <v>0.54848615376921628</v>
      </c>
      <c r="AL174" s="49" t="str">
        <f t="shared" si="74"/>
        <v>0.0000259864837837232-0.00509762773124752i</v>
      </c>
      <c r="AM174" s="49" t="str">
        <f t="shared" si="75"/>
        <v>1.20098100161184+1.50694663327115i</v>
      </c>
      <c r="AN174" s="49" t="str">
        <f t="shared" si="76"/>
        <v>-1.21977451181394+0.961988973763836i</v>
      </c>
      <c r="AO174" s="49">
        <f t="shared" si="59"/>
        <v>1.5534711601166382</v>
      </c>
      <c r="AP174" s="49">
        <f t="shared" si="60"/>
        <v>2.4738038835718852</v>
      </c>
      <c r="AQ174" s="49">
        <f t="shared" si="61"/>
        <v>141.73852187174151</v>
      </c>
      <c r="AR174" s="49">
        <f t="shared" si="62"/>
        <v>3.8260639015016911</v>
      </c>
      <c r="AS174" s="49">
        <f t="shared" si="77"/>
        <v>4.3745500552709071</v>
      </c>
      <c r="AT174" s="49">
        <f t="shared" si="78"/>
        <v>57.273519366574433</v>
      </c>
    </row>
    <row r="175" spans="18:46">
      <c r="R175" s="7"/>
      <c r="S175" s="7"/>
      <c r="T175" s="7"/>
      <c r="U175" s="7"/>
      <c r="V175" s="7"/>
      <c r="W175" s="7"/>
      <c r="X175" s="7"/>
      <c r="Y175" s="49">
        <v>173</v>
      </c>
      <c r="Z175" s="49">
        <f t="shared" si="55"/>
        <v>41801.861203217486</v>
      </c>
      <c r="AA175" s="49" t="str">
        <f t="shared" si="63"/>
        <v>262648.840124816i</v>
      </c>
      <c r="AB175" s="49">
        <f t="shared" si="53"/>
        <v>11.052166224580018</v>
      </c>
      <c r="AD175" s="49" t="str">
        <f t="shared" si="56"/>
        <v>0.0169191463348914-0.122569382454841i</v>
      </c>
      <c r="AE175" s="49" t="str">
        <f t="shared" si="57"/>
        <v>0.999189175254668-0.0505885593106868i</v>
      </c>
      <c r="AF175" s="49" t="str">
        <f t="shared" si="71"/>
        <v>0.086710111994453-0.998952297891913i</v>
      </c>
      <c r="AG175" s="49">
        <f t="shared" si="58"/>
        <v>1.0027085005053182</v>
      </c>
      <c r="AH175" s="49">
        <f t="shared" si="72"/>
        <v>-1.484212291545902</v>
      </c>
      <c r="AI175" s="49">
        <f t="shared" si="54"/>
        <v>-85.039100207020653</v>
      </c>
      <c r="AJ175" s="49">
        <f t="shared" si="73"/>
        <v>2.3493934150736858E-2</v>
      </c>
      <c r="AL175" s="49" t="str">
        <f t="shared" si="74"/>
        <v>0.000022978654689227-0.00479355052864322i</v>
      </c>
      <c r="AM175" s="49" t="str">
        <f t="shared" si="75"/>
        <v>1.22677064588138+1.59888633173295i</v>
      </c>
      <c r="AN175" s="49" t="str">
        <f t="shared" si="76"/>
        <v>-1.21652777424642+0.924169311689395i</v>
      </c>
      <c r="AO175" s="49">
        <f t="shared" si="59"/>
        <v>1.5277528406720109</v>
      </c>
      <c r="AP175" s="49">
        <f t="shared" si="60"/>
        <v>2.4919263823304547</v>
      </c>
      <c r="AQ175" s="49">
        <f t="shared" si="61"/>
        <v>142.77686456483863</v>
      </c>
      <c r="AR175" s="49">
        <f t="shared" si="62"/>
        <v>3.6810619982157124</v>
      </c>
      <c r="AS175" s="49">
        <f t="shared" si="77"/>
        <v>3.7045559323664494</v>
      </c>
      <c r="AT175" s="49">
        <f t="shared" si="78"/>
        <v>57.73776435781798</v>
      </c>
    </row>
    <row r="176" spans="18:46">
      <c r="R176" s="7"/>
      <c r="S176" s="7"/>
      <c r="T176" s="7"/>
      <c r="U176" s="7"/>
      <c r="V176" s="7"/>
      <c r="W176" s="7"/>
      <c r="X176" s="7"/>
      <c r="Y176" s="49">
        <v>174</v>
      </c>
      <c r="Z176" s="49">
        <f t="shared" si="55"/>
        <v>44453.681372487059</v>
      </c>
      <c r="AA176" s="49" t="str">
        <f t="shared" si="63"/>
        <v>279310.717649654i</v>
      </c>
      <c r="AB176" s="49">
        <f t="shared" si="53"/>
        <v>11.052166224580018</v>
      </c>
      <c r="AD176" s="49" t="str">
        <f t="shared" si="56"/>
        <v>0.0151742829686228-0.11546225299931i</v>
      </c>
      <c r="AE176" s="49" t="str">
        <f t="shared" si="57"/>
        <v>0.999082473547035-0.0538043721778112i</v>
      </c>
      <c r="AF176" s="49" t="str">
        <f t="shared" si="71"/>
        <v>0.0724795861152997-0.941010989249529i</v>
      </c>
      <c r="AG176" s="49">
        <f t="shared" si="58"/>
        <v>0.9437981628991563</v>
      </c>
      <c r="AH176" s="49">
        <f t="shared" si="72"/>
        <v>-1.4939249988447989</v>
      </c>
      <c r="AI176" s="49">
        <f t="shared" si="54"/>
        <v>-85.595597342893356</v>
      </c>
      <c r="AJ176" s="49">
        <f t="shared" si="73"/>
        <v>-0.50241744690812939</v>
      </c>
      <c r="AL176" s="49" t="str">
        <f t="shared" si="74"/>
        <v>0.0000203189624225459-0.00450761018304732i</v>
      </c>
      <c r="AM176" s="49" t="str">
        <f t="shared" si="75"/>
        <v>1.25579466873511+1.69593861265685i</v>
      </c>
      <c r="AN176" s="49" t="str">
        <f t="shared" si="76"/>
        <v>-1.21298766468841+0.889745522468941i</v>
      </c>
      <c r="AO176" s="49">
        <f t="shared" si="59"/>
        <v>1.5043224951584586</v>
      </c>
      <c r="AP176" s="49">
        <f t="shared" si="60"/>
        <v>2.5087252236486481</v>
      </c>
      <c r="AQ176" s="49">
        <f t="shared" si="61"/>
        <v>143.73936727308109</v>
      </c>
      <c r="AR176" s="49">
        <f t="shared" si="62"/>
        <v>3.5468189971065249</v>
      </c>
      <c r="AS176" s="49">
        <f t="shared" si="77"/>
        <v>3.0444015501983954</v>
      </c>
      <c r="AT176" s="49">
        <f t="shared" si="78"/>
        <v>58.14376993018773</v>
      </c>
    </row>
    <row r="177" spans="18:46">
      <c r="R177" s="7"/>
      <c r="S177" s="7"/>
      <c r="T177" s="7"/>
      <c r="U177" s="7"/>
      <c r="V177" s="7"/>
      <c r="W177" s="7"/>
      <c r="X177" s="7"/>
      <c r="Y177" s="49">
        <v>175</v>
      </c>
      <c r="Z177" s="49">
        <f t="shared" si="55"/>
        <v>47273.727309885995</v>
      </c>
      <c r="AA177" s="49" t="str">
        <f t="shared" si="63"/>
        <v>297029.58884909i</v>
      </c>
      <c r="AB177" s="49">
        <f t="shared" si="53"/>
        <v>11.052166224580018</v>
      </c>
      <c r="AD177" s="49" t="str">
        <f t="shared" si="56"/>
        <v>0.013626216939731-0.108745189353347i</v>
      </c>
      <c r="AE177" s="49" t="str">
        <f t="shared" si="57"/>
        <v>0.99896164700758-0.0572255182246594i</v>
      </c>
      <c r="AF177" s="49" t="str">
        <f t="shared" si="71"/>
        <v>0.0598521951754692-0.886248516398433i</v>
      </c>
      <c r="AG177" s="49">
        <f t="shared" si="58"/>
        <v>0.88826725600223833</v>
      </c>
      <c r="AH177" s="49">
        <f t="shared" si="72"/>
        <v>-1.5033643940211083</v>
      </c>
      <c r="AI177" s="49">
        <f t="shared" si="54"/>
        <v>-86.136434847652041</v>
      </c>
      <c r="AJ177" s="49">
        <f t="shared" si="73"/>
        <v>-1.02912693793209</v>
      </c>
      <c r="AL177" s="49" t="str">
        <f t="shared" si="74"/>
        <v>0.0000179671139329482-0.00423872517577693i</v>
      </c>
      <c r="AM177" s="49" t="str">
        <f t="shared" si="75"/>
        <v>1.28843838537248+1.79828938984449i</v>
      </c>
      <c r="AN177" s="49" t="str">
        <f t="shared" si="76"/>
        <v>-1.20910640361467+0.858567911649673i</v>
      </c>
      <c r="AO177" s="49">
        <f t="shared" si="59"/>
        <v>1.4829285735248618</v>
      </c>
      <c r="AP177" s="49">
        <f t="shared" si="60"/>
        <v>2.5241304767624309</v>
      </c>
      <c r="AQ177" s="49">
        <f t="shared" si="61"/>
        <v>144.6220232588316</v>
      </c>
      <c r="AR177" s="49">
        <f t="shared" si="62"/>
        <v>3.422404667620139</v>
      </c>
      <c r="AS177" s="49">
        <f t="shared" si="77"/>
        <v>2.393277729688049</v>
      </c>
      <c r="AT177" s="49">
        <f t="shared" si="78"/>
        <v>58.485588411179563</v>
      </c>
    </row>
    <row r="178" spans="18:46">
      <c r="R178" s="7"/>
      <c r="S178" s="7"/>
      <c r="T178" s="7"/>
      <c r="U178" s="7"/>
      <c r="V178" s="7"/>
      <c r="W178" s="7"/>
      <c r="X178" s="7"/>
      <c r="Y178" s="49">
        <v>176</v>
      </c>
      <c r="Z178" s="49">
        <f t="shared" si="55"/>
        <v>50272.670896332245</v>
      </c>
      <c r="AA178" s="49" t="str">
        <f t="shared" si="63"/>
        <v>315872.50712851i</v>
      </c>
      <c r="AB178" s="49">
        <f t="shared" si="53"/>
        <v>11.052166224580018</v>
      </c>
      <c r="AD178" s="49" t="str">
        <f t="shared" si="56"/>
        <v>0.0122532772179505-0.102400485864613i</v>
      </c>
      <c r="AE178" s="49" t="str">
        <f t="shared" si="57"/>
        <v>0.998824802717448-0.0608652907785021i</v>
      </c>
      <c r="AF178" s="49" t="str">
        <f t="shared" si="71"/>
        <v>0.0486511620848614-0.83452049422205i</v>
      </c>
      <c r="AG178" s="49">
        <f t="shared" si="58"/>
        <v>0.8359374323768628</v>
      </c>
      <c r="AH178" s="49">
        <f t="shared" si="72"/>
        <v>-1.5125638954828711</v>
      </c>
      <c r="AI178" s="49">
        <f t="shared" si="54"/>
        <v>-86.663527455035478</v>
      </c>
      <c r="AJ178" s="49">
        <f t="shared" si="73"/>
        <v>-1.5565245418979659</v>
      </c>
      <c r="AL178" s="49" t="str">
        <f t="shared" si="74"/>
        <v>0.0000158874793155222-0.00398587843561782i</v>
      </c>
      <c r="AM178" s="49" t="str">
        <f t="shared" si="75"/>
        <v>1.32512753398279+1.90611089064839i</v>
      </c>
      <c r="AN178" s="49" t="str">
        <f t="shared" si="76"/>
        <v>-1.20483259394178+0.830495424448881i</v>
      </c>
      <c r="AO178" s="49">
        <f t="shared" si="59"/>
        <v>1.4633332598745254</v>
      </c>
      <c r="AP178" s="49">
        <f t="shared" si="60"/>
        <v>2.538081623912734</v>
      </c>
      <c r="AQ178" s="49">
        <f t="shared" si="61"/>
        <v>145.42136510990994</v>
      </c>
      <c r="AR178" s="49">
        <f t="shared" si="62"/>
        <v>3.3068648744206266</v>
      </c>
      <c r="AS178" s="49">
        <f t="shared" si="77"/>
        <v>1.7503403325226607</v>
      </c>
      <c r="AT178" s="49">
        <f t="shared" si="78"/>
        <v>58.757837654874464</v>
      </c>
    </row>
    <row r="179" spans="18:46">
      <c r="R179" s="7"/>
      <c r="S179" s="7"/>
      <c r="T179" s="7"/>
      <c r="U179" s="7"/>
      <c r="V179" s="7"/>
      <c r="W179" s="7"/>
      <c r="X179" s="7"/>
      <c r="Y179" s="49">
        <v>177</v>
      </c>
      <c r="Z179" s="49">
        <f t="shared" si="55"/>
        <v>53461.861013916772</v>
      </c>
      <c r="AA179" s="49" t="str">
        <f t="shared" si="63"/>
        <v>335910.779617119i</v>
      </c>
      <c r="AB179" s="49">
        <f t="shared" si="53"/>
        <v>11.052166224580018</v>
      </c>
      <c r="AD179" s="49" t="str">
        <f t="shared" si="56"/>
        <v>0.0110360653534222-0.0964105944284479i</v>
      </c>
      <c r="AE179" s="49" t="str">
        <f t="shared" si="57"/>
        <v>0.998669787696701-0.0647378799844973i</v>
      </c>
      <c r="AF179" s="49" t="str">
        <f t="shared" si="71"/>
        <v>0.0387182171275881-0.785683814103955i</v>
      </c>
      <c r="AG179" s="49">
        <f t="shared" si="58"/>
        <v>0.78663724554744885</v>
      </c>
      <c r="AH179" s="49">
        <f t="shared" si="72"/>
        <v>-1.5215565183077027</v>
      </c>
      <c r="AI179" s="49">
        <f t="shared" si="54"/>
        <v>-87.178766789651348</v>
      </c>
      <c r="AJ179" s="49">
        <f t="shared" si="73"/>
        <v>-2.0845098909742492</v>
      </c>
      <c r="AL179" s="49" t="str">
        <f t="shared" si="74"/>
        <v>0.0000140485522151042-0.00374811350592333i</v>
      </c>
      <c r="AM179" s="49" t="str">
        <f t="shared" si="75"/>
        <v>1.36633102913151+2.01955648896181i</v>
      </c>
      <c r="AN179" s="49" t="str">
        <f t="shared" si="76"/>
        <v>-1.20011084011649+0.805394488411243i</v>
      </c>
      <c r="AO179" s="49">
        <f t="shared" si="59"/>
        <v>1.4453118385069414</v>
      </c>
      <c r="AP179" s="49">
        <f t="shared" si="60"/>
        <v>2.5505270366215473</v>
      </c>
      <c r="AQ179" s="49">
        <f t="shared" si="61"/>
        <v>146.13443473242341</v>
      </c>
      <c r="AR179" s="49">
        <f t="shared" si="62"/>
        <v>3.1992311997294043</v>
      </c>
      <c r="AS179" s="49">
        <f t="shared" si="77"/>
        <v>1.1147213087551551</v>
      </c>
      <c r="AT179" s="49">
        <f t="shared" si="78"/>
        <v>58.955667942772067</v>
      </c>
    </row>
    <row r="180" spans="18:46">
      <c r="R180" s="7"/>
      <c r="S180" s="7"/>
      <c r="T180" s="7"/>
      <c r="U180" s="7"/>
      <c r="V180" s="7"/>
      <c r="W180" s="7"/>
      <c r="X180" s="7"/>
      <c r="Y180" s="49">
        <v>178</v>
      </c>
      <c r="Z180" s="49">
        <f t="shared" si="55"/>
        <v>56853.366493401947</v>
      </c>
      <c r="AA180" s="49" t="str">
        <f t="shared" si="63"/>
        <v>357220.237015039i</v>
      </c>
      <c r="AB180" s="49">
        <f t="shared" si="53"/>
        <v>11.052166224580018</v>
      </c>
      <c r="AD180" s="49" t="str">
        <f t="shared" si="56"/>
        <v>0.00995724208730294-0.0907582564974817i</v>
      </c>
      <c r="AE180" s="49" t="str">
        <f t="shared" si="57"/>
        <v>0.998494151432811-0.0688584402977158i</v>
      </c>
      <c r="AF180" s="49" t="str">
        <f t="shared" si="71"/>
        <v>0.0299118564068093-0.739597718711023i</v>
      </c>
      <c r="AG180" s="49">
        <f t="shared" si="58"/>
        <v>0.74020234036123589</v>
      </c>
      <c r="AH180" s="49">
        <f t="shared" si="72"/>
        <v>-1.5303749423069972</v>
      </c>
      <c r="AI180" s="49">
        <f t="shared" si="54"/>
        <v>-87.68402526676779</v>
      </c>
      <c r="AJ180" s="49">
        <f t="shared" si="73"/>
        <v>-2.6129909218523584</v>
      </c>
      <c r="AL180" s="49" t="str">
        <f t="shared" si="74"/>
        <v>0.0000124224726535774-0.00352453093840167i</v>
      </c>
      <c r="AM180" s="49" t="str">
        <f t="shared" si="75"/>
        <v>1.4125634734485+2.13875462010812i</v>
      </c>
      <c r="AN180" s="49" t="str">
        <f t="shared" si="76"/>
        <v>-1.19488140300361+0.783137792853722i</v>
      </c>
      <c r="AO180" s="49">
        <f t="shared" si="59"/>
        <v>1.4286519414607863</v>
      </c>
      <c r="AP180" s="49">
        <f t="shared" si="60"/>
        <v>2.5614233310418335</v>
      </c>
      <c r="AQ180" s="49">
        <f t="shared" si="61"/>
        <v>146.75874641503776</v>
      </c>
      <c r="AR180" s="49">
        <f t="shared" si="62"/>
        <v>3.0985287141706968</v>
      </c>
      <c r="AS180" s="49">
        <f t="shared" si="77"/>
        <v>0.48553779231833838</v>
      </c>
      <c r="AT180" s="49">
        <f t="shared" si="78"/>
        <v>59.074721148269973</v>
      </c>
    </row>
    <row r="181" spans="18:46">
      <c r="R181" s="7"/>
      <c r="S181" s="7"/>
      <c r="T181" s="7"/>
      <c r="U181" s="7"/>
      <c r="V181" s="7"/>
      <c r="W181" s="7"/>
      <c r="X181" s="7"/>
      <c r="Y181" s="49">
        <v>179</v>
      </c>
      <c r="Z181" s="49">
        <f t="shared" si="55"/>
        <v>60460.02178621637</v>
      </c>
      <c r="AA181" s="49" t="str">
        <f t="shared" si="63"/>
        <v>379881.520558912i</v>
      </c>
      <c r="AB181" s="49">
        <f t="shared" si="53"/>
        <v>11.052166224580018</v>
      </c>
      <c r="AD181" s="49" t="str">
        <f t="shared" si="56"/>
        <v>0.00900132836640549-0.0854266059588777i</v>
      </c>
      <c r="AE181" s="49" t="str">
        <f t="shared" si="57"/>
        <v>0.998295102545468-0.0732431643153304i</v>
      </c>
      <c r="AF181" s="49" t="str">
        <f t="shared" si="71"/>
        <v>0.022105717433027-0.696124639073601i</v>
      </c>
      <c r="AG181" s="49">
        <f t="shared" si="58"/>
        <v>0.69647553860030142</v>
      </c>
      <c r="AH181" s="49">
        <f t="shared" si="72"/>
        <v>-1.5390515929125146</v>
      </c>
      <c r="AI181" s="49">
        <f t="shared" si="54"/>
        <v>-88.18116072677357</v>
      </c>
      <c r="AJ181" s="49">
        <f t="shared" si="73"/>
        <v>-3.1418826425882456</v>
      </c>
      <c r="AL181" s="49" t="str">
        <f t="shared" si="74"/>
        <v>0.0000109846050625616-0.00331428490039906i</v>
      </c>
      <c r="AM181" s="49" t="str">
        <f t="shared" si="75"/>
        <v>1.46438727038327+2.26380168577409i</v>
      </c>
      <c r="AN181" s="49" t="str">
        <f t="shared" si="76"/>
        <v>-1.18907990635859+0.763602993145089i</v>
      </c>
      <c r="AO181" s="49">
        <f t="shared" si="59"/>
        <v>1.4131527004700843</v>
      </c>
      <c r="AP181" s="49">
        <f t="shared" si="60"/>
        <v>2.5707346580332233</v>
      </c>
      <c r="AQ181" s="49">
        <f t="shared" si="61"/>
        <v>147.29224615331066</v>
      </c>
      <c r="AR181" s="49">
        <f t="shared" si="62"/>
        <v>3.0037818553493674</v>
      </c>
      <c r="AS181" s="49">
        <f t="shared" si="77"/>
        <v>-0.1381007872388782</v>
      </c>
      <c r="AT181" s="49">
        <f t="shared" si="78"/>
        <v>59.111085426537088</v>
      </c>
    </row>
    <row r="182" spans="18:46">
      <c r="R182" s="7"/>
      <c r="S182" s="7"/>
      <c r="T182" s="7"/>
      <c r="U182" s="7"/>
      <c r="V182" s="7"/>
      <c r="W182" s="7"/>
      <c r="X182" s="7"/>
      <c r="Y182" s="49">
        <v>180</v>
      </c>
      <c r="Z182" s="49">
        <f t="shared" si="55"/>
        <v>64295.47553378361</v>
      </c>
      <c r="AA182" s="49" t="str">
        <f t="shared" si="63"/>
        <v>403980.387191994i</v>
      </c>
      <c r="AB182" s="49">
        <f t="shared" si="53"/>
        <v>11.052166224580018</v>
      </c>
      <c r="AD182" s="49" t="str">
        <f t="shared" si="56"/>
        <v>0.00815452117942731-0.0803992475466613i</v>
      </c>
      <c r="AE182" s="49" t="str">
        <f t="shared" si="57"/>
        <v>0.998069458551939-0.077909363735586i</v>
      </c>
      <c r="AF182" s="49" t="str">
        <f t="shared" si="71"/>
        <v>0.0151870752292432-0.655130831960509i</v>
      </c>
      <c r="AG182" s="49">
        <f t="shared" si="58"/>
        <v>0.65530683976232651</v>
      </c>
      <c r="AH182" s="49">
        <f t="shared" si="72"/>
        <v>-1.5476187340331813</v>
      </c>
      <c r="AI182" s="49">
        <f t="shared" si="54"/>
        <v>-88.672021755480756</v>
      </c>
      <c r="AJ182" s="49">
        <f t="shared" si="73"/>
        <v>-3.6711059814682923</v>
      </c>
      <c r="AL182" s="49" t="str">
        <f t="shared" si="74"/>
        <v>9.71316513736452E-06-0.00311657998321679i</v>
      </c>
      <c r="AM182" s="49" t="str">
        <f t="shared" si="75"/>
        <v>1.52241414125949+2.39475386824957i</v>
      </c>
      <c r="AN182" s="49" t="str">
        <f t="shared" si="76"/>
        <v>-1.18263711505369+0.746671329177777i</v>
      </c>
      <c r="AO182" s="49">
        <f t="shared" si="59"/>
        <v>1.3986238306702139</v>
      </c>
      <c r="AP182" s="49">
        <f t="shared" si="60"/>
        <v>2.5784319791533883</v>
      </c>
      <c r="AQ182" s="49">
        <f t="shared" si="61"/>
        <v>147.73327016705301</v>
      </c>
      <c r="AR182" s="49">
        <f t="shared" si="62"/>
        <v>2.9140184752301579</v>
      </c>
      <c r="AS182" s="49">
        <f t="shared" si="77"/>
        <v>-0.75708750623813437</v>
      </c>
      <c r="AT182" s="49">
        <f t="shared" si="78"/>
        <v>59.061248411572251</v>
      </c>
    </row>
    <row r="183" spans="18:46">
      <c r="R183" s="7"/>
      <c r="S183" s="7"/>
      <c r="T183" s="7"/>
      <c r="U183" s="7"/>
      <c r="V183" s="7"/>
      <c r="W183" s="7"/>
      <c r="X183" s="7"/>
      <c r="Y183" s="49">
        <v>181</v>
      </c>
      <c r="Z183" s="49">
        <f t="shared" si="55"/>
        <v>68374.242217984312</v>
      </c>
      <c r="AA183" s="49" t="str">
        <f t="shared" si="63"/>
        <v>429608.034093577i</v>
      </c>
      <c r="AB183" s="49">
        <f t="shared" si="53"/>
        <v>11.052166224580018</v>
      </c>
      <c r="AD183" s="49" t="str">
        <f t="shared" si="56"/>
        <v>0.00740452417717138-0.0756603148476821i</v>
      </c>
      <c r="AE183" s="49" t="str">
        <f t="shared" si="57"/>
        <v>0.997813587486394-0.0828755583458434i</v>
      </c>
      <c r="AF183" s="49" t="str">
        <f t="shared" si="71"/>
        <v>0.00905545861376196-0.616486850573322i</v>
      </c>
      <c r="AG183" s="49">
        <f t="shared" si="58"/>
        <v>0.61655335394474897</v>
      </c>
      <c r="AH183" s="49">
        <f t="shared" si="72"/>
        <v>-1.5561085724371837</v>
      </c>
      <c r="AI183" s="49">
        <f t="shared" si="54"/>
        <v>-89.158453664778179</v>
      </c>
      <c r="AJ183" s="49">
        <f t="shared" si="73"/>
        <v>-4.200586708333728</v>
      </c>
      <c r="AL183" s="49" t="str">
        <f t="shared" si="74"/>
        <v>8.58888986575076E-06-0.00293066819969809i</v>
      </c>
      <c r="AM183" s="49" t="str">
        <f t="shared" si="75"/>
        <v>1.58730580546766+2.53161779377181i</v>
      </c>
      <c r="AN183" s="49" t="str">
        <f t="shared" si="76"/>
        <v>-1.17547881011921+0.732226149709007i</v>
      </c>
      <c r="AO183" s="49">
        <f t="shared" si="59"/>
        <v>1.3848846765550376</v>
      </c>
      <c r="AP183" s="49">
        <f t="shared" si="60"/>
        <v>2.5844923735598617</v>
      </c>
      <c r="AQ183" s="49">
        <f t="shared" si="61"/>
        <v>148.08050518872864</v>
      </c>
      <c r="AR183" s="49">
        <f t="shared" si="62"/>
        <v>2.8282721983911694</v>
      </c>
      <c r="AS183" s="49">
        <f t="shared" si="77"/>
        <v>-1.3723145099425587</v>
      </c>
      <c r="AT183" s="49">
        <f t="shared" si="78"/>
        <v>58.922051523950458</v>
      </c>
    </row>
    <row r="184" spans="18:46">
      <c r="R184" s="7"/>
      <c r="S184" s="7"/>
      <c r="T184" s="7"/>
      <c r="U184" s="7"/>
      <c r="V184" s="7"/>
      <c r="W184" s="7"/>
      <c r="X184" s="7"/>
      <c r="Y184" s="49">
        <v>182</v>
      </c>
      <c r="Z184" s="49">
        <f t="shared" si="55"/>
        <v>72711.757088212587</v>
      </c>
      <c r="AA184" s="49" t="str">
        <f t="shared" si="63"/>
        <v>456861.443795868i</v>
      </c>
      <c r="AB184" s="49">
        <f t="shared" si="53"/>
        <v>11.052166224580018</v>
      </c>
      <c r="AD184" s="49" t="str">
        <f t="shared" si="56"/>
        <v>0.00674039271128637-0.0711945114028566i</v>
      </c>
      <c r="AE184" s="49" t="str">
        <f t="shared" si="57"/>
        <v>0.997523339867224-0.0881615740738311i</v>
      </c>
      <c r="AF184" s="49" t="str">
        <f t="shared" si="71"/>
        <v>0.00362138364640387-0.580067877033044i</v>
      </c>
      <c r="AG184" s="49">
        <f t="shared" si="58"/>
        <v>0.58007918113403889</v>
      </c>
      <c r="AH184" s="49">
        <f t="shared" si="72"/>
        <v>-1.5645533736121735</v>
      </c>
      <c r="AI184" s="49">
        <f t="shared" si="54"/>
        <v>-89.642305130932201</v>
      </c>
      <c r="AJ184" s="49">
        <f t="shared" si="73"/>
        <v>-4.7302544190001754</v>
      </c>
      <c r="AL184" s="49" t="str">
        <f t="shared" si="74"/>
        <v>7.59474573765966E-06-0.00275584615998369i</v>
      </c>
      <c r="AM184" s="49" t="str">
        <f t="shared" si="75"/>
        <v>1.65977353449092+2.6743400176176i</v>
      </c>
      <c r="AN184" s="49" t="str">
        <f t="shared" si="76"/>
        <v>-1.16752579094351+0.720151337885901i</v>
      </c>
      <c r="AO184" s="49">
        <f t="shared" si="59"/>
        <v>1.3717632528891863</v>
      </c>
      <c r="AP184" s="49">
        <f t="shared" si="60"/>
        <v>2.5888984137259565</v>
      </c>
      <c r="AQ184" s="49">
        <f t="shared" si="61"/>
        <v>148.33295269461098</v>
      </c>
      <c r="AR184" s="49">
        <f t="shared" si="62"/>
        <v>2.7455832939482976</v>
      </c>
      <c r="AS184" s="49">
        <f t="shared" si="77"/>
        <v>-1.9846711250518778</v>
      </c>
      <c r="AT184" s="49">
        <f t="shared" si="78"/>
        <v>58.69064756367878</v>
      </c>
    </row>
    <row r="185" spans="18:46">
      <c r="R185" s="7"/>
      <c r="S185" s="7"/>
      <c r="T185" s="7"/>
      <c r="U185" s="7"/>
      <c r="V185" s="7"/>
      <c r="W185" s="7"/>
      <c r="X185" s="7"/>
      <c r="Y185" s="49">
        <v>183</v>
      </c>
      <c r="Z185" s="49">
        <f t="shared" si="55"/>
        <v>77324.434572886516</v>
      </c>
      <c r="AA185" s="49" t="str">
        <f t="shared" si="63"/>
        <v>485843.75119433i</v>
      </c>
      <c r="AB185" s="49">
        <f t="shared" si="53"/>
        <v>11.052166224580018</v>
      </c>
      <c r="AD185" s="49" t="str">
        <f t="shared" si="56"/>
        <v>0.00615239269858014-0.066987137904256i</v>
      </c>
      <c r="AE185" s="49" t="str">
        <f t="shared" si="57"/>
        <v>0.997193969185975-0.0937886512852899i</v>
      </c>
      <c r="AF185" s="49" t="str">
        <f t="shared" si="71"/>
        <v>-0.00119480063242577-0.545753941033253i</v>
      </c>
      <c r="AG185" s="49">
        <f t="shared" si="58"/>
        <v>0.54575524889997962</v>
      </c>
      <c r="AH185" s="49">
        <f t="shared" si="72"/>
        <v>-1.5729855894529385</v>
      </c>
      <c r="AI185" s="49">
        <f t="shared" si="54"/>
        <v>-90.125435510551398</v>
      </c>
      <c r="AJ185" s="49">
        <f t="shared" si="73"/>
        <v>-5.2600415738575412</v>
      </c>
      <c r="AL185" s="49" t="str">
        <f t="shared" si="74"/>
        <v>6.71567071926257E-06-0.00259145241496527i</v>
      </c>
      <c r="AM185" s="49" t="str">
        <f t="shared" si="75"/>
        <v>1.74057624063311+2.82279535196772i</v>
      </c>
      <c r="AN185" s="49" t="str">
        <f t="shared" si="76"/>
        <v>-1.15869404042662+0.71032963857374i</v>
      </c>
      <c r="AO185" s="49">
        <f t="shared" si="59"/>
        <v>1.3590953148166121</v>
      </c>
      <c r="AP185" s="49">
        <f t="shared" si="60"/>
        <v>2.5916376405297332</v>
      </c>
      <c r="AQ185" s="49">
        <f t="shared" si="61"/>
        <v>148.48989882959648</v>
      </c>
      <c r="AR185" s="49">
        <f t="shared" si="62"/>
        <v>2.6649983067961247</v>
      </c>
      <c r="AS185" s="49">
        <f t="shared" si="77"/>
        <v>-2.5950432670614165</v>
      </c>
      <c r="AT185" s="49">
        <f t="shared" si="78"/>
        <v>58.364463319045086</v>
      </c>
    </row>
    <row r="186" spans="18:46">
      <c r="R186" s="7"/>
      <c r="S186" s="7"/>
      <c r="T186" s="7"/>
      <c r="U186" s="7"/>
      <c r="V186" s="7"/>
      <c r="W186" s="7"/>
      <c r="X186" s="7"/>
      <c r="Y186" s="49">
        <v>184</v>
      </c>
      <c r="Z186" s="49">
        <f t="shared" si="55"/>
        <v>82229.730396460247</v>
      </c>
      <c r="AA186" s="49" t="str">
        <f t="shared" si="63"/>
        <v>516664.633840378i</v>
      </c>
      <c r="AB186" s="49">
        <f t="shared" si="53"/>
        <v>11.052166224580018</v>
      </c>
      <c r="AD186" s="49" t="str">
        <f t="shared" si="56"/>
        <v>0.00563187256858435-0.0630241080435411i</v>
      </c>
      <c r="AE186" s="49" t="str">
        <f t="shared" si="57"/>
        <v>0.996820038694529-0.0997795646779906i</v>
      </c>
      <c r="AF186" s="49" t="str">
        <f t="shared" si="71"/>
        <v>-0.00546396025963963-0.513430045388301i</v>
      </c>
      <c r="AG186" s="49">
        <f t="shared" si="58"/>
        <v>0.51345911849839776</v>
      </c>
      <c r="AH186" s="49">
        <f t="shared" si="72"/>
        <v>-1.5814379985307883</v>
      </c>
      <c r="AI186" s="49">
        <f t="shared" si="54"/>
        <v>-90.609722877430244</v>
      </c>
      <c r="AJ186" s="49">
        <f t="shared" si="73"/>
        <v>-5.7898825824186986</v>
      </c>
      <c r="AL186" s="49" t="str">
        <f t="shared" si="74"/>
        <v>5.93834608535962E-06-0.00243686495756441i</v>
      </c>
      <c r="AM186" s="49" t="str">
        <f t="shared" si="75"/>
        <v>1.83051671315275+2.97677412485908i</v>
      </c>
      <c r="AN186" s="49" t="str">
        <f t="shared" si="76"/>
        <v>-1.14889509414561+0.702640895440484i</v>
      </c>
      <c r="AO186" s="49">
        <f t="shared" si="59"/>
        <v>1.3467234925170255</v>
      </c>
      <c r="AP186" s="49">
        <f t="shared" si="60"/>
        <v>2.5927021611026566</v>
      </c>
      <c r="AQ186" s="49">
        <f t="shared" si="61"/>
        <v>148.55089136562987</v>
      </c>
      <c r="AR186" s="49">
        <f t="shared" si="62"/>
        <v>2.5855687221637518</v>
      </c>
      <c r="AS186" s="49">
        <f t="shared" si="77"/>
        <v>-3.2043138602549468</v>
      </c>
      <c r="AT186" s="49">
        <f t="shared" si="78"/>
        <v>57.941168488199622</v>
      </c>
    </row>
    <row r="187" spans="18:46">
      <c r="R187" s="7"/>
      <c r="S187" s="7"/>
      <c r="T187" s="7"/>
      <c r="U187" s="7"/>
      <c r="V187" s="7"/>
      <c r="W187" s="7"/>
      <c r="X187" s="7"/>
      <c r="Y187" s="49">
        <v>185</v>
      </c>
      <c r="Z187" s="49">
        <f t="shared" si="55"/>
        <v>87446.207637003507</v>
      </c>
      <c r="AA187" s="49" t="str">
        <f t="shared" si="63"/>
        <v>549440.726993396i</v>
      </c>
      <c r="AB187" s="49">
        <f t="shared" si="53"/>
        <v>11.052166224580018</v>
      </c>
      <c r="AD187" s="49" t="str">
        <f t="shared" si="56"/>
        <v>0.0051711474625191-0.0592919551760625i</v>
      </c>
      <c r="AE187" s="49" t="str">
        <f t="shared" si="57"/>
        <v>0.99639531177399-0.106158756306105i</v>
      </c>
      <c r="AF187" s="49" t="str">
        <f t="shared" si="71"/>
        <v>-0.00924912502476195-0.482986215995088i</v>
      </c>
      <c r="AG187" s="49">
        <f t="shared" si="58"/>
        <v>0.48307476766539725</v>
      </c>
      <c r="AH187" s="49">
        <f t="shared" si="72"/>
        <v>-1.5899438601226885</v>
      </c>
      <c r="AI187" s="49">
        <f t="shared" si="54"/>
        <v>-91.097072847768573</v>
      </c>
      <c r="AJ187" s="49">
        <f t="shared" si="73"/>
        <v>-6.3197129265216745</v>
      </c>
      <c r="AL187" s="49" t="str">
        <f t="shared" si="74"/>
        <v>5.25099465575489E-06-0.00229149887253082i</v>
      </c>
      <c r="AM187" s="49" t="str">
        <f t="shared" si="75"/>
        <v>1.93043557294874+3.13596854791339i</v>
      </c>
      <c r="AN187" s="49" t="str">
        <f t="shared" si="76"/>
        <v>-1.13803665913079+0.696960215455329i</v>
      </c>
      <c r="AO187" s="49">
        <f t="shared" si="59"/>
        <v>1.3344965265796342</v>
      </c>
      <c r="AP187" s="49">
        <f t="shared" si="60"/>
        <v>2.5920883860409107</v>
      </c>
      <c r="AQ187" s="49">
        <f t="shared" si="61"/>
        <v>148.51572464502144</v>
      </c>
      <c r="AR187" s="49">
        <f t="shared" si="62"/>
        <v>2.5063489549132218</v>
      </c>
      <c r="AS187" s="49">
        <f t="shared" si="77"/>
        <v>-3.8133639716084526</v>
      </c>
      <c r="AT187" s="49">
        <f t="shared" si="78"/>
        <v>57.418651797252863</v>
      </c>
    </row>
    <row r="188" spans="18:46">
      <c r="R188" s="7"/>
      <c r="S188" s="7"/>
      <c r="T188" s="7"/>
      <c r="U188" s="7"/>
      <c r="V188" s="7"/>
      <c r="W188" s="7"/>
      <c r="X188" s="7"/>
      <c r="Y188" s="49">
        <v>186</v>
      </c>
      <c r="Z188" s="49">
        <f t="shared" si="55"/>
        <v>92993.606974334747</v>
      </c>
      <c r="AA188" s="49" t="str">
        <f t="shared" si="63"/>
        <v>584296.065002773i</v>
      </c>
      <c r="AB188" s="49">
        <f t="shared" si="53"/>
        <v>11.052166224580018</v>
      </c>
      <c r="AD188" s="49" t="str">
        <f t="shared" si="56"/>
        <v>0.00476339480740218-0.0557778316241505i</v>
      </c>
      <c r="AE188" s="49" t="str">
        <f t="shared" si="57"/>
        <v>0.995912622554192-0.112952483467937i</v>
      </c>
      <c r="AF188" s="49" t="str">
        <f t="shared" si="71"/>
        <v>-0.0126063449445385-0.454317490922888i</v>
      </c>
      <c r="AG188" s="49">
        <f t="shared" si="58"/>
        <v>0.45449235691189477</v>
      </c>
      <c r="AH188" s="49">
        <f t="shared" si="72"/>
        <v>-1.5985370836325048</v>
      </c>
      <c r="AI188" s="49">
        <f t="shared" si="54"/>
        <v>-91.589428287293629</v>
      </c>
      <c r="AJ188" s="49">
        <f t="shared" si="73"/>
        <v>-6.8494683161185588</v>
      </c>
      <c r="AL188" s="49" t="str">
        <f t="shared" si="74"/>
        <v>4.64320238071701E-06-0.00215480412599119i</v>
      </c>
      <c r="AM188" s="49" t="str">
        <f t="shared" si="75"/>
        <v>2.04120248884768+3.29995848443064i</v>
      </c>
      <c r="AN188" s="49" t="str">
        <f t="shared" si="76"/>
        <v>-1.1260235309387+0.693156090798544i</v>
      </c>
      <c r="AO188" s="49">
        <f t="shared" si="59"/>
        <v>1.322268640798373</v>
      </c>
      <c r="AP188" s="49">
        <f t="shared" si="60"/>
        <v>2.5897969162286616</v>
      </c>
      <c r="AQ188" s="49">
        <f t="shared" si="61"/>
        <v>148.38443309589795</v>
      </c>
      <c r="AR188" s="49">
        <f t="shared" si="62"/>
        <v>2.4263939647761186</v>
      </c>
      <c r="AS188" s="49">
        <f t="shared" si="77"/>
        <v>-4.4230743513424402</v>
      </c>
      <c r="AT188" s="49">
        <f t="shared" si="78"/>
        <v>56.795004808604318</v>
      </c>
    </row>
    <row r="189" spans="18:46">
      <c r="R189" s="7"/>
      <c r="S189" s="7"/>
      <c r="T189" s="7"/>
      <c r="U189" s="7"/>
      <c r="V189" s="7"/>
      <c r="W189" s="7"/>
      <c r="X189" s="7"/>
      <c r="Y189" s="49">
        <v>187</v>
      </c>
      <c r="Z189" s="49">
        <f t="shared" si="55"/>
        <v>98892.921394542427</v>
      </c>
      <c r="AA189" s="49" t="str">
        <f t="shared" si="63"/>
        <v>621362.550690255i</v>
      </c>
      <c r="AB189" s="49">
        <f t="shared" si="53"/>
        <v>11.052166224580018</v>
      </c>
      <c r="AD189" s="49" t="str">
        <f t="shared" si="56"/>
        <v>0.00440256037800686-0.052469502148437i</v>
      </c>
      <c r="AE189" s="49" t="str">
        <f t="shared" si="57"/>
        <v>0.995363722685248-0.120188983399205i</v>
      </c>
      <c r="AF189" s="49" t="str">
        <f t="shared" si="71"/>
        <v>-0.0155854618064207-0.427323860911956i</v>
      </c>
      <c r="AG189" s="49">
        <f t="shared" si="58"/>
        <v>0.42760798486981055</v>
      </c>
      <c r="AH189" s="49">
        <f t="shared" si="72"/>
        <v>-1.6072524155343841</v>
      </c>
      <c r="AI189" s="49">
        <f t="shared" si="54"/>
        <v>-92.088780022327043</v>
      </c>
      <c r="AJ189" s="49">
        <f t="shared" si="73"/>
        <v>-7.3790838731697903</v>
      </c>
      <c r="AL189" s="49" t="str">
        <f t="shared" si="74"/>
        <v>4.10576057394095E-06-0.00202626348648715i</v>
      </c>
      <c r="AM189" s="49" t="str">
        <f t="shared" si="75"/>
        <v>2.16370419285285+3.46819704880569i</v>
      </c>
      <c r="AN189" s="49" t="str">
        <f t="shared" si="76"/>
        <v>-1.1127588583745+0.691088523254271i</v>
      </c>
      <c r="AO189" s="49">
        <f t="shared" si="59"/>
        <v>1.3098990891914879</v>
      </c>
      <c r="AP189" s="49">
        <f t="shared" si="60"/>
        <v>2.5858325835042475</v>
      </c>
      <c r="AQ189" s="49">
        <f t="shared" si="61"/>
        <v>148.15729356220339</v>
      </c>
      <c r="AR189" s="49">
        <f t="shared" si="62"/>
        <v>2.3447568032628685</v>
      </c>
      <c r="AS189" s="49">
        <f t="shared" si="77"/>
        <v>-5.0343270699069222</v>
      </c>
      <c r="AT189" s="49">
        <f t="shared" si="78"/>
        <v>56.068513539876349</v>
      </c>
    </row>
    <row r="190" spans="18:46">
      <c r="R190" s="7"/>
      <c r="S190" s="7"/>
      <c r="T190" s="7"/>
      <c r="U190" s="7"/>
      <c r="V190" s="7"/>
      <c r="W190" s="7"/>
      <c r="X190" s="7"/>
      <c r="Y190" s="49">
        <v>188</v>
      </c>
      <c r="Z190" s="49">
        <f t="shared" si="55"/>
        <v>105166.47563360249</v>
      </c>
      <c r="AA190" s="49" t="str">
        <f t="shared" si="63"/>
        <v>660780.454508911i</v>
      </c>
      <c r="AB190" s="49">
        <f t="shared" si="53"/>
        <v>11.052166224580018</v>
      </c>
      <c r="AD190" s="49" t="str">
        <f t="shared" si="56"/>
        <v>0.00408327397241158-0.0493553328628306i</v>
      </c>
      <c r="AE190" s="49" t="str">
        <f t="shared" si="57"/>
        <v>0.994739099201825-0.127898656924574i</v>
      </c>
      <c r="AF190" s="49" t="str">
        <f t="shared" si="71"/>
        <v>-0.0182308029390213-0.401910171458852i</v>
      </c>
      <c r="AG190" s="49">
        <f t="shared" si="58"/>
        <v>0.40232343717199132</v>
      </c>
      <c r="AH190" s="49">
        <f t="shared" si="72"/>
        <v>-1.6161256465236811</v>
      </c>
      <c r="AI190" s="49">
        <f t="shared" si="54"/>
        <v>-92.597178708658461</v>
      </c>
      <c r="AJ190" s="49">
        <f t="shared" si="73"/>
        <v>-7.9084933412177953</v>
      </c>
      <c r="AL190" s="49" t="str">
        <f t="shared" si="74"/>
        <v>3.63052640390515E-06-0.00190539056972138i</v>
      </c>
      <c r="AM190" s="49" t="str">
        <f t="shared" si="75"/>
        <v>2.29882885943164+3.63999663150549i</v>
      </c>
      <c r="AN190" s="49" t="str">
        <f t="shared" si="76"/>
        <v>-1.09814580228381+0.690607213801393i</v>
      </c>
      <c r="AO190" s="49">
        <f t="shared" si="59"/>
        <v>1.2972519134031277</v>
      </c>
      <c r="AP190" s="49">
        <f t="shared" si="60"/>
        <v>2.5802046435374586</v>
      </c>
      <c r="AQ190" s="49">
        <f t="shared" si="61"/>
        <v>147.83483635475341</v>
      </c>
      <c r="AR190" s="49">
        <f t="shared" si="62"/>
        <v>2.2604863987450736</v>
      </c>
      <c r="AS190" s="49">
        <f t="shared" si="77"/>
        <v>-5.6480069424727217</v>
      </c>
      <c r="AT190" s="49">
        <f t="shared" si="78"/>
        <v>55.237657646094945</v>
      </c>
    </row>
    <row r="191" spans="18:46">
      <c r="R191" s="7"/>
      <c r="S191" s="7"/>
      <c r="T191" s="7"/>
      <c r="U191" s="7"/>
      <c r="V191" s="7"/>
      <c r="W191" s="7"/>
      <c r="X191" s="7"/>
      <c r="Y191" s="49">
        <v>189</v>
      </c>
      <c r="Z191" s="49">
        <f t="shared" si="55"/>
        <v>111838.01066072512</v>
      </c>
      <c r="AA191" s="49" t="str">
        <f t="shared" si="63"/>
        <v>702698.945367662i</v>
      </c>
      <c r="AB191" s="49">
        <f t="shared" si="53"/>
        <v>11.052166224580018</v>
      </c>
      <c r="AD191" s="49" t="str">
        <f t="shared" si="56"/>
        <v>0.00380077385676756-0.0464242766524297i</v>
      </c>
      <c r="AE191" s="49" t="str">
        <f t="shared" si="57"/>
        <v>0.994027757215814-0.136114273416792i</v>
      </c>
      <c r="AF191" s="49" t="str">
        <f t="shared" si="71"/>
        <v>-0.0205818041148216-0.377985994855908i</v>
      </c>
      <c r="AG191" s="49">
        <f t="shared" si="58"/>
        <v>0.37854593244127116</v>
      </c>
      <c r="AH191" s="49">
        <f t="shared" si="72"/>
        <v>-1.6251938421894747</v>
      </c>
      <c r="AI191" s="49">
        <f t="shared" si="54"/>
        <v>-93.11674804810724</v>
      </c>
      <c r="AJ191" s="49">
        <f t="shared" si="73"/>
        <v>-8.4376283208746656</v>
      </c>
      <c r="AL191" s="49" t="str">
        <f t="shared" si="74"/>
        <v>3.21029953087588E-06-0.00179172799968433i</v>
      </c>
      <c r="AM191" s="49" t="str">
        <f t="shared" si="75"/>
        <v>2.44744648766799+3.81451612573856i</v>
      </c>
      <c r="AN191" s="49" t="str">
        <f t="shared" si="76"/>
        <v>-1.08208962694231+0.691549899759154i</v>
      </c>
      <c r="AO191" s="49">
        <f t="shared" si="59"/>
        <v>1.2841959447814197</v>
      </c>
      <c r="AP191" s="49">
        <f t="shared" si="60"/>
        <v>2.5729271133625731</v>
      </c>
      <c r="AQ191" s="49">
        <f t="shared" si="61"/>
        <v>147.41786459045335</v>
      </c>
      <c r="AR191" s="49">
        <f t="shared" si="62"/>
        <v>2.1726258834545087</v>
      </c>
      <c r="AS191" s="49">
        <f t="shared" si="77"/>
        <v>-6.2650024374201569</v>
      </c>
      <c r="AT191" s="49">
        <f t="shared" si="78"/>
        <v>54.301116542346108</v>
      </c>
    </row>
    <row r="192" spans="18:46">
      <c r="R192" s="7"/>
      <c r="S192" s="7"/>
      <c r="T192" s="7"/>
      <c r="U192" s="7"/>
      <c r="V192" s="7"/>
      <c r="W192" s="7"/>
      <c r="X192" s="7"/>
      <c r="Y192" s="49">
        <v>190</v>
      </c>
      <c r="Z192" s="49">
        <f t="shared" si="55"/>
        <v>118932.77352114675</v>
      </c>
      <c r="AA192" s="49" t="str">
        <f t="shared" si="63"/>
        <v>747276.655130187i</v>
      </c>
      <c r="AB192" s="49">
        <f t="shared" si="53"/>
        <v>11.052166224580018</v>
      </c>
      <c r="AD192" s="49" t="str">
        <f t="shared" si="56"/>
        <v>0.00355083917604283-0.0436658559697034i</v>
      </c>
      <c r="AE192" s="49" t="str">
        <f t="shared" si="57"/>
        <v>0.993216959659311-0.144871199571436i</v>
      </c>
      <c r="AF192" s="49" t="str">
        <f t="shared" si="71"/>
        <v>-0.0226735681401124-0.355465478995366i</v>
      </c>
      <c r="AG192" s="49">
        <f t="shared" si="58"/>
        <v>0.35618786819543607</v>
      </c>
      <c r="AH192" s="49">
        <f t="shared" si="72"/>
        <v>-1.6344956012421792</v>
      </c>
      <c r="AI192" s="49">
        <f t="shared" si="54"/>
        <v>-93.649699583874821</v>
      </c>
      <c r="AJ192" s="49">
        <f t="shared" si="73"/>
        <v>-8.9664175349346849</v>
      </c>
      <c r="AL192" s="49" t="str">
        <f t="shared" si="74"/>
        <v>2.83871302122041E-06-0.00168484567926228i</v>
      </c>
      <c r="AM192" s="49" t="str">
        <f t="shared" si="75"/>
        <v>2.61038505816569+3.99075032210011i</v>
      </c>
      <c r="AN192" s="49" t="str">
        <f t="shared" si="76"/>
        <v>-1.06450024829333+0.693740942370468i</v>
      </c>
      <c r="AO192" s="49">
        <f t="shared" si="59"/>
        <v>1.2706050817376837</v>
      </c>
      <c r="AP192" s="49">
        <f t="shared" si="60"/>
        <v>2.5640192398249146</v>
      </c>
      <c r="AQ192" s="49">
        <f t="shared" si="61"/>
        <v>146.90748103230925</v>
      </c>
      <c r="AR192" s="49">
        <f t="shared" si="62"/>
        <v>2.080211758946314</v>
      </c>
      <c r="AS192" s="49">
        <f t="shared" si="77"/>
        <v>-6.8862057759883708</v>
      </c>
      <c r="AT192" s="49">
        <f t="shared" si="78"/>
        <v>53.257781448434429</v>
      </c>
    </row>
    <row r="193" spans="18:46">
      <c r="R193" s="7"/>
      <c r="S193" s="7"/>
      <c r="T193" s="7"/>
      <c r="U193" s="7"/>
      <c r="V193" s="7"/>
      <c r="W193" s="7"/>
      <c r="X193" s="7"/>
      <c r="Y193" s="49">
        <v>191</v>
      </c>
      <c r="Z193" s="49">
        <f t="shared" si="55"/>
        <v>126477.61287835392</v>
      </c>
      <c r="AA193" s="49" t="str">
        <f t="shared" si="63"/>
        <v>794682.278924421i</v>
      </c>
      <c r="AB193" s="49">
        <f t="shared" si="53"/>
        <v>11.052166224580018</v>
      </c>
      <c r="AD193" s="49" t="str">
        <f t="shared" si="56"/>
        <v>0.00332972957562908-0.0410701437285551i</v>
      </c>
      <c r="AE193" s="49" t="str">
        <f t="shared" si="57"/>
        <v>0.992291914395715-0.154207654587908i</v>
      </c>
      <c r="AF193" s="49" t="str">
        <f t="shared" si="71"/>
        <v>-0.024537365271606-0.33426717840947i</v>
      </c>
      <c r="AG193" s="49">
        <f t="shared" si="58"/>
        <v>0.33516656882257911</v>
      </c>
      <c r="AH193" s="49">
        <f t="shared" si="72"/>
        <v>-1.6440713461589085</v>
      </c>
      <c r="AI193" s="49">
        <f t="shared" si="54"/>
        <v>-94.198349353297274</v>
      </c>
      <c r="AJ193" s="49">
        <f t="shared" si="73"/>
        <v>-9.4947861313812059</v>
      </c>
      <c r="AL193" s="49" t="str">
        <f t="shared" si="74"/>
        <v>2.51013688683921E-06-0.00158433916383204i</v>
      </c>
      <c r="AM193" s="49" t="str">
        <f t="shared" si="75"/>
        <v>2.78840244116016+4.16752261923007i</v>
      </c>
      <c r="AN193" s="49" t="str">
        <f t="shared" si="76"/>
        <v>-1.04529524130735+0.696990287324791i</v>
      </c>
      <c r="AO193" s="49">
        <f t="shared" si="59"/>
        <v>1.2563588667752881</v>
      </c>
      <c r="AP193" s="49">
        <f t="shared" si="60"/>
        <v>2.5535060786104644</v>
      </c>
      <c r="AQ193" s="49">
        <f t="shared" si="61"/>
        <v>146.30512126538062</v>
      </c>
      <c r="AR193" s="49">
        <f t="shared" si="62"/>
        <v>1.9822741829129007</v>
      </c>
      <c r="AS193" s="49">
        <f t="shared" si="77"/>
        <v>-7.5125119484683047</v>
      </c>
      <c r="AT193" s="49">
        <f t="shared" si="78"/>
        <v>52.106771912083346</v>
      </c>
    </row>
    <row r="194" spans="18:46">
      <c r="R194" s="7"/>
      <c r="S194" s="7"/>
      <c r="T194" s="7"/>
      <c r="U194" s="7"/>
      <c r="V194" s="7"/>
      <c r="W194" s="7"/>
      <c r="X194" s="7"/>
      <c r="Y194" s="49">
        <v>192</v>
      </c>
      <c r="Z194" s="49">
        <f t="shared" si="55"/>
        <v>134501.0806172993</v>
      </c>
      <c r="AA194" s="49" t="str">
        <f t="shared" si="63"/>
        <v>845095.213534392i</v>
      </c>
      <c r="AB194" s="49">
        <f t="shared" ref="AB194:AB202" si="79">$B$22/$G$3</f>
        <v>11.052166224580018</v>
      </c>
      <c r="AD194" s="49" t="str">
        <f t="shared" si="56"/>
        <v>0.00313413133062895-0.0386277428846161i</v>
      </c>
      <c r="AE194" s="49" t="str">
        <f t="shared" si="57"/>
        <v>0.991235396619588-0.164164994295978i</v>
      </c>
      <c r="AF194" s="49" t="str">
        <f t="shared" si="71"/>
        <v>-0.0262010811410637-0.314313871862628i</v>
      </c>
      <c r="AG194" s="49">
        <f t="shared" si="58"/>
        <v>0.31540403722564669</v>
      </c>
      <c r="AH194" s="49">
        <f t="shared" si="72"/>
        <v>-1.6539636520685441</v>
      </c>
      <c r="AI194" s="49">
        <f t="shared" ref="AI194:AI202" si="80">AH194/(PI())*180</f>
        <v>-94.765136731571701</v>
      </c>
      <c r="AJ194" s="49">
        <f t="shared" si="73"/>
        <v>-10.022655038557096</v>
      </c>
      <c r="AL194" s="49" t="str">
        <f t="shared" si="74"/>
        <v>2.21959278868176E-06-0.00148982813172849i</v>
      </c>
      <c r="AM194" s="49" t="str">
        <f t="shared" si="75"/>
        <v>2.98215431694615+4.34348234815021i</v>
      </c>
      <c r="AN194" s="49" t="str">
        <f t="shared" si="76"/>
        <v>-1.02440327814066+0.701092936881258i</v>
      </c>
      <c r="AO194" s="49">
        <f t="shared" si="59"/>
        <v>1.2413433781231193</v>
      </c>
      <c r="AP194" s="49">
        <f t="shared" si="60"/>
        <v>2.5414191565129354</v>
      </c>
      <c r="AQ194" s="49">
        <f t="shared" si="61"/>
        <v>145.6125916418888</v>
      </c>
      <c r="AR194" s="49">
        <f t="shared" si="62"/>
        <v>1.87783863717082</v>
      </c>
      <c r="AS194" s="49">
        <f t="shared" si="77"/>
        <v>-8.1448164013862758</v>
      </c>
      <c r="AT194" s="49">
        <f t="shared" si="78"/>
        <v>50.847454910317097</v>
      </c>
    </row>
    <row r="195" spans="18:46">
      <c r="R195" s="7"/>
      <c r="S195" s="7"/>
      <c r="T195" s="7"/>
      <c r="U195" s="7"/>
      <c r="V195" s="7"/>
      <c r="W195" s="7"/>
      <c r="X195" s="7"/>
      <c r="Y195" s="49">
        <v>193</v>
      </c>
      <c r="Z195" s="49">
        <f t="shared" ref="Z195:Z202" si="81">10^(LOG($G$6/$G$5,10)*Y195/200)</f>
        <v>143033.53989310883</v>
      </c>
      <c r="AA195" s="49" t="str">
        <f t="shared" si="63"/>
        <v>898706.236290267i</v>
      </c>
      <c r="AB195" s="49">
        <f t="shared" si="79"/>
        <v>11.052166224580018</v>
      </c>
      <c r="AD195" s="49" t="str">
        <f t="shared" ref="AD195:AD202" si="82">IMDIV(IMSUM(1,IMDIV(AA195,$G$12)),IMSUM(1,IMDIV(AA195,$G$14)))</f>
        <v>0.0029611093330092-0.0363297651798459i</v>
      </c>
      <c r="AE195" s="49" t="str">
        <f t="shared" ref="AE195:AE202" si="83">IMDIV(1,IMSUM(1,IMDIV(AA195,IMPRODUCT($G$10*$G$11)),IMDIV(IMPRODUCT(AA195,AA195),$G$10*$G$10)))</f>
        <v>0.990027291447202-0.174788026494553i</v>
      </c>
      <c r="AF195" s="49" t="str">
        <f t="shared" si="71"/>
        <v>-0.027689617383251-0.295532369809343i</v>
      </c>
      <c r="AG195" s="49">
        <f t="shared" ref="AG195:AG202" si="84">IMABS(AF195)</f>
        <v>0.2968267112575233</v>
      </c>
      <c r="AH195" s="49">
        <f t="shared" si="72"/>
        <v>-1.6642176208093848</v>
      </c>
      <c r="AI195" s="49">
        <f t="shared" si="80"/>
        <v>-95.352645863680962</v>
      </c>
      <c r="AJ195" s="49">
        <f t="shared" si="73"/>
        <v>-10.549940394695245</v>
      </c>
      <c r="AL195" s="49" t="str">
        <f t="shared" si="74"/>
        <v>1.96267861235651E-06-0.0014009549458313i</v>
      </c>
      <c r="AM195" s="49" t="str">
        <f t="shared" si="75"/>
        <v>3.192158735988+4.51710809479843i</v>
      </c>
      <c r="AN195" s="49" t="str">
        <f t="shared" si="76"/>
        <v>-1.00176792939019+0.705829081653968i</v>
      </c>
      <c r="AO195" s="49">
        <f t="shared" ref="AO195:AO202" si="85">IMABS(AN195)</f>
        <v>1.2254524376177121</v>
      </c>
      <c r="AP195" s="49">
        <f t="shared" ref="AP195:AP202" si="86">IMARGUMENT(AN195)</f>
        <v>2.5277971822847807</v>
      </c>
      <c r="AQ195" s="49">
        <f t="shared" ref="AQ195:AQ202" si="87">AP195/(PI())*180</f>
        <v>144.83211000997957</v>
      </c>
      <c r="AR195" s="49">
        <f t="shared" ref="AR195:AR202" si="88">20*LOG(AO195,10)</f>
        <v>1.765929200688551</v>
      </c>
      <c r="AS195" s="49">
        <f t="shared" si="77"/>
        <v>-8.7840111940066947</v>
      </c>
      <c r="AT195" s="49">
        <f t="shared" si="78"/>
        <v>49.479464146298611</v>
      </c>
    </row>
    <row r="196" spans="18:46">
      <c r="R196" s="7"/>
      <c r="S196" s="7"/>
      <c r="T196" s="7"/>
      <c r="U196" s="7"/>
      <c r="V196" s="7"/>
      <c r="W196" s="7"/>
      <c r="X196" s="7"/>
      <c r="Y196" s="49">
        <v>194</v>
      </c>
      <c r="Z196" s="49">
        <f t="shared" si="81"/>
        <v>152107.28003416685</v>
      </c>
      <c r="AA196" s="49" t="str">
        <f t="shared" ref="AA196:AA202" si="89">IMPRODUCT(COMPLEX(0,1),2*PI()*Z196)</f>
        <v>955718.227025728i</v>
      </c>
      <c r="AB196" s="49">
        <f t="shared" si="79"/>
        <v>11.052166224580018</v>
      </c>
      <c r="AD196" s="49" t="str">
        <f t="shared" si="82"/>
        <v>0.00280806433991238-0.0341678094372413i</v>
      </c>
      <c r="AE196" s="49" t="str">
        <f t="shared" si="83"/>
        <v>0.988644037799091-0.186125359144941i</v>
      </c>
      <c r="AF196" s="49" t="str">
        <f t="shared" si="71"/>
        <v>-0.0290252496558741-0.277853314153825i</v>
      </c>
      <c r="AG196" s="49">
        <f t="shared" si="84"/>
        <v>0.27936522565246019</v>
      </c>
      <c r="AH196" s="49">
        <f t="shared" ref="AH196:AH202" si="90">IMARGUMENT(AF196)</f>
        <v>-1.6748813083756466</v>
      </c>
      <c r="AI196" s="49">
        <f t="shared" si="80"/>
        <v>-95.963630155273904</v>
      </c>
      <c r="AJ196" s="49">
        <f t="shared" ref="AJ196:AJ202" si="91">20*LOG(AG196,10)</f>
        <v>-11.076553084490348</v>
      </c>
      <c r="AL196" s="49" t="str">
        <f t="shared" ref="AL196:AL202" si="92">IMDIV(1,IMSUM(1,IMDIV(AA196,wp2e)))</f>
        <v>1.73550177333997E-06-0.00131738330085574i</v>
      </c>
      <c r="AM196" s="49" t="str">
        <f t="shared" ref="AM196:AM202" si="93">IMDIV(IMSUM(1,IMDIV(AA196,wz2e)),IMSUM(1,IMDIV(AA196,wp1e)))</f>
        <v>3.41875838450303+4.68671839341571i</v>
      </c>
      <c r="AN196" s="49" t="str">
        <f t="shared" ref="AN196:AN202" si="94">IMPRODUCT($AK$2,AL196,AM196)</f>
        <v>-0.977351713593469+0.710965038898078i</v>
      </c>
      <c r="AO196" s="49">
        <f t="shared" si="85"/>
        <v>1.2085891190141651</v>
      </c>
      <c r="AP196" s="49">
        <f t="shared" si="86"/>
        <v>2.5126867641478303</v>
      </c>
      <c r="AQ196" s="49">
        <f t="shared" si="87"/>
        <v>143.96634682405437</v>
      </c>
      <c r="AR196" s="49">
        <f t="shared" si="88"/>
        <v>1.645573599119547</v>
      </c>
      <c r="AS196" s="49">
        <f t="shared" ref="AS196:AS202" si="95">AR196+AJ196</f>
        <v>-9.4309794853708002</v>
      </c>
      <c r="AT196" s="49">
        <f t="shared" ref="AT196:AT202" si="96">AQ196+AI196</f>
        <v>48.002716668780465</v>
      </c>
    </row>
    <row r="197" spans="18:46">
      <c r="R197" s="7"/>
      <c r="S197" s="7"/>
      <c r="T197" s="7"/>
      <c r="U197" s="7"/>
      <c r="V197" s="7"/>
      <c r="W197" s="7"/>
      <c r="X197" s="7"/>
      <c r="Y197" s="49">
        <v>195</v>
      </c>
      <c r="Z197" s="49">
        <f t="shared" si="81"/>
        <v>161756.63873440344</v>
      </c>
      <c r="AA197" s="49" t="str">
        <f t="shared" si="89"/>
        <v>1016346.93583476i</v>
      </c>
      <c r="AB197" s="49">
        <f t="shared" si="79"/>
        <v>11.052166224580018</v>
      </c>
      <c r="AD197" s="49" t="str">
        <f t="shared" si="82"/>
        <v>0.00267269493806153-0.032133939714482i</v>
      </c>
      <c r="AE197" s="49" t="str">
        <f t="shared" si="83"/>
        <v>0.987057949896546-0.198229781892395i</v>
      </c>
      <c r="AF197" s="49" t="str">
        <f t="shared" si="71"/>
        <v>-0.0302279472137085-0.26121097196798i</v>
      </c>
      <c r="AG197" s="49">
        <f t="shared" si="84"/>
        <v>0.26295417979034208</v>
      </c>
      <c r="AH197" s="49">
        <f t="shared" si="90"/>
        <v>-1.686006215444154</v>
      </c>
      <c r="AI197" s="49">
        <f t="shared" si="80"/>
        <v>-96.601040377774623</v>
      </c>
      <c r="AJ197" s="49">
        <f t="shared" si="91"/>
        <v>-11.602398429282486</v>
      </c>
      <c r="AL197" s="49" t="str">
        <f t="shared" si="92"/>
        <v>1.53462024149178E-06-0.0012387969512525i</v>
      </c>
      <c r="AM197" s="49" t="str">
        <f t="shared" si="93"/>
        <v>3.66208210758657+4.85049101532134i</v>
      </c>
      <c r="AN197" s="49" t="str">
        <f t="shared" si="94"/>
        <v>-0.951140227823147+0.716255128248896i</v>
      </c>
      <c r="AO197" s="49">
        <f t="shared" si="85"/>
        <v>1.1906675193883096</v>
      </c>
      <c r="AP197" s="49">
        <f t="shared" si="86"/>
        <v>2.4961430853521986</v>
      </c>
      <c r="AQ197" s="49">
        <f t="shared" si="87"/>
        <v>143.01846385144461</v>
      </c>
      <c r="AR197" s="49">
        <f t="shared" si="88"/>
        <v>1.5158101305221152</v>
      </c>
      <c r="AS197" s="49">
        <f t="shared" si="95"/>
        <v>-10.08658829876037</v>
      </c>
      <c r="AT197" s="49">
        <f t="shared" si="96"/>
        <v>46.417423473669984</v>
      </c>
    </row>
    <row r="198" spans="18:46">
      <c r="R198" s="7"/>
      <c r="S198" s="7"/>
      <c r="T198" s="7"/>
      <c r="U198" s="7"/>
      <c r="V198" s="7"/>
      <c r="W198" s="7"/>
      <c r="X198" s="7"/>
      <c r="Y198" s="49">
        <v>196</v>
      </c>
      <c r="Z198" s="49">
        <f t="shared" si="81"/>
        <v>172018.13199719929</v>
      </c>
      <c r="AA198" s="49" t="str">
        <f t="shared" si="89"/>
        <v>1080821.79953328i</v>
      </c>
      <c r="AB198" s="49">
        <f t="shared" si="79"/>
        <v>11.052166224580018</v>
      </c>
      <c r="AD198" s="49" t="str">
        <f t="shared" si="82"/>
        <v>0.00255296372856297-0.0302206635613666i</v>
      </c>
      <c r="AE198" s="49" t="str">
        <f t="shared" si="83"/>
        <v>0.985236386696143-0.211158679393724i</v>
      </c>
      <c r="AF198" s="49" t="str">
        <f t="shared" si="71"/>
        <v>-0.0313156576468143-0.245543024120653i</v>
      </c>
      <c r="AG198" s="49">
        <f t="shared" si="84"/>
        <v>0.24753191129260091</v>
      </c>
      <c r="AH198" s="49">
        <f t="shared" si="90"/>
        <v>-1.6976478523519172</v>
      </c>
      <c r="AI198" s="49">
        <f t="shared" si="80"/>
        <v>-97.26805703921319</v>
      </c>
      <c r="AJ198" s="49">
        <f t="shared" si="91"/>
        <v>-12.127376095826946</v>
      </c>
      <c r="AL198" s="49" t="str">
        <f t="shared" si="92"/>
        <v>1.35699039149049E-06-0.00116489851492204i</v>
      </c>
      <c r="AM198" s="49" t="str">
        <f t="shared" si="93"/>
        <v>3.92200773409021+5.00649176010052i</v>
      </c>
      <c r="AN198" s="49" t="str">
        <f t="shared" si="94"/>
        <v>-0.923146139292933+0.721444581751282i</v>
      </c>
      <c r="AO198" s="49">
        <f t="shared" si="85"/>
        <v>1.1716147314837457</v>
      </c>
      <c r="AP198" s="49">
        <f t="shared" si="86"/>
        <v>2.4782304838250044</v>
      </c>
      <c r="AQ198" s="49">
        <f t="shared" si="87"/>
        <v>141.99214738383677</v>
      </c>
      <c r="AR198" s="49">
        <f t="shared" si="88"/>
        <v>1.3756964742895303</v>
      </c>
      <c r="AS198" s="49">
        <f t="shared" si="95"/>
        <v>-10.751679621537416</v>
      </c>
      <c r="AT198" s="49">
        <f t="shared" si="96"/>
        <v>44.724090344623576</v>
      </c>
    </row>
    <row r="199" spans="18:46">
      <c r="R199" s="7"/>
      <c r="S199" s="7"/>
      <c r="T199" s="7"/>
      <c r="U199" s="7"/>
      <c r="V199" s="7"/>
      <c r="W199" s="7"/>
      <c r="X199" s="7"/>
      <c r="Y199" s="49">
        <v>197</v>
      </c>
      <c r="Z199" s="49">
        <f t="shared" si="81"/>
        <v>182930.59232265301</v>
      </c>
      <c r="AA199" s="49" t="str">
        <f t="shared" si="89"/>
        <v>1149386.80991535i</v>
      </c>
      <c r="AB199" s="49">
        <f t="shared" si="79"/>
        <v>11.052166224580018</v>
      </c>
      <c r="AD199" s="49" t="str">
        <f t="shared" si="82"/>
        <v>0.00244706728299242-0.028420910572886i</v>
      </c>
      <c r="AE199" s="49" t="str">
        <f t="shared" si="83"/>
        <v>0.983140732086282-0.224974471691682i</v>
      </c>
      <c r="AF199" s="49" t="str">
        <f t="shared" si="71"/>
        <v>-0.0323045598013143-0.230790349121752i</v>
      </c>
      <c r="AG199" s="49">
        <f t="shared" si="84"/>
        <v>0.23304027512792044</v>
      </c>
      <c r="AH199" s="49">
        <f t="shared" si="90"/>
        <v>-1.7098663917803305</v>
      </c>
      <c r="AI199" s="49">
        <f t="shared" si="80"/>
        <v>-97.968127780275466</v>
      </c>
      <c r="AJ199" s="49">
        <f t="shared" si="91"/>
        <v>-12.651380313019114</v>
      </c>
      <c r="AL199" s="49" t="str">
        <f t="shared" si="92"/>
        <v>1.19992088918826E-06-0.00109540834823281i</v>
      </c>
      <c r="AM199" s="49" t="str">
        <f t="shared" si="93"/>
        <v>4.19812868538364+5.15271314878271i</v>
      </c>
      <c r="AN199" s="49" t="str">
        <f t="shared" si="94"/>
        <v>-0.893412770790542+0.726273530463454i</v>
      </c>
      <c r="AO199" s="49">
        <f t="shared" si="85"/>
        <v>1.1513729283179639</v>
      </c>
      <c r="AP199" s="49">
        <f t="shared" si="86"/>
        <v>2.459022878861798</v>
      </c>
      <c r="AQ199" s="49">
        <f t="shared" si="87"/>
        <v>140.89163268489051</v>
      </c>
      <c r="AR199" s="49">
        <f t="shared" si="88"/>
        <v>1.2243202776065107</v>
      </c>
      <c r="AS199" s="49">
        <f t="shared" si="95"/>
        <v>-11.427060035412604</v>
      </c>
      <c r="AT199" s="49">
        <f t="shared" si="96"/>
        <v>42.923504904615044</v>
      </c>
    </row>
    <row r="200" spans="18:46">
      <c r="R200" s="7"/>
      <c r="S200" s="7"/>
      <c r="T200" s="7"/>
      <c r="U200" s="7"/>
      <c r="V200" s="7"/>
      <c r="W200" s="7"/>
      <c r="X200" s="7"/>
      <c r="Y200" s="49">
        <v>198</v>
      </c>
      <c r="Z200" s="49">
        <f t="shared" si="81"/>
        <v>194535.31566115122</v>
      </c>
      <c r="AA200" s="49" t="str">
        <f t="shared" si="89"/>
        <v>1222301.43708969i</v>
      </c>
      <c r="AB200" s="49">
        <f t="shared" si="79"/>
        <v>11.052166224580018</v>
      </c>
      <c r="AD200" s="49" t="str">
        <f t="shared" si="82"/>
        <v>0.00235340946514854-0.0267280113860426i</v>
      </c>
      <c r="AE200" s="49" t="str">
        <f t="shared" si="83"/>
        <v>0.980725139340858-0.239745071795995i</v>
      </c>
      <c r="AF200" s="49" t="str">
        <f t="shared" si="71"/>
        <v>-0.0332092872486992-0.216896801873042i</v>
      </c>
      <c r="AG200" s="49">
        <f t="shared" si="84"/>
        <v>0.21942442758799727</v>
      </c>
      <c r="AH200" s="49">
        <f t="shared" si="90"/>
        <v>-1.7227274244716504</v>
      </c>
      <c r="AI200" s="49">
        <f t="shared" si="80"/>
        <v>-98.705010673667857</v>
      </c>
      <c r="AJ200" s="49">
        <f t="shared" si="91"/>
        <v>-13.174300518258324</v>
      </c>
      <c r="AL200" s="49" t="str">
        <f t="shared" si="92"/>
        <v>1.06103191530509E-06-0.00103006348809982i</v>
      </c>
      <c r="AM200" s="49" t="str">
        <f t="shared" si="93"/>
        <v>4.48972715907406+5.28712272266992i</v>
      </c>
      <c r="AN200" s="49" t="str">
        <f t="shared" si="94"/>
        <v>-0.862016979527778+0.730482035085211i</v>
      </c>
      <c r="AO200" s="49">
        <f t="shared" si="85"/>
        <v>1.1299014455147958</v>
      </c>
      <c r="AP200" s="49">
        <f t="shared" si="86"/>
        <v>2.4386039879710895</v>
      </c>
      <c r="AQ200" s="49">
        <f t="shared" si="87"/>
        <v>139.72171641451482</v>
      </c>
      <c r="AR200" s="49">
        <f t="shared" si="88"/>
        <v>1.060811284965697</v>
      </c>
      <c r="AS200" s="49">
        <f t="shared" si="95"/>
        <v>-12.113489233292627</v>
      </c>
      <c r="AT200" s="49">
        <f t="shared" si="96"/>
        <v>41.016705740846959</v>
      </c>
    </row>
    <row r="201" spans="18:46">
      <c r="R201" s="7"/>
      <c r="S201" s="7"/>
      <c r="T201" s="7"/>
      <c r="U201" s="7"/>
      <c r="V201" s="7"/>
      <c r="W201" s="7"/>
      <c r="X201" s="7"/>
      <c r="Y201" s="49">
        <v>199</v>
      </c>
      <c r="Z201" s="49">
        <f t="shared" si="81"/>
        <v>206876.21768935499</v>
      </c>
      <c r="AA201" s="49" t="str">
        <f t="shared" si="89"/>
        <v>1299841.61139064i</v>
      </c>
      <c r="AB201" s="49">
        <f t="shared" si="79"/>
        <v>11.052166224580018</v>
      </c>
      <c r="AD201" s="49" t="str">
        <f t="shared" si="82"/>
        <v>0.00227057775313881-0.025135677232543i</v>
      </c>
      <c r="AE201" s="49" t="str">
        <f t="shared" si="83"/>
        <v>0.977934981814575-0.255544342833139i</v>
      </c>
      <c r="AF201" s="49" t="str">
        <f t="shared" si="71"/>
        <v>-0.034043123923388-0.20380898642973i</v>
      </c>
      <c r="AG201" s="49">
        <f t="shared" si="84"/>
        <v>0.20663261416334311</v>
      </c>
      <c r="AH201" s="49">
        <f t="shared" si="90"/>
        <v>-1.7363028355005468</v>
      </c>
      <c r="AI201" s="49">
        <f t="shared" si="80"/>
        <v>-99.482824430778976</v>
      </c>
      <c r="AJ201" s="49">
        <f t="shared" si="91"/>
        <v>-13.696022597924948</v>
      </c>
      <c r="AL201" s="49" t="str">
        <f t="shared" si="92"/>
        <v>9.38219108727389E-07-0.00096861665713134i</v>
      </c>
      <c r="AM201" s="49" t="str">
        <f t="shared" si="93"/>
        <v>4.79575677766431+5.40771979931976i</v>
      </c>
      <c r="AN201" s="49" t="str">
        <f t="shared" si="94"/>
        <v>-0.829071018368543+0.733816036413855i</v>
      </c>
      <c r="AO201" s="49">
        <f t="shared" si="85"/>
        <v>1.1071787248664025</v>
      </c>
      <c r="AP201" s="49">
        <f t="shared" si="86"/>
        <v>2.4170672812969851</v>
      </c>
      <c r="AQ201" s="49">
        <f t="shared" si="87"/>
        <v>138.48775401747739</v>
      </c>
      <c r="AR201" s="49">
        <f t="shared" si="88"/>
        <v>0.88435463904021849</v>
      </c>
      <c r="AS201" s="49">
        <f t="shared" si="95"/>
        <v>-12.81166795888473</v>
      </c>
      <c r="AT201" s="49">
        <f t="shared" si="96"/>
        <v>39.00492958669841</v>
      </c>
    </row>
    <row r="202" spans="18:46">
      <c r="R202" s="7"/>
      <c r="S202" s="7"/>
      <c r="T202" s="7"/>
      <c r="U202" s="7"/>
      <c r="V202" s="7"/>
      <c r="W202" s="7"/>
      <c r="X202" s="7"/>
      <c r="Y202" s="49">
        <v>200</v>
      </c>
      <c r="Z202" s="49">
        <f t="shared" si="81"/>
        <v>219999.99999999985</v>
      </c>
      <c r="AA202" s="49" t="str">
        <f t="shared" si="89"/>
        <v>1382300.76757951i</v>
      </c>
      <c r="AB202" s="49">
        <f t="shared" si="79"/>
        <v>11.052166224580018</v>
      </c>
      <c r="AD202" s="49" t="str">
        <f t="shared" si="82"/>
        <v>0.002197322233514-0.0236379801300294i</v>
      </c>
      <c r="AE202" s="49" t="str">
        <f t="shared" si="83"/>
        <v>0.974704937827816-0.272452525352006i</v>
      </c>
      <c r="AF202" s="49" t="str">
        <f t="shared" si="71"/>
        <v>-0.0348181726617869-0.191476021307496i</v>
      </c>
      <c r="AG202" s="49">
        <f t="shared" si="84"/>
        <v>0.19461595999109285</v>
      </c>
      <c r="AH202" s="49">
        <f t="shared" si="90"/>
        <v>-1.7506718208278016</v>
      </c>
      <c r="AI202" s="49">
        <f t="shared" si="80"/>
        <v>-100.30610664591609</v>
      </c>
      <c r="AJ202" s="49">
        <f t="shared" si="91"/>
        <v>-14.216430943034332</v>
      </c>
      <c r="AL202" s="49" t="str">
        <f t="shared" si="92"/>
        <v>8.29621683165793E-07-0.000910835328088264i</v>
      </c>
      <c r="AM202" s="49" t="str">
        <f t="shared" si="93"/>
        <v>5.11483740708361+5.51259859727941i</v>
      </c>
      <c r="AN202" s="49" t="str">
        <f t="shared" si="94"/>
        <v>-0.794723088316734+0.736034000340665i</v>
      </c>
      <c r="AO202" s="49">
        <f t="shared" si="85"/>
        <v>1.0832039682170527</v>
      </c>
      <c r="AP202" s="49">
        <f t="shared" si="86"/>
        <v>2.3945156301681916</v>
      </c>
      <c r="AQ202" s="49">
        <f t="shared" si="87"/>
        <v>137.19563958674607</v>
      </c>
      <c r="AR202" s="49">
        <f t="shared" si="88"/>
        <v>0.69420484682899364</v>
      </c>
      <c r="AS202" s="49">
        <f t="shared" si="95"/>
        <v>-13.522226096205339</v>
      </c>
      <c r="AT202" s="49">
        <f t="shared" si="96"/>
        <v>36.88953294082998</v>
      </c>
    </row>
    <row r="203" spans="18:46">
      <c r="R203" s="7"/>
      <c r="S203" s="7"/>
      <c r="T203" s="7"/>
      <c r="U203" s="7"/>
      <c r="V203" s="7"/>
      <c r="W203" s="7"/>
      <c r="X203" s="7"/>
    </row>
  </sheetData>
  <sheetProtection password="F725" sheet="1" objects="1" scenarios="1" selectLockedCells="1"/>
  <conditionalFormatting sqref="E5">
    <cfRule type="notContainsBlanks" dxfId="6" priority="8">
      <formula>LEN(TRIM(E5))&gt;0</formula>
    </cfRule>
  </conditionalFormatting>
  <conditionalFormatting sqref="B16">
    <cfRule type="cellIs" dxfId="5" priority="7" operator="notBetween">
      <formula>0.01</formula>
      <formula>0.98</formula>
    </cfRule>
  </conditionalFormatting>
  <conditionalFormatting sqref="B18">
    <cfRule type="cellIs" dxfId="4" priority="6" operator="lessThan">
      <formula>0</formula>
    </cfRule>
  </conditionalFormatting>
  <conditionalFormatting sqref="B19">
    <cfRule type="cellIs" dxfId="3" priority="5" operator="lessThan">
      <formula>0</formula>
    </cfRule>
  </conditionalFormatting>
  <conditionalFormatting sqref="B23">
    <cfRule type="cellIs" dxfId="2" priority="4" operator="lessThan">
      <formula>0</formula>
    </cfRule>
  </conditionalFormatting>
  <conditionalFormatting sqref="B32">
    <cfRule type="cellIs" dxfId="1" priority="3" operator="lessThan">
      <formula>0</formula>
    </cfRule>
  </conditionalFormatting>
  <conditionalFormatting sqref="B25">
    <cfRule type="cellIs" dxfId="0" priority="1" operator="lessThan">
      <formula>0</formula>
    </cfRule>
  </conditionalFormatting>
  <dataValidations count="1">
    <dataValidation type="list" allowBlank="1" showInputMessage="1" showErrorMessage="1" sqref="B5">
      <formula1>$D$4:$D$6</formula1>
    </dataValidation>
  </dataValidations>
  <pageMargins left="0.7" right="0.7" top="0.75" bottom="0.75" header="0.3" footer="0.3"/>
  <pageSetup orientation="portrait" r:id="rId1"/>
  <ignoredErrors>
    <ignoredError sqref="B17 B19 B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8.28515625" customWidth="1"/>
    <col min="3" max="3" width="19" customWidth="1"/>
    <col min="4" max="4" width="8.28515625" customWidth="1"/>
    <col min="5" max="5" width="21.7109375" customWidth="1"/>
  </cols>
  <sheetData>
    <row r="1" spans="1:3">
      <c r="A1" s="70"/>
      <c r="B1" s="70" t="s">
        <v>116</v>
      </c>
    </row>
    <row r="2" spans="1:3">
      <c r="B2" s="70" t="s">
        <v>115</v>
      </c>
    </row>
    <row r="3" spans="1:3">
      <c r="B3" s="70"/>
    </row>
    <row r="4" spans="1:3">
      <c r="B4" s="78" t="s">
        <v>117</v>
      </c>
    </row>
    <row r="7" spans="1:3">
      <c r="A7" s="81" t="s">
        <v>113</v>
      </c>
      <c r="B7" s="82">
        <f>'Design tool'!B5</f>
        <v>5</v>
      </c>
      <c r="C7" s="69" t="s">
        <v>70</v>
      </c>
    </row>
    <row r="8" spans="1:3" ht="15.75" thickBot="1"/>
    <row r="9" spans="1:3" ht="15.75" thickBot="1">
      <c r="B9" s="71" t="s">
        <v>95</v>
      </c>
      <c r="C9" s="74" t="s">
        <v>114</v>
      </c>
    </row>
    <row r="10" spans="1:3">
      <c r="B10" s="72">
        <v>0.1</v>
      </c>
      <c r="C10" s="75">
        <f>0.36*$B10+'Design tool'!$B$24*$B10+(1/0.97)*$B$7</f>
        <v>5.1946391752577323</v>
      </c>
    </row>
    <row r="11" spans="1:3">
      <c r="B11" s="73">
        <v>0.2</v>
      </c>
      <c r="C11" s="76">
        <f>0.36*$B11+'Design tool'!$B$24*$B11+(1/0.97)*$B$7</f>
        <v>5.2346391752577324</v>
      </c>
    </row>
    <row r="12" spans="1:3">
      <c r="B12" s="73">
        <v>0.5</v>
      </c>
      <c r="C12" s="76">
        <f>0.36*$B12+'Design tool'!$B$24*$B12+(1/0.97)*$B$7</f>
        <v>5.3546391752577325</v>
      </c>
    </row>
    <row r="13" spans="1:3">
      <c r="B13" s="73">
        <v>0.8</v>
      </c>
      <c r="C13" s="76">
        <f>0.36*$B13+'Design tool'!$B$24*$B13+(1/0.97)*$B$7</f>
        <v>5.4746391752577326</v>
      </c>
    </row>
    <row r="14" spans="1:3">
      <c r="B14" s="73">
        <v>1</v>
      </c>
      <c r="C14" s="76">
        <f>0.36*$B14+'Design tool'!$B$24*$B14+(1/0.97)*$B$7</f>
        <v>5.5546391752577327</v>
      </c>
    </row>
    <row r="15" spans="1:3" ht="15.75" thickBot="1">
      <c r="B15" s="86">
        <v>1.2</v>
      </c>
      <c r="C15" s="77">
        <f>0.36*$B15+'Design tool'!$B$24*$B15+(1/0.97)*$B$7</f>
        <v>5.6346391752577318</v>
      </c>
    </row>
  </sheetData>
  <sheetProtection password="F725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Design tool</vt:lpstr>
      <vt:lpstr>Minimum input voltage</vt:lpstr>
      <vt:lpstr>Cesr</vt:lpstr>
      <vt:lpstr>com_c1</vt:lpstr>
      <vt:lpstr>comp_C1</vt:lpstr>
      <vt:lpstr>comp_C2</vt:lpstr>
      <vt:lpstr>comp_R2</vt:lpstr>
      <vt:lpstr>Cout</vt:lpstr>
      <vt:lpstr>D</vt:lpstr>
      <vt:lpstr>D_</vt:lpstr>
      <vt:lpstr>Dmax</vt:lpstr>
      <vt:lpstr>Enter_Values</vt:lpstr>
      <vt:lpstr>Fsw</vt:lpstr>
      <vt:lpstr>gm</vt:lpstr>
      <vt:lpstr>L</vt:lpstr>
      <vt:lpstr>mc</vt:lpstr>
      <vt:lpstr>R0</vt:lpstr>
      <vt:lpstr>Rout</vt:lpstr>
      <vt:lpstr>Rout_</vt:lpstr>
      <vt:lpstr>sssss</vt:lpstr>
      <vt:lpstr>Tsw_</vt:lpstr>
      <vt:lpstr>Vout_</vt:lpstr>
      <vt:lpstr>wp1e</vt:lpstr>
      <vt:lpstr>wp2e</vt:lpstr>
      <vt:lpstr>wz2e</vt:lpstr>
    </vt:vector>
  </TitlesOfParts>
  <Company>ON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Bochuan Liu</dc:creator>
  <cp:lastModifiedBy>On Semiconductor</cp:lastModifiedBy>
  <dcterms:created xsi:type="dcterms:W3CDTF">2014-08-04T21:40:23Z</dcterms:created>
  <dcterms:modified xsi:type="dcterms:W3CDTF">2014-12-12T22:57:44Z</dcterms:modified>
</cp:coreProperties>
</file>