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2840" activeTab="0"/>
  </bookViews>
  <sheets>
    <sheet name="FSL series design guideline" sheetId="1" r:id="rId1"/>
  </sheets>
  <externalReferences>
    <externalReference r:id="rId4"/>
  </externalReferences>
  <definedNames>
    <definedName name="_xlfn.IFERROR" hidden="1">#NAME?</definedName>
    <definedName name="AC_F">'[1]Overall design'!$D$11</definedName>
    <definedName name="Ae" localSheetId="0">'FSL series design guideline'!$C$61</definedName>
    <definedName name="Ae">#REF!</definedName>
    <definedName name="AL" localSheetId="0">'FSL series design guideline'!$C$76</definedName>
    <definedName name="AL">#REF!</definedName>
    <definedName name="Bmax" localSheetId="0">'FSL series design guideline'!#REF!</definedName>
    <definedName name="Bmax">#REF!</definedName>
    <definedName name="Bsat" localSheetId="0">'FSL series design guideline'!$C$60</definedName>
    <definedName name="Bsat">#REF!</definedName>
    <definedName name="CB" localSheetId="0">'FSL series design guideline'!#REF!*10^-9</definedName>
    <definedName name="CB">#REF!*10^-9</definedName>
    <definedName name="Cbulk">'[1]Overall design'!$D$21</definedName>
    <definedName name="Cdc" localSheetId="0">'FSL series design guideline'!$C$27/1000000</definedName>
    <definedName name="Cdc">#REF!/1000000</definedName>
    <definedName name="CF" localSheetId="0">'FSL series design guideline'!#REF!*10^-9</definedName>
    <definedName name="CF">#REF!*10^-9</definedName>
    <definedName name="Co_1" localSheetId="0">'FSL series design guideline'!$C$109</definedName>
    <definedName name="Co_1">#REF!</definedName>
    <definedName name="Co_2" localSheetId="0">'FSL series design guideline'!$C$110</definedName>
    <definedName name="Co_2">#REF!</definedName>
    <definedName name="Co_3" localSheetId="0">'FSL series design guideline'!$C$111</definedName>
    <definedName name="Co_3">#REF!</definedName>
    <definedName name="Co_4" localSheetId="0">'FSL series design guideline'!$C$112</definedName>
    <definedName name="Co_4">#REF!</definedName>
    <definedName name="Co_5" localSheetId="0">'FSL series design guideline'!$C$113</definedName>
    <definedName name="Co_5">#REF!</definedName>
    <definedName name="Co_6" localSheetId="0">'FSL series design guideline'!$C$114</definedName>
    <definedName name="Co_6">#REF!</definedName>
    <definedName name="Dch">'FSL series design guideline'!$C$28</definedName>
    <definedName name="Dmax" localSheetId="0">'FSL series design guideline'!$C$38</definedName>
    <definedName name="Dmax">#REF!</definedName>
    <definedName name="Dmax.peak">'FSL series design guideline'!$C$51</definedName>
    <definedName name="Eff" localSheetId="0">'FSL series design guideline'!$C$19/100</definedName>
    <definedName name="Eff">#REF!/100</definedName>
    <definedName name="ffi" localSheetId="0">'FSL series design guideline'!$C$224</definedName>
    <definedName name="ffi">#REF!</definedName>
    <definedName name="ffp" localSheetId="0">'FSL series design guideline'!$C$226</definedName>
    <definedName name="ffp">#REF!</definedName>
    <definedName name="ffz" localSheetId="0">'FSL series design guideline'!$C$225</definedName>
    <definedName name="ffz">#REF!</definedName>
    <definedName name="fi" localSheetId="0">'FSL series design guideline'!$G$157</definedName>
    <definedName name="fi">#REF!</definedName>
    <definedName name="fL" localSheetId="0">'FSL series design guideline'!$C$9</definedName>
    <definedName name="fL">#REF!</definedName>
    <definedName name="fp" localSheetId="0">'FSL series design guideline'!$G$159</definedName>
    <definedName name="fp">#REF!</definedName>
    <definedName name="fp_1" localSheetId="0">'FSL series design guideline'!$G$147</definedName>
    <definedName name="fp_1">#REF!</definedName>
    <definedName name="fs" localSheetId="0">'FSL series design guideline'!$C$42*1000</definedName>
    <definedName name="fs">#REF!*1000</definedName>
    <definedName name="fz" localSheetId="0">'FSL series design guideline'!$G$158</definedName>
    <definedName name="fz">#REF!</definedName>
    <definedName name="fz_1" localSheetId="0">'FSL series design guideline'!$G$145</definedName>
    <definedName name="fz_1">#REF!</definedName>
    <definedName name="fzr" localSheetId="0">'FSL series design guideline'!$G$146</definedName>
    <definedName name="fzr">#REF!</definedName>
    <definedName name="Ilim" localSheetId="0">'FSL series design guideline'!$C$55</definedName>
    <definedName name="Ilim">#REF!</definedName>
    <definedName name="Ilim.adj">'FSL series design guideline'!#REF!</definedName>
    <definedName name="Io.peak_1">'FSL series design guideline'!$G$12</definedName>
    <definedName name="Io.peak_2">'FSL series design guideline'!$G$13</definedName>
    <definedName name="Io.peak_3">'FSL series design guideline'!$G$14</definedName>
    <definedName name="Io.peak_4">'FSL series design guideline'!$G$15</definedName>
    <definedName name="Io.peak_5">'FSL series design guideline'!$G$16</definedName>
    <definedName name="Io.peak_6">'FSL series design guideline'!$G$17</definedName>
    <definedName name="Io_1" localSheetId="0">'FSL series design guideline'!$E$12</definedName>
    <definedName name="Io_1">#REF!</definedName>
    <definedName name="Io_2" localSheetId="0">'FSL series design guideline'!$E$13</definedName>
    <definedName name="Io_2">#REF!</definedName>
    <definedName name="Io_3" localSheetId="0">'FSL series design guideline'!$E$14</definedName>
    <definedName name="Io_3">#REF!</definedName>
    <definedName name="Io_4" localSheetId="0">'FSL series design guideline'!$E$15</definedName>
    <definedName name="Io_4">#REF!</definedName>
    <definedName name="Io_5" localSheetId="0">'FSL series design guideline'!$E$16</definedName>
    <definedName name="Io_5">#REF!</definedName>
    <definedName name="Io_6" localSheetId="0">'FSL series design guideline'!$E$17</definedName>
    <definedName name="Io_6">#REF!</definedName>
    <definedName name="Io1rms" localSheetId="0">'FSL series design guideline'!$G$84</definedName>
    <definedName name="Io1rms">#REF!</definedName>
    <definedName name="Io2rms" localSheetId="0">'FSL series design guideline'!$G$85</definedName>
    <definedName name="Io2rms">#REF!</definedName>
    <definedName name="Io3rms" localSheetId="0">'FSL series design guideline'!$G$86</definedName>
    <definedName name="Io3rms">#REF!</definedName>
    <definedName name="Io4rms" localSheetId="0">'FSL series design guideline'!$G$87</definedName>
    <definedName name="Io4rms">#REF!</definedName>
    <definedName name="Io5rms" localSheetId="0">'FSL series design guideline'!$G$88</definedName>
    <definedName name="Io5rms">#REF!</definedName>
    <definedName name="Io6rms" localSheetId="0">'FSL series design guideline'!$G$89</definedName>
    <definedName name="Io6rms">#REF!</definedName>
    <definedName name="Ipk" localSheetId="0">'FSL series design guideline'!$C$46</definedName>
    <definedName name="Ipk">#REF!</definedName>
    <definedName name="Ipk.peak">'FSL series design guideline'!$C$52</definedName>
    <definedName name="Irms" localSheetId="0">'FSL series design guideline'!$C$47</definedName>
    <definedName name="Irms">#REF!</definedName>
    <definedName name="k_1" localSheetId="0">'FSL series design guideline'!$C$144</definedName>
    <definedName name="k_1">#REF!</definedName>
    <definedName name="KL1" localSheetId="0">'FSL series design guideline'!$M$12/100</definedName>
    <definedName name="KL1">#REF!/100</definedName>
    <definedName name="KL2" localSheetId="0">'FSL series design guideline'!$M$13/100</definedName>
    <definedName name="KL2">#REF!/100</definedName>
    <definedName name="KL3" localSheetId="0">'FSL series design guideline'!$M$14/100</definedName>
    <definedName name="KL3">#REF!/100</definedName>
    <definedName name="KL4" localSheetId="0">'FSL series design guideline'!$M$15/100</definedName>
    <definedName name="KL4">#REF!/100</definedName>
    <definedName name="KL5" localSheetId="0">'FSL series design guideline'!$M$16/100</definedName>
    <definedName name="KL5">#REF!/100</definedName>
    <definedName name="KL6" localSheetId="0">'FSL series design guideline'!$M$17/100</definedName>
    <definedName name="KL6">#REF!/100</definedName>
    <definedName name="KRF" localSheetId="0">'FSL series design guideline'!$C$43</definedName>
    <definedName name="KRF">#REF!</definedName>
    <definedName name="Llk" localSheetId="0">'FSL series design guideline'!$C$117</definedName>
    <definedName name="Llk">#REF!</definedName>
    <definedName name="Lm" localSheetId="0">'FSL series design guideline'!$C$44/1000000</definedName>
    <definedName name="Lm">#REF!/1000000</definedName>
    <definedName name="Lm_D">'FSL series design guideline'!$C$45</definedName>
    <definedName name="Nc" localSheetId="0">'FSL series design guideline'!$I$67</definedName>
    <definedName name="Nc">#REF!</definedName>
    <definedName name="Np" localSheetId="0">'FSL series design guideline'!$I$74</definedName>
    <definedName name="Np">#REF!</definedName>
    <definedName name="Ns1" localSheetId="0">'FSL series design guideline'!$I$68</definedName>
    <definedName name="Ns1">#REF!</definedName>
    <definedName name="Ns2" localSheetId="0">'FSL series design guideline'!$I$69</definedName>
    <definedName name="Ns2">#REF!</definedName>
    <definedName name="Ns3" localSheetId="0">'FSL series design guideline'!$I$70</definedName>
    <definedName name="Ns3">#REF!</definedName>
    <definedName name="Ns4" localSheetId="0">'FSL series design guideline'!$I$71</definedName>
    <definedName name="Ns4">#REF!</definedName>
    <definedName name="Ns5" localSheetId="0">'FSL series design guideline'!$I$72</definedName>
    <definedName name="Ns5">#REF!</definedName>
    <definedName name="Ns6" localSheetId="0">'FSL series design guideline'!$I$73</definedName>
    <definedName name="Ns6">#REF!</definedName>
    <definedName name="Pin" localSheetId="0">'FSL series design guideline'!$C$20</definedName>
    <definedName name="Pin">#REF!</definedName>
    <definedName name="Pin.peak">'FSL series design guideline'!$C$24</definedName>
    <definedName name="Po" localSheetId="0">'FSL series design guideline'!$C$18</definedName>
    <definedName name="Po">#REF!</definedName>
    <definedName name="Po.peak">'FSL series design guideline'!$C$22</definedName>
    <definedName name="Pout">'[1]Overall design'!$D$16</definedName>
    <definedName name="_xlnm.Print_Area" localSheetId="0">'FSL series design guideline'!$A$1:$J$192</definedName>
    <definedName name="R_1" localSheetId="0">'FSL series design guideline'!$C$149</definedName>
    <definedName name="R_1">#REF!</definedName>
    <definedName name="Rc_1" localSheetId="0">'FSL series design guideline'!$E$109</definedName>
    <definedName name="Rc_1">#REF!</definedName>
    <definedName name="Rc_2" localSheetId="0">'FSL series design guideline'!$E$110</definedName>
    <definedName name="Rc_2">#REF!</definedName>
    <definedName name="Rc_3" localSheetId="0">'FSL series design guideline'!$E$111</definedName>
    <definedName name="Rc_3">#REF!</definedName>
    <definedName name="Rc_4" localSheetId="0">'FSL series design guideline'!$E$112</definedName>
    <definedName name="Rc_4">#REF!</definedName>
    <definedName name="Rc_5" localSheetId="0">'FSL series design guideline'!$E$113</definedName>
    <definedName name="Rc_5">#REF!</definedName>
    <definedName name="Rc_6" localSheetId="0">'FSL series design guideline'!$E$114</definedName>
    <definedName name="Rc_6">#REF!</definedName>
    <definedName name="RD" localSheetId="0">'FSL series design guideline'!#REF!*1000</definedName>
    <definedName name="RD">#REF!*1000</definedName>
    <definedName name="RLS.high">'FSL series design guideline'!$C$135</definedName>
    <definedName name="RLS.low">'FSL series design guideline'!$C$136</definedName>
    <definedName name="Rpeak">'FSL series design guideline'!#REF!</definedName>
    <definedName name="Rsn" localSheetId="0">'FSL series design guideline'!$C$120*1000</definedName>
    <definedName name="Rsn">#REF!*1000</definedName>
    <definedName name="V_line_max" localSheetId="0">'FSL series design guideline'!$C$8</definedName>
    <definedName name="V_line_max">#REF!</definedName>
    <definedName name="V_line_min" localSheetId="0">'FSL series design guideline'!$C$7</definedName>
    <definedName name="V_line_min">#REF!</definedName>
    <definedName name="Vbr_out">'FSL series design guideline'!$C$128</definedName>
    <definedName name="Vcc" localSheetId="0">'FSL series design guideline'!$C$67</definedName>
    <definedName name="Vcc">#REF!</definedName>
    <definedName name="Vdc_ccm" localSheetId="0">'FSL series design guideline'!#REF!</definedName>
    <definedName name="Vdc_ccm">#REF!</definedName>
    <definedName name="Vdc_max" localSheetId="0">'FSL series design guideline'!$C$30</definedName>
    <definedName name="Vdc_max">#REF!</definedName>
    <definedName name="Vdc_max_peak">'FSL series design guideline'!$C$33</definedName>
    <definedName name="Vdc_min" localSheetId="0">'FSL series design guideline'!$C$29</definedName>
    <definedName name="Vdc_min">#REF!</definedName>
    <definedName name="Vdc_min_peak">'FSL series design guideline'!$C$32</definedName>
    <definedName name="VF1" localSheetId="0">'FSL series design guideline'!$E$68</definedName>
    <definedName name="VF1">#REF!</definedName>
    <definedName name="VF2" localSheetId="0">'FSL series design guideline'!$E$69</definedName>
    <definedName name="VF2">#REF!</definedName>
    <definedName name="VF3" localSheetId="0">'FSL series design guideline'!$E$70</definedName>
    <definedName name="VF3">#REF!</definedName>
    <definedName name="VF4" localSheetId="0">'FSL series design guideline'!$E$71</definedName>
    <definedName name="VF4">#REF!</definedName>
    <definedName name="VF5" localSheetId="0">'FSL series design guideline'!$E$72</definedName>
    <definedName name="VF5">#REF!</definedName>
    <definedName name="VF6" localSheetId="0">'FSL series design guideline'!$E$73</definedName>
    <definedName name="VF6">#REF!</definedName>
    <definedName name="VFC" localSheetId="0">'FSL series design guideline'!$E$67</definedName>
    <definedName name="VFC">#REF!</definedName>
    <definedName name="Vin.ac.min">'[1]Overall design'!$D$8</definedName>
    <definedName name="VLS.off">'FSL series design guideline'!$C$134</definedName>
    <definedName name="VLS.on">'FSL series design guideline'!$C$133</definedName>
    <definedName name="Vo1" localSheetId="0">'FSL series design guideline'!$C$12</definedName>
    <definedName name="Vo1">#REF!</definedName>
    <definedName name="Vo2" localSheetId="0">'FSL series design guideline'!$C$13</definedName>
    <definedName name="Vo2">#REF!</definedName>
    <definedName name="Vo2.LDO">'FSL series design guideline'!#REF!</definedName>
    <definedName name="Vo2.real">'FSL series design guideline'!$C$69</definedName>
    <definedName name="Vo3" localSheetId="0">'FSL series design guideline'!$C$14</definedName>
    <definedName name="Vo3">#REF!</definedName>
    <definedName name="Vo4" localSheetId="0">'FSL series design guideline'!$C$15</definedName>
    <definedName name="Vo4">#REF!</definedName>
    <definedName name="Vo5" localSheetId="0">'FSL series design guideline'!$C$16</definedName>
    <definedName name="Vo5">#REF!</definedName>
    <definedName name="Vo6" localSheetId="0">'FSL series design guideline'!$C$17</definedName>
    <definedName name="Vo6">#REF!</definedName>
    <definedName name="VRO" localSheetId="0">'FSL series design guideline'!$C$36</definedName>
    <definedName name="VRO">#REF!</definedName>
    <definedName name="Vsn" localSheetId="0">'FSL series design guideline'!$C$118</definedName>
    <definedName name="Vsn">#REF!</definedName>
  </definedNames>
  <calcPr fullCalcOnLoad="1"/>
</workbook>
</file>

<file path=xl/comments1.xml><?xml version="1.0" encoding="utf-8"?>
<comments xmlns="http://schemas.openxmlformats.org/spreadsheetml/2006/main">
  <authors>
    <author>hangseok</author>
    <author>EuisooKim</author>
  </authors>
  <commentList>
    <comment ref="C27" authorId="0">
      <text>
        <r>
          <rPr>
            <b/>
            <sz val="9"/>
            <rFont val="굴림"/>
            <family val="3"/>
          </rPr>
          <t xml:space="preserve">2-3uF per 1 watt </t>
        </r>
      </text>
    </comment>
    <comment ref="C38" authorId="0">
      <text>
        <r>
          <rPr>
            <b/>
            <sz val="9"/>
            <rFont val="굴림"/>
            <family val="3"/>
          </rPr>
          <t>For CCM operation, it is recommended to set Dmax &lt; 0.5 to avoid subharmonic oscillation</t>
        </r>
      </text>
    </comment>
    <comment ref="C39" authorId="0">
      <text>
        <r>
          <rPr>
            <b/>
            <sz val="9"/>
            <rFont val="굴림"/>
            <family val="3"/>
          </rPr>
          <t>When ignoring voltage spike</t>
        </r>
      </text>
    </comment>
    <comment ref="C28" authorId="1">
      <text>
        <r>
          <rPr>
            <b/>
            <sz val="8"/>
            <rFont val="Tahoma"/>
            <family val="2"/>
          </rPr>
          <t>Normally 0.2 is recommended.</t>
        </r>
      </text>
    </comment>
    <comment ref="C43" authorId="1">
      <text>
        <r>
          <rPr>
            <b/>
            <sz val="8"/>
            <rFont val="Tahoma"/>
            <family val="2"/>
          </rPr>
          <t>For CCM, KRF &lt; 1
For DCM, KRF = 1</t>
        </r>
      </text>
    </comment>
    <comment ref="C60" authorId="1">
      <text>
        <r>
          <rPr>
            <b/>
            <sz val="8"/>
            <rFont val="Tahoma"/>
            <family val="2"/>
          </rPr>
          <t>It depends on core material, but strongly recommended not to be changed. (Bsat ≤ 0.32)</t>
        </r>
      </text>
    </comment>
  </commentList>
</comments>
</file>

<file path=xl/sharedStrings.xml><?xml version="1.0" encoding="utf-8"?>
<sst xmlns="http://schemas.openxmlformats.org/spreadsheetml/2006/main" count="362" uniqueCount="187">
  <si>
    <t>is the input parameters</t>
  </si>
  <si>
    <t>V</t>
  </si>
  <si>
    <t>Hz</t>
  </si>
  <si>
    <t>W</t>
  </si>
  <si>
    <t>%</t>
  </si>
  <si>
    <t>uH</t>
  </si>
  <si>
    <t>is the output parameters</t>
  </si>
  <si>
    <t>A</t>
  </si>
  <si>
    <t xml:space="preserve">3. Determine Maximum duty ratio (Dmax) </t>
  </si>
  <si>
    <t>T</t>
  </si>
  <si>
    <t>=&gt;</t>
  </si>
  <si>
    <t>mm</t>
  </si>
  <si>
    <t>Diameter</t>
  </si>
  <si>
    <t>Parallel</t>
  </si>
  <si>
    <t>uF</t>
  </si>
  <si>
    <t>6th output capacitor</t>
  </si>
  <si>
    <t>V.rms</t>
  </si>
  <si>
    <t>nF</t>
  </si>
  <si>
    <t>4. Determine transformer primary inductance (Lm)</t>
  </si>
  <si>
    <t>5. Choose the proper FPS considering the input power and current limit</t>
  </si>
  <si>
    <t xml:space="preserve">10. Determine the output capacitor </t>
  </si>
  <si>
    <t>3rd output</t>
  </si>
  <si>
    <t>4th output</t>
  </si>
  <si>
    <t>5th output</t>
  </si>
  <si>
    <t>6th output</t>
  </si>
  <si>
    <t>Red cell</t>
  </si>
  <si>
    <t>1. Define the system specifications</t>
  </si>
  <si>
    <t>2. Determine DC link capacitor and DC link voltage range</t>
  </si>
  <si>
    <t>6. Determine the proper core and the minimum primary turns</t>
  </si>
  <si>
    <t xml:space="preserve">8. Determine the wire diameter for each winding </t>
  </si>
  <si>
    <t>9. Choose the rectifier diode in the secondary side</t>
  </si>
  <si>
    <t>1st output for feedback</t>
  </si>
  <si>
    <t>Maximum snubber capacitor voltage ripple</t>
  </si>
  <si>
    <t>rad/s =&gt;</t>
  </si>
  <si>
    <t>2nd output</t>
  </si>
  <si>
    <t>7. Determine the number of turns for each output</t>
  </si>
  <si>
    <t xml:space="preserve">A </t>
  </si>
  <si>
    <t>Ungapped AL value (AL)</t>
  </si>
  <si>
    <r>
      <t>K</t>
    </r>
    <r>
      <rPr>
        <sz val="11"/>
        <color indexed="12"/>
        <rFont val="Symbol"/>
        <family val="1"/>
      </rPr>
      <t>W</t>
    </r>
  </si>
  <si>
    <r>
      <t>K</t>
    </r>
    <r>
      <rPr>
        <b/>
        <sz val="11"/>
        <color indexed="60"/>
        <rFont val="Symbol"/>
        <family val="1"/>
      </rPr>
      <t>W</t>
    </r>
  </si>
  <si>
    <t>Blue cell</t>
  </si>
  <si>
    <t>kHz</t>
  </si>
  <si>
    <t>&gt;</t>
  </si>
  <si>
    <t>VF : Forward voltage drop of rectifier diode</t>
  </si>
  <si>
    <t>Gap length (G) ; center pole gap =</t>
  </si>
  <si>
    <r>
      <t>Minimum Line voltage (V</t>
    </r>
    <r>
      <rPr>
        <vertAlign val="subscript"/>
        <sz val="11"/>
        <color indexed="12"/>
        <rFont val="Arial"/>
        <family val="2"/>
      </rPr>
      <t>line</t>
    </r>
    <r>
      <rPr>
        <vertAlign val="superscript"/>
        <sz val="11"/>
        <color indexed="12"/>
        <rFont val="Arial"/>
        <family val="2"/>
      </rPr>
      <t>min</t>
    </r>
    <r>
      <rPr>
        <sz val="11"/>
        <color indexed="12"/>
        <rFont val="Arial"/>
        <family val="2"/>
      </rPr>
      <t>)</t>
    </r>
  </si>
  <si>
    <r>
      <t>Maximum Line voltage (V</t>
    </r>
    <r>
      <rPr>
        <vertAlign val="subscript"/>
        <sz val="11"/>
        <color indexed="12"/>
        <rFont val="Arial"/>
        <family val="2"/>
      </rPr>
      <t>line</t>
    </r>
    <r>
      <rPr>
        <vertAlign val="superscript"/>
        <sz val="11"/>
        <color indexed="12"/>
        <rFont val="Arial"/>
        <family val="2"/>
      </rPr>
      <t>max</t>
    </r>
    <r>
      <rPr>
        <sz val="11"/>
        <color indexed="12"/>
        <rFont val="Arial"/>
        <family val="2"/>
      </rPr>
      <t>)</t>
    </r>
  </si>
  <si>
    <r>
      <t>Line frequency (f</t>
    </r>
    <r>
      <rPr>
        <vertAlign val="subscript"/>
        <sz val="11"/>
        <color indexed="12"/>
        <rFont val="Arial"/>
        <family val="2"/>
      </rPr>
      <t>L</t>
    </r>
    <r>
      <rPr>
        <sz val="11"/>
        <color indexed="12"/>
        <rFont val="Arial"/>
        <family val="2"/>
      </rPr>
      <t>)</t>
    </r>
  </si>
  <si>
    <r>
      <t>V</t>
    </r>
    <r>
      <rPr>
        <b/>
        <vertAlign val="subscript"/>
        <sz val="11"/>
        <color indexed="9"/>
        <rFont val="Arial"/>
        <family val="2"/>
      </rPr>
      <t>o(n)</t>
    </r>
  </si>
  <si>
    <r>
      <t>I</t>
    </r>
    <r>
      <rPr>
        <b/>
        <vertAlign val="subscript"/>
        <sz val="11"/>
        <color indexed="9"/>
        <rFont val="Arial"/>
        <family val="2"/>
      </rPr>
      <t>o(n)</t>
    </r>
  </si>
  <si>
    <r>
      <t>P</t>
    </r>
    <r>
      <rPr>
        <b/>
        <vertAlign val="subscript"/>
        <sz val="11"/>
        <color indexed="9"/>
        <rFont val="Arial"/>
        <family val="2"/>
      </rPr>
      <t>o(n)</t>
    </r>
  </si>
  <si>
    <r>
      <t>Estimated efficiency (E</t>
    </r>
    <r>
      <rPr>
        <vertAlign val="subscript"/>
        <sz val="11"/>
        <color indexed="12"/>
        <rFont val="Arial"/>
        <family val="2"/>
      </rPr>
      <t>ff</t>
    </r>
    <r>
      <rPr>
        <sz val="11"/>
        <color indexed="12"/>
        <rFont val="Arial"/>
        <family val="2"/>
      </rPr>
      <t>)</t>
    </r>
  </si>
  <si>
    <r>
      <t>DC link capacitor (C</t>
    </r>
    <r>
      <rPr>
        <vertAlign val="subscript"/>
        <sz val="11"/>
        <color indexed="12"/>
        <rFont val="Arial"/>
        <family val="2"/>
      </rPr>
      <t>DC</t>
    </r>
    <r>
      <rPr>
        <sz val="11"/>
        <color indexed="12"/>
        <rFont val="Arial"/>
        <family val="2"/>
      </rPr>
      <t>)</t>
    </r>
  </si>
  <si>
    <r>
      <t>Minimum DC link voltage (V</t>
    </r>
    <r>
      <rPr>
        <b/>
        <vertAlign val="subscript"/>
        <sz val="11"/>
        <color indexed="60"/>
        <rFont val="Arial"/>
        <family val="2"/>
      </rPr>
      <t>DC</t>
    </r>
    <r>
      <rPr>
        <b/>
        <vertAlign val="superscript"/>
        <sz val="11"/>
        <color indexed="60"/>
        <rFont val="Arial"/>
        <family val="2"/>
      </rPr>
      <t>min</t>
    </r>
    <r>
      <rPr>
        <b/>
        <sz val="11"/>
        <color indexed="60"/>
        <rFont val="Arial"/>
        <family val="2"/>
      </rPr>
      <t>) =</t>
    </r>
  </si>
  <si>
    <r>
      <t>Maximum DC link voltage (V</t>
    </r>
    <r>
      <rPr>
        <b/>
        <vertAlign val="subscript"/>
        <sz val="11"/>
        <color indexed="60"/>
        <rFont val="Arial"/>
        <family val="2"/>
      </rPr>
      <t>DC</t>
    </r>
    <r>
      <rPr>
        <b/>
        <vertAlign val="superscript"/>
        <sz val="11"/>
        <color indexed="60"/>
        <rFont val="Arial"/>
        <family val="2"/>
      </rPr>
      <t>max</t>
    </r>
    <r>
      <rPr>
        <b/>
        <sz val="11"/>
        <color indexed="60"/>
        <rFont val="Arial"/>
        <family val="2"/>
      </rPr>
      <t>)=</t>
    </r>
  </si>
  <si>
    <r>
      <t>Max nominal MOSFET voltage (V</t>
    </r>
    <r>
      <rPr>
        <b/>
        <vertAlign val="subscript"/>
        <sz val="11"/>
        <color indexed="60"/>
        <rFont val="Arial"/>
        <family val="2"/>
      </rPr>
      <t>ds</t>
    </r>
    <r>
      <rPr>
        <b/>
        <vertAlign val="superscript"/>
        <sz val="11"/>
        <color indexed="60"/>
        <rFont val="Arial"/>
        <family val="2"/>
      </rPr>
      <t>nom</t>
    </r>
    <r>
      <rPr>
        <b/>
        <sz val="11"/>
        <color indexed="60"/>
        <rFont val="Arial"/>
        <family val="2"/>
      </rPr>
      <t>) =</t>
    </r>
  </si>
  <si>
    <r>
      <t>Ripple factor (K</t>
    </r>
    <r>
      <rPr>
        <vertAlign val="subscript"/>
        <sz val="11"/>
        <color indexed="12"/>
        <rFont val="Arial"/>
        <family val="2"/>
      </rPr>
      <t>RF</t>
    </r>
    <r>
      <rPr>
        <sz val="11"/>
        <color indexed="12"/>
        <rFont val="Arial"/>
        <family val="2"/>
      </rPr>
      <t>)</t>
    </r>
  </si>
  <si>
    <r>
      <t>Primary side inductance (L</t>
    </r>
    <r>
      <rPr>
        <b/>
        <vertAlign val="subscript"/>
        <sz val="11"/>
        <color indexed="60"/>
        <rFont val="Arial"/>
        <family val="2"/>
      </rPr>
      <t>m</t>
    </r>
    <r>
      <rPr>
        <b/>
        <sz val="11"/>
        <color indexed="60"/>
        <rFont val="Arial"/>
        <family val="2"/>
      </rPr>
      <t>) =</t>
    </r>
  </si>
  <si>
    <r>
      <t>Maximum peak drain current (I</t>
    </r>
    <r>
      <rPr>
        <b/>
        <vertAlign val="subscript"/>
        <sz val="11"/>
        <color indexed="60"/>
        <rFont val="Arial"/>
        <family val="2"/>
      </rPr>
      <t>ds</t>
    </r>
    <r>
      <rPr>
        <b/>
        <vertAlign val="superscript"/>
        <sz val="11"/>
        <color indexed="60"/>
        <rFont val="Arial"/>
        <family val="2"/>
      </rPr>
      <t>peak</t>
    </r>
    <r>
      <rPr>
        <b/>
        <sz val="11"/>
        <color indexed="60"/>
        <rFont val="Arial"/>
        <family val="2"/>
      </rPr>
      <t>) =</t>
    </r>
  </si>
  <si>
    <r>
      <t>RMS drain current (I</t>
    </r>
    <r>
      <rPr>
        <b/>
        <vertAlign val="subscript"/>
        <sz val="11"/>
        <color indexed="60"/>
        <rFont val="Arial"/>
        <family val="2"/>
      </rPr>
      <t>ds</t>
    </r>
    <r>
      <rPr>
        <b/>
        <vertAlign val="superscript"/>
        <sz val="11"/>
        <color indexed="60"/>
        <rFont val="Arial"/>
        <family val="2"/>
      </rPr>
      <t>rms</t>
    </r>
    <r>
      <rPr>
        <b/>
        <sz val="11"/>
        <color indexed="60"/>
        <rFont val="Arial"/>
        <family val="2"/>
      </rPr>
      <t>) =</t>
    </r>
  </si>
  <si>
    <r>
      <t>Saturation flux density (B</t>
    </r>
    <r>
      <rPr>
        <vertAlign val="subscript"/>
        <sz val="11"/>
        <color indexed="12"/>
        <rFont val="Arial"/>
        <family val="2"/>
      </rPr>
      <t>sat</t>
    </r>
    <r>
      <rPr>
        <sz val="11"/>
        <color indexed="12"/>
        <rFont val="Arial"/>
        <family val="2"/>
      </rPr>
      <t>)</t>
    </r>
  </si>
  <si>
    <r>
      <t>Cross sectional area of core (A</t>
    </r>
    <r>
      <rPr>
        <vertAlign val="subscript"/>
        <sz val="11"/>
        <color indexed="12"/>
        <rFont val="Arial"/>
        <family val="2"/>
      </rPr>
      <t>e</t>
    </r>
    <r>
      <rPr>
        <sz val="11"/>
        <color indexed="12"/>
        <rFont val="Arial"/>
        <family val="2"/>
      </rPr>
      <t>)</t>
    </r>
  </si>
  <si>
    <r>
      <t>mm</t>
    </r>
    <r>
      <rPr>
        <vertAlign val="superscript"/>
        <sz val="11"/>
        <color indexed="12"/>
        <rFont val="Arial"/>
        <family val="2"/>
      </rPr>
      <t>2</t>
    </r>
  </si>
  <si>
    <r>
      <t>V</t>
    </r>
    <r>
      <rPr>
        <b/>
        <vertAlign val="subscript"/>
        <sz val="11"/>
        <color indexed="9"/>
        <rFont val="Arial"/>
        <family val="2"/>
      </rPr>
      <t>F(n)</t>
    </r>
  </si>
  <si>
    <r>
      <t>Primary turns (N</t>
    </r>
    <r>
      <rPr>
        <b/>
        <u val="single"/>
        <vertAlign val="subscript"/>
        <sz val="11"/>
        <color indexed="60"/>
        <rFont val="Arial"/>
        <family val="2"/>
      </rPr>
      <t>p</t>
    </r>
    <r>
      <rPr>
        <b/>
        <u val="single"/>
        <sz val="11"/>
        <color indexed="60"/>
        <rFont val="Arial"/>
        <family val="2"/>
      </rPr>
      <t>)=</t>
    </r>
  </si>
  <si>
    <r>
      <t>nH/T</t>
    </r>
    <r>
      <rPr>
        <vertAlign val="superscript"/>
        <sz val="11"/>
        <rFont val="Arial"/>
        <family val="2"/>
      </rPr>
      <t>2</t>
    </r>
  </si>
  <si>
    <r>
      <t>I</t>
    </r>
    <r>
      <rPr>
        <b/>
        <vertAlign val="subscript"/>
        <sz val="11"/>
        <color indexed="9"/>
        <rFont val="Arial"/>
        <family val="2"/>
      </rPr>
      <t>D(n)</t>
    </r>
    <r>
      <rPr>
        <b/>
        <vertAlign val="superscript"/>
        <sz val="11"/>
        <color indexed="9"/>
        <rFont val="Arial"/>
        <family val="2"/>
      </rPr>
      <t>rms</t>
    </r>
    <r>
      <rPr>
        <b/>
        <sz val="11"/>
        <color indexed="9"/>
        <rFont val="Arial"/>
        <family val="2"/>
      </rPr>
      <t xml:space="preserve"> </t>
    </r>
  </si>
  <si>
    <r>
      <t>(A/mm</t>
    </r>
    <r>
      <rPr>
        <b/>
        <vertAlign val="superscript"/>
        <sz val="11"/>
        <color indexed="12"/>
        <rFont val="Arial"/>
        <family val="2"/>
      </rPr>
      <t>2</t>
    </r>
    <r>
      <rPr>
        <b/>
        <sz val="11"/>
        <color indexed="12"/>
        <rFont val="Arial"/>
        <family val="2"/>
      </rPr>
      <t>)</t>
    </r>
  </si>
  <si>
    <r>
      <t>mm</t>
    </r>
    <r>
      <rPr>
        <b/>
        <vertAlign val="superscript"/>
        <sz val="11"/>
        <color indexed="60"/>
        <rFont val="Arial"/>
        <family val="2"/>
      </rPr>
      <t>2</t>
    </r>
  </si>
  <si>
    <r>
      <t>Fill factor (K</t>
    </r>
    <r>
      <rPr>
        <vertAlign val="subscript"/>
        <sz val="11"/>
        <color indexed="12"/>
        <rFont val="Arial"/>
        <family val="2"/>
      </rPr>
      <t>F</t>
    </r>
    <r>
      <rPr>
        <sz val="11"/>
        <color indexed="12"/>
        <rFont val="Arial"/>
        <family val="2"/>
      </rPr>
      <t>)</t>
    </r>
  </si>
  <si>
    <r>
      <t>Required window area (A</t>
    </r>
    <r>
      <rPr>
        <b/>
        <u val="single"/>
        <vertAlign val="subscript"/>
        <sz val="11"/>
        <color indexed="60"/>
        <rFont val="Arial"/>
        <family val="2"/>
      </rPr>
      <t>wr</t>
    </r>
    <r>
      <rPr>
        <b/>
        <u val="single"/>
        <sz val="11"/>
        <color indexed="60"/>
        <rFont val="Arial"/>
        <family val="2"/>
      </rPr>
      <t>)</t>
    </r>
  </si>
  <si>
    <r>
      <t>V</t>
    </r>
    <r>
      <rPr>
        <b/>
        <vertAlign val="subscript"/>
        <sz val="11"/>
        <color indexed="9"/>
        <rFont val="Arial"/>
        <family val="2"/>
      </rPr>
      <t>D(n)</t>
    </r>
  </si>
  <si>
    <r>
      <t>I</t>
    </r>
    <r>
      <rPr>
        <b/>
        <vertAlign val="subscript"/>
        <sz val="11"/>
        <color indexed="8"/>
        <rFont val="Arial"/>
        <family val="2"/>
      </rPr>
      <t>D(n)</t>
    </r>
    <r>
      <rPr>
        <b/>
        <vertAlign val="superscript"/>
        <sz val="11"/>
        <color indexed="8"/>
        <rFont val="Arial"/>
        <family val="2"/>
      </rPr>
      <t>rms</t>
    </r>
  </si>
  <si>
    <r>
      <t>C</t>
    </r>
    <r>
      <rPr>
        <b/>
        <vertAlign val="subscript"/>
        <sz val="11"/>
        <color indexed="9"/>
        <rFont val="Arial"/>
        <family val="2"/>
      </rPr>
      <t>o(n)</t>
    </r>
  </si>
  <si>
    <r>
      <t>R</t>
    </r>
    <r>
      <rPr>
        <b/>
        <vertAlign val="subscript"/>
        <sz val="11"/>
        <color indexed="8"/>
        <rFont val="Arial"/>
        <family val="2"/>
      </rPr>
      <t>C(n)</t>
    </r>
  </si>
  <si>
    <r>
      <t>I</t>
    </r>
    <r>
      <rPr>
        <b/>
        <vertAlign val="subscript"/>
        <sz val="11"/>
        <color indexed="9"/>
        <rFont val="Arial"/>
        <family val="2"/>
      </rPr>
      <t>cap(n)</t>
    </r>
  </si>
  <si>
    <r>
      <t>ΔV</t>
    </r>
    <r>
      <rPr>
        <b/>
        <vertAlign val="subscript"/>
        <sz val="11"/>
        <color indexed="8"/>
        <rFont val="Arial"/>
        <family val="2"/>
      </rPr>
      <t>o(n)</t>
    </r>
  </si>
  <si>
    <t>1st output capacitor</t>
  </si>
  <si>
    <t>2nd output capacitor</t>
  </si>
  <si>
    <t>3rd output capacitor</t>
  </si>
  <si>
    <t>4th output capacitor</t>
  </si>
  <si>
    <t>5th output capacitor</t>
  </si>
  <si>
    <r>
      <t>Primary side leakage inductance (L</t>
    </r>
    <r>
      <rPr>
        <vertAlign val="subscript"/>
        <sz val="11"/>
        <color indexed="12"/>
        <rFont val="Arial"/>
        <family val="2"/>
      </rPr>
      <t>lk</t>
    </r>
    <r>
      <rPr>
        <sz val="11"/>
        <color indexed="12"/>
        <rFont val="Arial"/>
        <family val="2"/>
      </rPr>
      <t>)</t>
    </r>
  </si>
  <si>
    <r>
      <t>Maximum Voltage of snubber capacitor (V</t>
    </r>
    <r>
      <rPr>
        <vertAlign val="subscript"/>
        <sz val="11"/>
        <color indexed="12"/>
        <rFont val="Arial"/>
        <family val="2"/>
      </rPr>
      <t>sn</t>
    </r>
    <r>
      <rPr>
        <sz val="11"/>
        <color indexed="12"/>
        <rFont val="Arial"/>
        <family val="2"/>
      </rPr>
      <t>)</t>
    </r>
  </si>
  <si>
    <t>Control-to-output DC gain =</t>
  </si>
  <si>
    <r>
      <t>Control-to-output zero (w</t>
    </r>
    <r>
      <rPr>
        <b/>
        <vertAlign val="subscript"/>
        <sz val="11"/>
        <color indexed="60"/>
        <rFont val="Arial"/>
        <family val="2"/>
      </rPr>
      <t>z</t>
    </r>
    <r>
      <rPr>
        <b/>
        <sz val="11"/>
        <color indexed="60"/>
        <rFont val="Arial"/>
        <family val="2"/>
      </rPr>
      <t>) =</t>
    </r>
  </si>
  <si>
    <r>
      <t>f</t>
    </r>
    <r>
      <rPr>
        <b/>
        <vertAlign val="subscript"/>
        <sz val="11"/>
        <color indexed="60"/>
        <rFont val="Arial"/>
        <family val="2"/>
      </rPr>
      <t>z</t>
    </r>
    <r>
      <rPr>
        <b/>
        <sz val="11"/>
        <color indexed="60"/>
        <rFont val="Arial"/>
        <family val="2"/>
      </rPr>
      <t>=</t>
    </r>
  </si>
  <si>
    <r>
      <t>Control-to-output RHP zero (w</t>
    </r>
    <r>
      <rPr>
        <b/>
        <vertAlign val="subscript"/>
        <sz val="11"/>
        <color indexed="60"/>
        <rFont val="Arial"/>
        <family val="2"/>
      </rPr>
      <t>rz</t>
    </r>
    <r>
      <rPr>
        <b/>
        <sz val="11"/>
        <color indexed="60"/>
        <rFont val="Arial"/>
        <family val="2"/>
      </rPr>
      <t>)=</t>
    </r>
  </si>
  <si>
    <r>
      <t>f</t>
    </r>
    <r>
      <rPr>
        <b/>
        <vertAlign val="subscript"/>
        <sz val="11"/>
        <color indexed="60"/>
        <rFont val="Arial"/>
        <family val="2"/>
      </rPr>
      <t>rz</t>
    </r>
    <r>
      <rPr>
        <b/>
        <sz val="11"/>
        <color indexed="60"/>
        <rFont val="Arial"/>
        <family val="2"/>
      </rPr>
      <t>=</t>
    </r>
  </si>
  <si>
    <r>
      <t>Control-to-output pole (w</t>
    </r>
    <r>
      <rPr>
        <b/>
        <vertAlign val="subscript"/>
        <sz val="11"/>
        <color indexed="60"/>
        <rFont val="Arial"/>
        <family val="2"/>
      </rPr>
      <t>p</t>
    </r>
    <r>
      <rPr>
        <b/>
        <sz val="11"/>
        <color indexed="60"/>
        <rFont val="Arial"/>
        <family val="2"/>
      </rPr>
      <t>)=</t>
    </r>
  </si>
  <si>
    <r>
      <t>f</t>
    </r>
    <r>
      <rPr>
        <b/>
        <vertAlign val="subscript"/>
        <sz val="11"/>
        <color indexed="60"/>
        <rFont val="Arial"/>
        <family val="2"/>
      </rPr>
      <t>p</t>
    </r>
    <r>
      <rPr>
        <b/>
        <sz val="11"/>
        <color indexed="60"/>
        <rFont val="Arial"/>
        <family val="2"/>
      </rPr>
      <t>=</t>
    </r>
  </si>
  <si>
    <r>
      <t>Voltage divider resistor (R</t>
    </r>
    <r>
      <rPr>
        <vertAlign val="subscript"/>
        <sz val="11"/>
        <color indexed="12"/>
        <rFont val="Arial"/>
        <family val="2"/>
      </rPr>
      <t>1</t>
    </r>
    <r>
      <rPr>
        <sz val="11"/>
        <color indexed="12"/>
        <rFont val="Arial"/>
        <family val="2"/>
      </rPr>
      <t>)</t>
    </r>
  </si>
  <si>
    <r>
      <t>Voltage divider resistor (R</t>
    </r>
    <r>
      <rPr>
        <b/>
        <vertAlign val="subscript"/>
        <sz val="11"/>
        <color indexed="60"/>
        <rFont val="Arial"/>
        <family val="2"/>
      </rPr>
      <t>2</t>
    </r>
    <r>
      <rPr>
        <b/>
        <sz val="11"/>
        <color indexed="60"/>
        <rFont val="Arial"/>
        <family val="2"/>
      </rPr>
      <t>)=</t>
    </r>
  </si>
  <si>
    <r>
      <t>Opto coupler diode resistor (R</t>
    </r>
    <r>
      <rPr>
        <vertAlign val="subscript"/>
        <sz val="11"/>
        <color indexed="12"/>
        <rFont val="Arial"/>
        <family val="2"/>
      </rPr>
      <t>D</t>
    </r>
    <r>
      <rPr>
        <sz val="11"/>
        <color indexed="12"/>
        <rFont val="Arial"/>
        <family val="2"/>
      </rPr>
      <t>)</t>
    </r>
  </si>
  <si>
    <r>
      <t>KA431 Bias resistor (R</t>
    </r>
    <r>
      <rPr>
        <vertAlign val="subscript"/>
        <sz val="11"/>
        <color indexed="12"/>
        <rFont val="Arial"/>
        <family val="2"/>
      </rPr>
      <t>bias</t>
    </r>
    <r>
      <rPr>
        <sz val="11"/>
        <color indexed="12"/>
        <rFont val="Arial"/>
        <family val="2"/>
      </rPr>
      <t>)</t>
    </r>
  </si>
  <si>
    <r>
      <t>Feeback pin capacitor (C</t>
    </r>
    <r>
      <rPr>
        <vertAlign val="subscript"/>
        <sz val="11"/>
        <color indexed="12"/>
        <rFont val="Arial"/>
        <family val="2"/>
      </rPr>
      <t>B</t>
    </r>
    <r>
      <rPr>
        <sz val="11"/>
        <color indexed="12"/>
        <rFont val="Arial"/>
        <family val="2"/>
      </rPr>
      <t>) =</t>
    </r>
  </si>
  <si>
    <r>
      <t>Feedback Capacitor (C</t>
    </r>
    <r>
      <rPr>
        <vertAlign val="subscript"/>
        <sz val="11"/>
        <color indexed="12"/>
        <rFont val="Arial"/>
        <family val="2"/>
      </rPr>
      <t>F</t>
    </r>
    <r>
      <rPr>
        <sz val="11"/>
        <color indexed="12"/>
        <rFont val="Arial"/>
        <family val="2"/>
      </rPr>
      <t>) =</t>
    </r>
  </si>
  <si>
    <r>
      <t>Feedback resistor (R</t>
    </r>
    <r>
      <rPr>
        <vertAlign val="subscript"/>
        <sz val="11"/>
        <color indexed="12"/>
        <rFont val="Arial"/>
        <family val="2"/>
      </rPr>
      <t>F</t>
    </r>
    <r>
      <rPr>
        <sz val="11"/>
        <color indexed="12"/>
        <rFont val="Arial"/>
        <family val="2"/>
      </rPr>
      <t>) =</t>
    </r>
  </si>
  <si>
    <r>
      <t>Feedback integrator gain (w</t>
    </r>
    <r>
      <rPr>
        <b/>
        <vertAlign val="subscript"/>
        <sz val="11"/>
        <color indexed="60"/>
        <rFont val="Arial"/>
        <family val="2"/>
      </rPr>
      <t>i</t>
    </r>
    <r>
      <rPr>
        <b/>
        <sz val="11"/>
        <color indexed="60"/>
        <rFont val="Arial"/>
        <family val="2"/>
      </rPr>
      <t>) =</t>
    </r>
  </si>
  <si>
    <r>
      <t>f</t>
    </r>
    <r>
      <rPr>
        <b/>
        <vertAlign val="subscript"/>
        <sz val="11"/>
        <color indexed="60"/>
        <rFont val="Arial"/>
        <family val="2"/>
      </rPr>
      <t>i</t>
    </r>
    <r>
      <rPr>
        <b/>
        <sz val="11"/>
        <color indexed="60"/>
        <rFont val="Arial"/>
        <family val="2"/>
      </rPr>
      <t>=</t>
    </r>
  </si>
  <si>
    <r>
      <t>Compensator zero (w</t>
    </r>
    <r>
      <rPr>
        <b/>
        <vertAlign val="subscript"/>
        <sz val="11"/>
        <color indexed="60"/>
        <rFont val="Arial"/>
        <family val="2"/>
      </rPr>
      <t>zc</t>
    </r>
    <r>
      <rPr>
        <b/>
        <sz val="11"/>
        <color indexed="60"/>
        <rFont val="Arial"/>
        <family val="2"/>
      </rPr>
      <t>)=</t>
    </r>
  </si>
  <si>
    <r>
      <t>f</t>
    </r>
    <r>
      <rPr>
        <b/>
        <vertAlign val="subscript"/>
        <sz val="11"/>
        <color indexed="60"/>
        <rFont val="Arial"/>
        <family val="2"/>
      </rPr>
      <t>zc</t>
    </r>
    <r>
      <rPr>
        <b/>
        <sz val="11"/>
        <color indexed="60"/>
        <rFont val="Arial"/>
        <family val="2"/>
      </rPr>
      <t>=</t>
    </r>
  </si>
  <si>
    <r>
      <t>Compensator pole (w</t>
    </r>
    <r>
      <rPr>
        <b/>
        <vertAlign val="subscript"/>
        <sz val="11"/>
        <color indexed="60"/>
        <rFont val="Arial"/>
        <family val="2"/>
      </rPr>
      <t>pc</t>
    </r>
    <r>
      <rPr>
        <b/>
        <sz val="11"/>
        <color indexed="60"/>
        <rFont val="Arial"/>
        <family val="2"/>
      </rPr>
      <t>)=</t>
    </r>
  </si>
  <si>
    <r>
      <t>f</t>
    </r>
    <r>
      <rPr>
        <b/>
        <vertAlign val="subscript"/>
        <sz val="11"/>
        <color indexed="60"/>
        <rFont val="Arial"/>
        <family val="2"/>
      </rPr>
      <t>pc</t>
    </r>
    <r>
      <rPr>
        <b/>
        <sz val="11"/>
        <color indexed="60"/>
        <rFont val="Arial"/>
        <family val="2"/>
      </rPr>
      <t>=</t>
    </r>
  </si>
  <si>
    <r>
      <t>m</t>
    </r>
    <r>
      <rPr>
        <sz val="11"/>
        <color indexed="12"/>
        <rFont val="Symbol"/>
        <family val="1"/>
      </rPr>
      <t>W</t>
    </r>
  </si>
  <si>
    <r>
      <t>Full load output power (P</t>
    </r>
    <r>
      <rPr>
        <b/>
        <vertAlign val="subscript"/>
        <sz val="11"/>
        <color indexed="60"/>
        <rFont val="Arial"/>
        <family val="2"/>
      </rPr>
      <t>o</t>
    </r>
    <r>
      <rPr>
        <b/>
        <sz val="11"/>
        <color indexed="60"/>
        <rFont val="Arial"/>
        <family val="2"/>
      </rPr>
      <t>) =</t>
    </r>
  </si>
  <si>
    <r>
      <t>Full load input power (P</t>
    </r>
    <r>
      <rPr>
        <b/>
        <vertAlign val="subscript"/>
        <sz val="11"/>
        <color indexed="60"/>
        <rFont val="Arial"/>
        <family val="2"/>
      </rPr>
      <t>in</t>
    </r>
    <r>
      <rPr>
        <b/>
        <sz val="11"/>
        <color indexed="60"/>
        <rFont val="Arial"/>
        <family val="2"/>
      </rPr>
      <t>) =</t>
    </r>
  </si>
  <si>
    <r>
      <t>Peak load output power (P</t>
    </r>
    <r>
      <rPr>
        <b/>
        <vertAlign val="subscript"/>
        <sz val="11"/>
        <color indexed="60"/>
        <rFont val="Arial"/>
        <family val="2"/>
      </rPr>
      <t>o</t>
    </r>
    <r>
      <rPr>
        <b/>
        <sz val="11"/>
        <color indexed="60"/>
        <rFont val="Arial"/>
        <family val="2"/>
      </rPr>
      <t>) =</t>
    </r>
  </si>
  <si>
    <r>
      <t>Peak input power (P</t>
    </r>
    <r>
      <rPr>
        <b/>
        <vertAlign val="subscript"/>
        <sz val="11"/>
        <color indexed="60"/>
        <rFont val="Arial"/>
        <family val="2"/>
      </rPr>
      <t>in</t>
    </r>
    <r>
      <rPr>
        <b/>
        <sz val="11"/>
        <color indexed="60"/>
        <rFont val="Arial"/>
        <family val="2"/>
      </rPr>
      <t>) =</t>
    </r>
  </si>
  <si>
    <r>
      <t>Minimum DC link voltage at peak loading (V</t>
    </r>
    <r>
      <rPr>
        <b/>
        <vertAlign val="subscript"/>
        <sz val="11"/>
        <color indexed="60"/>
        <rFont val="Arial"/>
        <family val="2"/>
      </rPr>
      <t>DC</t>
    </r>
    <r>
      <rPr>
        <b/>
        <vertAlign val="superscript"/>
        <sz val="11"/>
        <color indexed="60"/>
        <rFont val="Arial"/>
        <family val="2"/>
      </rPr>
      <t>min</t>
    </r>
    <r>
      <rPr>
        <b/>
        <sz val="11"/>
        <color indexed="60"/>
        <rFont val="Arial"/>
        <family val="2"/>
      </rPr>
      <t>) =</t>
    </r>
  </si>
  <si>
    <r>
      <t>Maximum DC link voltage at peak loading (V</t>
    </r>
    <r>
      <rPr>
        <b/>
        <vertAlign val="subscript"/>
        <sz val="11"/>
        <color indexed="60"/>
        <rFont val="Arial"/>
        <family val="2"/>
      </rPr>
      <t>DC</t>
    </r>
    <r>
      <rPr>
        <b/>
        <vertAlign val="superscript"/>
        <sz val="11"/>
        <color indexed="60"/>
        <rFont val="Arial"/>
        <family val="2"/>
      </rPr>
      <t>max</t>
    </r>
    <r>
      <rPr>
        <b/>
        <sz val="11"/>
        <color indexed="60"/>
        <rFont val="Arial"/>
        <family val="2"/>
      </rPr>
      <t>)=</t>
    </r>
  </si>
  <si>
    <r>
      <t>Bulk capacitor charging duty ratio (D</t>
    </r>
    <r>
      <rPr>
        <vertAlign val="subscript"/>
        <sz val="11"/>
        <color indexed="12"/>
        <rFont val="Arial"/>
        <family val="2"/>
      </rPr>
      <t>CH</t>
    </r>
    <r>
      <rPr>
        <sz val="11"/>
        <color indexed="12"/>
        <rFont val="Arial"/>
        <family val="2"/>
      </rPr>
      <t>)</t>
    </r>
  </si>
  <si>
    <r>
      <t>Maximum duty ratio at peak loading (D</t>
    </r>
    <r>
      <rPr>
        <b/>
        <vertAlign val="subscript"/>
        <sz val="11"/>
        <color indexed="60"/>
        <rFont val="Arial"/>
        <family val="2"/>
      </rPr>
      <t>max.peak</t>
    </r>
    <r>
      <rPr>
        <b/>
        <sz val="11"/>
        <color indexed="60"/>
        <rFont val="Arial"/>
        <family val="2"/>
      </rPr>
      <t>) =</t>
    </r>
  </si>
  <si>
    <r>
      <t>Maximum peak drain current at peak loading (I</t>
    </r>
    <r>
      <rPr>
        <b/>
        <vertAlign val="subscript"/>
        <sz val="11"/>
        <color indexed="60"/>
        <rFont val="Arial"/>
        <family val="2"/>
      </rPr>
      <t>ds.peak</t>
    </r>
    <r>
      <rPr>
        <b/>
        <vertAlign val="superscript"/>
        <sz val="11"/>
        <color indexed="60"/>
        <rFont val="Arial"/>
        <family val="2"/>
      </rPr>
      <t>peak</t>
    </r>
    <r>
      <rPr>
        <b/>
        <sz val="11"/>
        <color indexed="60"/>
        <rFont val="Arial"/>
        <family val="2"/>
      </rPr>
      <t>) =</t>
    </r>
  </si>
  <si>
    <t>A</t>
  </si>
  <si>
    <r>
      <t>I</t>
    </r>
    <r>
      <rPr>
        <b/>
        <vertAlign val="subscript"/>
        <sz val="11"/>
        <color indexed="9"/>
        <rFont val="Arial"/>
        <family val="2"/>
      </rPr>
      <t>o.peak(n)</t>
    </r>
  </si>
  <si>
    <r>
      <t>P</t>
    </r>
    <r>
      <rPr>
        <b/>
        <vertAlign val="subscript"/>
        <sz val="11"/>
        <color indexed="9"/>
        <rFont val="Arial"/>
        <family val="2"/>
      </rPr>
      <t>o.peak(n)</t>
    </r>
  </si>
  <si>
    <r>
      <t>K</t>
    </r>
    <r>
      <rPr>
        <b/>
        <vertAlign val="subscript"/>
        <sz val="11"/>
        <color indexed="9"/>
        <rFont val="Arial"/>
        <family val="2"/>
      </rPr>
      <t>L(n)</t>
    </r>
  </si>
  <si>
    <t># of turns</t>
  </si>
  <si>
    <r>
      <t>Maximum duty ratio at full loading (D</t>
    </r>
    <r>
      <rPr>
        <vertAlign val="subscript"/>
        <sz val="11"/>
        <color indexed="12"/>
        <rFont val="Arial"/>
        <family val="2"/>
      </rPr>
      <t>max</t>
    </r>
    <r>
      <rPr>
        <sz val="11"/>
        <color indexed="12"/>
        <rFont val="Arial"/>
        <family val="2"/>
      </rPr>
      <t>)</t>
    </r>
  </si>
  <si>
    <t>Maximum duty ratio for CCM at full loading =</t>
  </si>
  <si>
    <t>V</t>
  </si>
  <si>
    <t>%</t>
  </si>
  <si>
    <t>Maximum DC link voltage at peak power in CCM =</t>
  </si>
  <si>
    <r>
      <t>Maximum DC link voltage in CCM (V</t>
    </r>
    <r>
      <rPr>
        <b/>
        <vertAlign val="subscript"/>
        <sz val="11"/>
        <color indexed="60"/>
        <rFont val="Arial"/>
        <family val="2"/>
      </rPr>
      <t>DC</t>
    </r>
    <r>
      <rPr>
        <b/>
        <vertAlign val="superscript"/>
        <sz val="11"/>
        <color indexed="60"/>
        <rFont val="Arial"/>
        <family val="2"/>
      </rPr>
      <t>CCM</t>
    </r>
    <r>
      <rPr>
        <b/>
        <sz val="11"/>
        <color indexed="60"/>
        <rFont val="Arial"/>
        <family val="2"/>
      </rPr>
      <t>) =</t>
    </r>
  </si>
  <si>
    <t>If there is no peak power condition,</t>
  </si>
  <si>
    <t>these conditions should be same with full load.</t>
  </si>
  <si>
    <t>11. Design RCD snubber (at peak load)</t>
  </si>
  <si>
    <t>Operation mode =</t>
  </si>
  <si>
    <r>
      <t>Output voltage reflected to primary (V</t>
    </r>
    <r>
      <rPr>
        <vertAlign val="subscript"/>
        <sz val="11"/>
        <color indexed="12"/>
        <rFont val="Arial"/>
        <family val="2"/>
      </rPr>
      <t>RO</t>
    </r>
    <r>
      <rPr>
        <sz val="11"/>
        <color indexed="12"/>
        <rFont val="Arial"/>
        <family val="2"/>
      </rPr>
      <t xml:space="preserve">) </t>
    </r>
  </si>
  <si>
    <r>
      <t>Distribution of L</t>
    </r>
    <r>
      <rPr>
        <vertAlign val="subscript"/>
        <sz val="11"/>
        <color indexed="12"/>
        <rFont val="Arial"/>
        <family val="2"/>
      </rPr>
      <t>m</t>
    </r>
    <r>
      <rPr>
        <sz val="11"/>
        <color indexed="12"/>
        <rFont val="Arial"/>
        <family val="2"/>
      </rPr>
      <t xml:space="preserve"> </t>
    </r>
  </si>
  <si>
    <r>
      <t>Minimum I</t>
    </r>
    <r>
      <rPr>
        <b/>
        <vertAlign val="subscript"/>
        <sz val="11"/>
        <color indexed="60"/>
        <rFont val="Arial"/>
        <family val="2"/>
      </rPr>
      <t>over.adj</t>
    </r>
    <r>
      <rPr>
        <b/>
        <sz val="11"/>
        <color indexed="60"/>
        <rFont val="Arial"/>
        <family val="2"/>
      </rPr>
      <t xml:space="preserve"> considering tolerance of 12%</t>
    </r>
  </si>
  <si>
    <r>
      <t>Minimum primary turns (N</t>
    </r>
    <r>
      <rPr>
        <b/>
        <vertAlign val="subscript"/>
        <sz val="11"/>
        <color indexed="60"/>
        <rFont val="Arial"/>
        <family val="2"/>
      </rPr>
      <t>p</t>
    </r>
    <r>
      <rPr>
        <b/>
        <vertAlign val="superscript"/>
        <sz val="11"/>
        <color indexed="60"/>
        <rFont val="Arial"/>
        <family val="2"/>
      </rPr>
      <t>min</t>
    </r>
    <r>
      <rPr>
        <b/>
        <sz val="11"/>
        <color indexed="60"/>
        <rFont val="Arial"/>
        <family val="2"/>
      </rPr>
      <t>)=</t>
    </r>
  </si>
  <si>
    <t>Vcc (Use Vcc start voltage)</t>
  </si>
  <si>
    <t>1st output for feedback</t>
  </si>
  <si>
    <t>2nd output</t>
  </si>
  <si>
    <t>3rd output</t>
  </si>
  <si>
    <t>4th output</t>
  </si>
  <si>
    <t>5th output</t>
  </si>
  <si>
    <t>6th output</t>
  </si>
  <si>
    <t>Primary winding</t>
  </si>
  <si>
    <t>Vcc winding</t>
  </si>
  <si>
    <t>1st output winding</t>
  </si>
  <si>
    <t>2nd output winding</t>
  </si>
  <si>
    <t>3rd output winding</t>
  </si>
  <si>
    <t>4th output winding</t>
  </si>
  <si>
    <t>5th output winding</t>
  </si>
  <si>
    <t>6th output winding</t>
  </si>
  <si>
    <r>
      <t>Copper area (A</t>
    </r>
    <r>
      <rPr>
        <b/>
        <vertAlign val="subscript"/>
        <sz val="11"/>
        <color indexed="60"/>
        <rFont val="Arial"/>
        <family val="2"/>
      </rPr>
      <t>c</t>
    </r>
    <r>
      <rPr>
        <b/>
        <sz val="11"/>
        <color indexed="60"/>
        <rFont val="Arial"/>
        <family val="2"/>
      </rPr>
      <t>) =</t>
    </r>
  </si>
  <si>
    <t>Vcc diode</t>
  </si>
  <si>
    <t>1st output diode</t>
  </si>
  <si>
    <t>2nd output diode</t>
  </si>
  <si>
    <t>3rd output diode</t>
  </si>
  <si>
    <t>4th output diode</t>
  </si>
  <si>
    <t>5th output diode</t>
  </si>
  <si>
    <t>6th output diode</t>
  </si>
  <si>
    <r>
      <t>Snubber resistor (R</t>
    </r>
    <r>
      <rPr>
        <b/>
        <vertAlign val="subscript"/>
        <sz val="11"/>
        <color indexed="60"/>
        <rFont val="Arial"/>
        <family val="2"/>
      </rPr>
      <t>sn</t>
    </r>
    <r>
      <rPr>
        <b/>
        <sz val="11"/>
        <color indexed="60"/>
        <rFont val="Arial"/>
        <family val="2"/>
      </rPr>
      <t>)=</t>
    </r>
  </si>
  <si>
    <r>
      <t>Snubber capacitor (C</t>
    </r>
    <r>
      <rPr>
        <b/>
        <vertAlign val="subscript"/>
        <sz val="11"/>
        <color indexed="60"/>
        <rFont val="Arial"/>
        <family val="2"/>
      </rPr>
      <t>sn</t>
    </r>
    <r>
      <rPr>
        <b/>
        <sz val="11"/>
        <color indexed="60"/>
        <rFont val="Arial"/>
        <family val="2"/>
      </rPr>
      <t>)=</t>
    </r>
  </si>
  <si>
    <r>
      <t>Power loss in snubber resistor (P</t>
    </r>
    <r>
      <rPr>
        <b/>
        <vertAlign val="subscript"/>
        <sz val="11"/>
        <color indexed="60"/>
        <rFont val="Arial"/>
        <family val="2"/>
      </rPr>
      <t>sn</t>
    </r>
    <r>
      <rPr>
        <b/>
        <sz val="11"/>
        <color indexed="60"/>
        <rFont val="Arial"/>
        <family val="2"/>
      </rPr>
      <t>)=</t>
    </r>
  </si>
  <si>
    <r>
      <t>Peak drain current at V</t>
    </r>
    <r>
      <rPr>
        <b/>
        <vertAlign val="subscript"/>
        <sz val="11"/>
        <color indexed="60"/>
        <rFont val="Arial"/>
        <family val="2"/>
      </rPr>
      <t>DC</t>
    </r>
    <r>
      <rPr>
        <b/>
        <vertAlign val="superscript"/>
        <sz val="11"/>
        <color indexed="60"/>
        <rFont val="Arial"/>
        <family val="2"/>
      </rPr>
      <t>max</t>
    </r>
    <r>
      <rPr>
        <b/>
        <sz val="11"/>
        <color indexed="60"/>
        <rFont val="Arial"/>
        <family val="2"/>
      </rPr>
      <t xml:space="preserve"> (I</t>
    </r>
    <r>
      <rPr>
        <b/>
        <vertAlign val="subscript"/>
        <sz val="11"/>
        <color indexed="60"/>
        <rFont val="Arial"/>
        <family val="2"/>
      </rPr>
      <t>ds2</t>
    </r>
    <r>
      <rPr>
        <b/>
        <sz val="11"/>
        <color indexed="60"/>
        <rFont val="Arial"/>
        <family val="2"/>
      </rPr>
      <t>) =</t>
    </r>
  </si>
  <si>
    <r>
      <t>Max Voltage of Csn at V</t>
    </r>
    <r>
      <rPr>
        <b/>
        <vertAlign val="subscript"/>
        <sz val="11"/>
        <color indexed="60"/>
        <rFont val="Arial"/>
        <family val="2"/>
      </rPr>
      <t>DC</t>
    </r>
    <r>
      <rPr>
        <b/>
        <vertAlign val="superscript"/>
        <sz val="11"/>
        <color indexed="60"/>
        <rFont val="Arial"/>
        <family val="2"/>
      </rPr>
      <t xml:space="preserve">max </t>
    </r>
    <r>
      <rPr>
        <b/>
        <sz val="11"/>
        <color indexed="60"/>
        <rFont val="Arial"/>
        <family val="2"/>
      </rPr>
      <t>(V</t>
    </r>
    <r>
      <rPr>
        <b/>
        <vertAlign val="subscript"/>
        <sz val="11"/>
        <color indexed="60"/>
        <rFont val="Arial"/>
        <family val="2"/>
      </rPr>
      <t>sn2</t>
    </r>
    <r>
      <rPr>
        <b/>
        <sz val="11"/>
        <color indexed="60"/>
        <rFont val="Arial"/>
        <family val="2"/>
      </rPr>
      <t>)=</t>
    </r>
  </si>
  <si>
    <r>
      <t>Max Voltage stress of MOSFET (V</t>
    </r>
    <r>
      <rPr>
        <b/>
        <vertAlign val="subscript"/>
        <sz val="11"/>
        <color indexed="60"/>
        <rFont val="Arial"/>
        <family val="2"/>
      </rPr>
      <t>ds</t>
    </r>
    <r>
      <rPr>
        <b/>
        <vertAlign val="superscript"/>
        <sz val="11"/>
        <color indexed="60"/>
        <rFont val="Arial"/>
        <family val="2"/>
      </rPr>
      <t>max</t>
    </r>
    <r>
      <rPr>
        <b/>
        <sz val="11"/>
        <color indexed="60"/>
        <rFont val="Arial"/>
        <family val="2"/>
      </rPr>
      <t>)=</t>
    </r>
  </si>
  <si>
    <r>
      <t>Switching frequency of FPS</t>
    </r>
    <r>
      <rPr>
        <b/>
        <sz val="11"/>
        <color indexed="16"/>
        <rFont val="Arial"/>
        <family val="2"/>
      </rPr>
      <t xml:space="preserve"> (f</t>
    </r>
    <r>
      <rPr>
        <vertAlign val="subscript"/>
        <sz val="11"/>
        <color indexed="16"/>
        <rFont val="Arial"/>
        <family val="2"/>
      </rPr>
      <t>s</t>
    </r>
    <r>
      <rPr>
        <sz val="11"/>
        <color indexed="16"/>
        <rFont val="Arial"/>
        <family val="2"/>
      </rPr>
      <t>)</t>
    </r>
  </si>
  <si>
    <t>FSL206MR Design Assistant  ver.1.00</t>
  </si>
  <si>
    <r>
      <t>Typical current limit of FPS (I</t>
    </r>
    <r>
      <rPr>
        <vertAlign val="subscript"/>
        <sz val="11"/>
        <color indexed="16"/>
        <rFont val="Arial"/>
        <family val="2"/>
      </rPr>
      <t>over</t>
    </r>
    <r>
      <rPr>
        <sz val="11"/>
        <color indexed="16"/>
        <rFont val="Arial"/>
        <family val="2"/>
      </rPr>
      <t>)</t>
    </r>
  </si>
  <si>
    <t>Vac</t>
  </si>
  <si>
    <t>Maximum DC voltage at target brown out AC voltage =</t>
  </si>
  <si>
    <t>Target brown out AC voltage</t>
  </si>
  <si>
    <t>Minimum DC voltage at target brown out AC voltage =</t>
  </si>
  <si>
    <t>12. Brown in &amp; out design (at full load)</t>
  </si>
  <si>
    <t>Average voltage at target brown out AC voltage =</t>
  </si>
  <si>
    <t>nF</t>
  </si>
  <si>
    <r>
      <t xml:space="preserve">Recommended LS pin filter capacitor </t>
    </r>
    <r>
      <rPr>
        <b/>
        <sz val="11"/>
        <color indexed="60"/>
        <rFont val="Arial"/>
        <family val="2"/>
      </rPr>
      <t>=</t>
    </r>
  </si>
  <si>
    <r>
      <t>Selected LS pin upper side resistor (R</t>
    </r>
    <r>
      <rPr>
        <vertAlign val="subscript"/>
        <sz val="11"/>
        <color indexed="12"/>
        <rFont val="Arial"/>
        <family val="2"/>
      </rPr>
      <t>LS_high</t>
    </r>
    <r>
      <rPr>
        <sz val="11"/>
        <color indexed="12"/>
        <rFont val="Arial"/>
        <family val="2"/>
      </rPr>
      <t>)</t>
    </r>
  </si>
  <si>
    <t>Brown in AC voltage =</t>
  </si>
  <si>
    <t>13. Design Feedback control loop</t>
  </si>
  <si>
    <t>Maximum power loss on LS sense resistors =</t>
  </si>
  <si>
    <t>mW</t>
  </si>
  <si>
    <r>
      <t>Line sense protection on to off (V</t>
    </r>
    <r>
      <rPr>
        <b/>
        <vertAlign val="subscript"/>
        <sz val="11"/>
        <color indexed="60"/>
        <rFont val="Arial"/>
        <family val="2"/>
      </rPr>
      <t>LS_OFF</t>
    </r>
    <r>
      <rPr>
        <b/>
        <sz val="11"/>
        <color indexed="60"/>
        <rFont val="Arial"/>
        <family val="2"/>
      </rPr>
      <t>)=</t>
    </r>
  </si>
  <si>
    <r>
      <t>Line sense protection off to on (V</t>
    </r>
    <r>
      <rPr>
        <b/>
        <vertAlign val="subscript"/>
        <sz val="11"/>
        <color indexed="60"/>
        <rFont val="Arial"/>
        <family val="2"/>
      </rPr>
      <t>LS_ON</t>
    </r>
    <r>
      <rPr>
        <b/>
        <sz val="11"/>
        <color indexed="60"/>
        <rFont val="Arial"/>
        <family val="2"/>
      </rPr>
      <t>)=</t>
    </r>
  </si>
  <si>
    <t>Time[us]</t>
  </si>
  <si>
    <t>eq1[V]</t>
  </si>
  <si>
    <t>eq2[V]</t>
  </si>
  <si>
    <t>eq1-eq2[V]</t>
  </si>
  <si>
    <t>Bulk capacitor charging duty ratio at brown out voltage</t>
  </si>
  <si>
    <r>
      <t>Recommended LS pin lower side resistor (R</t>
    </r>
    <r>
      <rPr>
        <b/>
        <vertAlign val="subscript"/>
        <sz val="11"/>
        <color indexed="60"/>
        <rFont val="Arial"/>
        <family val="2"/>
      </rPr>
      <t>LS_high</t>
    </r>
    <r>
      <rPr>
        <b/>
        <sz val="11"/>
        <color indexed="60"/>
        <rFont val="Arial"/>
        <family val="2"/>
      </rPr>
      <t xml:space="preserve">) </t>
    </r>
    <r>
      <rPr>
        <b/>
        <sz val="11"/>
        <color indexed="60"/>
        <rFont val="Arial"/>
        <family val="2"/>
      </rPr>
      <t>=</t>
    </r>
  </si>
  <si>
    <t>Calculation of Vin.min.dc at brown out voltage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</si>
</sst>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NT$&quot;#,##0;\-&quot;NT$&quot;#,##0"/>
    <numFmt numFmtId="165" formatCode="&quot;NT$&quot;#,##0;[Red]\-&quot;NT$&quot;#,##0"/>
    <numFmt numFmtId="166" formatCode="&quot;NT$&quot;#,##0.00;\-&quot;NT$&quot;#,##0.00"/>
    <numFmt numFmtId="167" formatCode="&quot;NT$&quot;#,##0.00;[Red]\-&quot;NT$&quot;#,##0.00"/>
    <numFmt numFmtId="168" formatCode="_-&quot;NT$&quot;* #,##0_-;\-&quot;NT$&quot;* #,##0_-;_-&quot;NT$&quot;* &quot;-&quot;_-;_-@_-"/>
    <numFmt numFmtId="169" formatCode="_-* #,##0_-;\-* #,##0_-;_-* &quot;-&quot;_-;_-@_-"/>
    <numFmt numFmtId="170" formatCode="_-&quot;NT$&quot;* #,##0.00_-;\-&quot;NT$&quot;* #,##0.00_-;_-&quot;NT$&quot;* &quot;-&quot;??_-;_-@_-"/>
    <numFmt numFmtId="171" formatCode="_-* #,##0.00_-;\-* #,##0.00_-;_-* &quot;-&quot;??_-;_-@_-"/>
    <numFmt numFmtId="172" formatCode="&quot;₩&quot;#,##0;\-&quot;₩&quot;#,##0"/>
    <numFmt numFmtId="173" formatCode="&quot;₩&quot;#,##0;[Red]\-&quot;₩&quot;#,##0"/>
    <numFmt numFmtId="174" formatCode="&quot;₩&quot;#,##0.00;\-&quot;₩&quot;#,##0.00"/>
    <numFmt numFmtId="175" formatCode="&quot;₩&quot;#,##0.00;[Red]\-&quot;₩&quot;#,##0.00"/>
    <numFmt numFmtId="176" formatCode="_-&quot;₩&quot;* #,##0_-;\-&quot;₩&quot;* #,##0_-;_-&quot;₩&quot;* &quot;-&quot;_-;_-@_-"/>
    <numFmt numFmtId="177" formatCode="_-&quot;₩&quot;* #,##0.00_-;\-&quot;₩&quot;* #,##0.00_-;_-&quot;₩&quot;* &quot;-&quot;??_-;_-@_-"/>
    <numFmt numFmtId="178" formatCode="&quot;US$&quot;#,##0_);\(&quot;US$&quot;#,##0\)"/>
    <numFmt numFmtId="179" formatCode="&quot;US$&quot;#,##0_);[Red]\(&quot;US$&quot;#,##0\)"/>
    <numFmt numFmtId="180" formatCode="&quot;US$&quot;#,##0.00_);\(&quot;US$&quot;#,##0.00\)"/>
    <numFmt numFmtId="181" formatCode="&quot;US$&quot;#,##0.00_);[Red]\(&quot;US$&quot;#,##0.00\)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&quot;$&quot;* #,##0.00_-;\-&quot;$&quot;* #,##0.00_-;_-&quot;$&quot;* &quot;-&quot;??_-;_-@_-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&quot;\&quot;* #,##0.00_-;\-&quot;\&quot;* #,##0.00_-;_-&quot;\&quot;* &quot;-&quot;??_-;_-@_-"/>
    <numFmt numFmtId="194" formatCode="\$#,##0_);\(\$#,##0\)"/>
    <numFmt numFmtId="195" formatCode="\$#,##0_);[Red]\(\$#,##0\)"/>
    <numFmt numFmtId="196" formatCode="\$#,##0.00_);\(\$#,##0.00\)"/>
    <numFmt numFmtId="197" formatCode="\$#,##0.00_);[Red]\(\$#,##0.00\)"/>
    <numFmt numFmtId="198" formatCode="0.0_ "/>
    <numFmt numFmtId="199" formatCode="0_ "/>
    <numFmt numFmtId="200" formatCode="0.00_ "/>
    <numFmt numFmtId="201" formatCode="#,##0_ "/>
    <numFmt numFmtId="202" formatCode="0.0_);[Red]\(0.0\)"/>
    <numFmt numFmtId="203" formatCode="_ * #,##0_ ;_ * \-#,##0_ ;_ * &quot;-&quot;_ ;_ @_ "/>
    <numFmt numFmtId="204" formatCode="_ * #,##0.00_ ;_ * \-#,##0.00_ ;_ * &quot;-&quot;??_ ;_ @_ "/>
    <numFmt numFmtId="205" formatCode="0.0"/>
    <numFmt numFmtId="206" formatCode="000\-0000"/>
    <numFmt numFmtId="207" formatCode="0_);[Red]\(0\)"/>
    <numFmt numFmtId="208" formatCode="[$-412]AM/PM\ h:mm:ss"/>
    <numFmt numFmtId="209" formatCode="0.000_ "/>
    <numFmt numFmtId="210" formatCode="[$-409]dddd\,\ mmmm\ dd\,\ yyyy"/>
    <numFmt numFmtId="211" formatCode="[$-409]h:mm:ss\ AM/PM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</numFmts>
  <fonts count="100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9"/>
      <name val="굴림"/>
      <family val="3"/>
    </font>
    <font>
      <sz val="12"/>
      <name val="바탕체"/>
      <family val="1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Helv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MS Sans Serif"/>
      <family val="2"/>
    </font>
    <font>
      <b/>
      <sz val="11"/>
      <color indexed="12"/>
      <name val="Arial"/>
      <family val="2"/>
    </font>
    <font>
      <sz val="11"/>
      <color indexed="10"/>
      <name val="Arial"/>
      <family val="2"/>
    </font>
    <font>
      <sz val="11"/>
      <color indexed="12"/>
      <name val="Arial"/>
      <family val="2"/>
    </font>
    <font>
      <b/>
      <sz val="11"/>
      <color indexed="60"/>
      <name val="Arial"/>
      <family val="2"/>
    </font>
    <font>
      <sz val="11"/>
      <color indexed="12"/>
      <name val="Symbol"/>
      <family val="1"/>
    </font>
    <font>
      <b/>
      <sz val="11"/>
      <color indexed="60"/>
      <name val="Symbol"/>
      <family val="1"/>
    </font>
    <font>
      <sz val="11"/>
      <color indexed="8"/>
      <name val="Arial"/>
      <family val="2"/>
    </font>
    <font>
      <b/>
      <i/>
      <sz val="14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b/>
      <sz val="11"/>
      <color indexed="9"/>
      <name val="Arial"/>
      <family val="2"/>
    </font>
    <font>
      <vertAlign val="subscript"/>
      <sz val="11"/>
      <color indexed="12"/>
      <name val="Arial"/>
      <family val="2"/>
    </font>
    <font>
      <vertAlign val="superscript"/>
      <sz val="11"/>
      <color indexed="12"/>
      <name val="Arial"/>
      <family val="2"/>
    </font>
    <font>
      <b/>
      <vertAlign val="subscript"/>
      <sz val="11"/>
      <color indexed="9"/>
      <name val="Arial"/>
      <family val="2"/>
    </font>
    <font>
      <b/>
      <u val="single"/>
      <sz val="11"/>
      <color indexed="60"/>
      <name val="Arial"/>
      <family val="2"/>
    </font>
    <font>
      <b/>
      <vertAlign val="subscript"/>
      <sz val="11"/>
      <color indexed="60"/>
      <name val="Arial"/>
      <family val="2"/>
    </font>
    <font>
      <b/>
      <vertAlign val="superscript"/>
      <sz val="11"/>
      <color indexed="60"/>
      <name val="Arial"/>
      <family val="2"/>
    </font>
    <font>
      <b/>
      <sz val="11"/>
      <color indexed="16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u val="single"/>
      <sz val="11"/>
      <color indexed="12"/>
      <name val="Arial"/>
      <family val="2"/>
    </font>
    <font>
      <b/>
      <u val="single"/>
      <sz val="11"/>
      <color indexed="12"/>
      <name val="Arial"/>
      <family val="2"/>
    </font>
    <font>
      <b/>
      <u val="single"/>
      <vertAlign val="subscript"/>
      <sz val="11"/>
      <color indexed="60"/>
      <name val="Arial"/>
      <family val="2"/>
    </font>
    <font>
      <vertAlign val="superscript"/>
      <sz val="11"/>
      <name val="Arial"/>
      <family val="2"/>
    </font>
    <font>
      <b/>
      <vertAlign val="superscript"/>
      <sz val="11"/>
      <color indexed="9"/>
      <name val="Arial"/>
      <family val="2"/>
    </font>
    <font>
      <b/>
      <vertAlign val="superscript"/>
      <sz val="11"/>
      <color indexed="12"/>
      <name val="Arial"/>
      <family val="2"/>
    </font>
    <font>
      <b/>
      <sz val="11"/>
      <color indexed="8"/>
      <name val="Arial"/>
      <family val="2"/>
    </font>
    <font>
      <b/>
      <vertAlign val="subscript"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sz val="11"/>
      <color indexed="9"/>
      <name val="Arial"/>
      <family val="2"/>
    </font>
    <font>
      <b/>
      <u val="single"/>
      <sz val="11"/>
      <color indexed="8"/>
      <name val="Arial"/>
      <family val="2"/>
    </font>
    <font>
      <sz val="9"/>
      <name val="MingLiU"/>
      <family val="3"/>
    </font>
    <font>
      <sz val="9.5"/>
      <color indexed="8"/>
      <name val="돋움"/>
      <family val="0"/>
    </font>
    <font>
      <sz val="10.25"/>
      <color indexed="8"/>
      <name val="돋움"/>
      <family val="0"/>
    </font>
    <font>
      <sz val="9.2"/>
      <color indexed="8"/>
      <name val="돋움"/>
      <family val="0"/>
    </font>
    <font>
      <sz val="8.75"/>
      <color indexed="8"/>
      <name val="돋움"/>
      <family val="0"/>
    </font>
    <font>
      <sz val="9.75"/>
      <color indexed="8"/>
      <name val="돋움"/>
      <family val="0"/>
    </font>
    <font>
      <b/>
      <sz val="8"/>
      <name val="Tahoma"/>
      <family val="2"/>
    </font>
    <font>
      <vertAlign val="subscript"/>
      <sz val="11"/>
      <color indexed="16"/>
      <name val="Arial"/>
      <family val="2"/>
    </font>
    <font>
      <sz val="11"/>
      <color indexed="16"/>
      <name val="Arial"/>
      <family val="2"/>
    </font>
    <font>
      <sz val="11"/>
      <color indexed="8"/>
      <name val="Calibri"/>
      <family val="1"/>
    </font>
    <font>
      <sz val="11"/>
      <color indexed="9"/>
      <name val="Calibri"/>
      <family val="1"/>
    </font>
    <font>
      <sz val="11"/>
      <color indexed="20"/>
      <name val="Calibri"/>
      <family val="1"/>
    </font>
    <font>
      <b/>
      <sz val="11"/>
      <color indexed="52"/>
      <name val="Calibri"/>
      <family val="1"/>
    </font>
    <font>
      <b/>
      <sz val="11"/>
      <color indexed="9"/>
      <name val="Calibri"/>
      <family val="1"/>
    </font>
    <font>
      <i/>
      <sz val="11"/>
      <color indexed="23"/>
      <name val="Calibri"/>
      <family val="1"/>
    </font>
    <font>
      <sz val="11"/>
      <color indexed="17"/>
      <name val="Calibri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sz val="11"/>
      <color indexed="62"/>
      <name val="Calibri"/>
      <family val="1"/>
    </font>
    <font>
      <sz val="11"/>
      <color indexed="52"/>
      <name val="Calibri"/>
      <family val="1"/>
    </font>
    <font>
      <sz val="11"/>
      <color indexed="60"/>
      <name val="Calibri"/>
      <family val="1"/>
    </font>
    <font>
      <b/>
      <sz val="11"/>
      <color indexed="63"/>
      <name val="Calibri"/>
      <family val="1"/>
    </font>
    <font>
      <b/>
      <sz val="18"/>
      <color indexed="56"/>
      <name val="Cambria"/>
      <family val="1"/>
    </font>
    <font>
      <b/>
      <sz val="11"/>
      <color indexed="8"/>
      <name val="Calibri"/>
      <family val="1"/>
    </font>
    <font>
      <sz val="11"/>
      <color indexed="10"/>
      <name val="Calibri"/>
      <family val="1"/>
    </font>
    <font>
      <b/>
      <sz val="11"/>
      <color indexed="36"/>
      <name val="Arial"/>
      <family val="2"/>
    </font>
    <font>
      <b/>
      <sz val="11"/>
      <color indexed="53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1"/>
    </font>
    <font>
      <sz val="11"/>
      <color theme="0"/>
      <name val="Calibri"/>
      <family val="1"/>
    </font>
    <font>
      <sz val="11"/>
      <color rgb="FF9C0006"/>
      <name val="Calibri"/>
      <family val="1"/>
    </font>
    <font>
      <b/>
      <sz val="11"/>
      <color rgb="FFFA7D00"/>
      <name val="Calibri"/>
      <family val="1"/>
    </font>
    <font>
      <b/>
      <sz val="11"/>
      <color theme="0"/>
      <name val="Calibri"/>
      <family val="1"/>
    </font>
    <font>
      <i/>
      <sz val="11"/>
      <color rgb="FF7F7F7F"/>
      <name val="Calibri"/>
      <family val="1"/>
    </font>
    <font>
      <sz val="11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sz val="11"/>
      <color rgb="FFFA7D00"/>
      <name val="Calibri"/>
      <family val="1"/>
    </font>
    <font>
      <sz val="11"/>
      <color rgb="FF9C6500"/>
      <name val="Calibri"/>
      <family val="1"/>
    </font>
    <font>
      <b/>
      <sz val="11"/>
      <color rgb="FF3F3F3F"/>
      <name val="Calibri"/>
      <family val="1"/>
    </font>
    <font>
      <b/>
      <sz val="18"/>
      <color theme="3"/>
      <name val="Cambria"/>
      <family val="1"/>
    </font>
    <font>
      <b/>
      <sz val="11"/>
      <color theme="1"/>
      <name val="Calibri"/>
      <family val="1"/>
    </font>
    <font>
      <sz val="11"/>
      <color rgb="FFFF0000"/>
      <name val="Calibri"/>
      <family val="1"/>
    </font>
    <font>
      <b/>
      <sz val="11"/>
      <color rgb="FFFF0000"/>
      <name val="Arial"/>
      <family val="2"/>
    </font>
    <font>
      <b/>
      <sz val="11"/>
      <color rgb="FF7030A0"/>
      <name val="Arial"/>
      <family val="2"/>
    </font>
    <font>
      <sz val="11"/>
      <color rgb="FF0000FF"/>
      <name val="Arial"/>
      <family val="2"/>
    </font>
    <font>
      <sz val="11"/>
      <color theme="0"/>
      <name val="Arial"/>
      <family val="2"/>
    </font>
    <font>
      <b/>
      <sz val="11"/>
      <color rgb="FF993300"/>
      <name val="Arial"/>
      <family val="2"/>
    </font>
    <font>
      <b/>
      <sz val="11"/>
      <color rgb="FF990000"/>
      <name val="Arial"/>
      <family val="2"/>
    </font>
    <font>
      <b/>
      <sz val="11"/>
      <color theme="9" tint="-0.24997000396251678"/>
      <name val="Arial"/>
      <family val="2"/>
    </font>
    <font>
      <b/>
      <sz val="10"/>
      <color theme="0"/>
      <name val="Arial"/>
      <family val="2"/>
    </font>
    <font>
      <b/>
      <sz val="8"/>
      <name val="돋움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49996998906135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0" applyNumberFormat="0" applyBorder="0" applyAlignment="0" applyProtection="0"/>
    <xf numFmtId="0" fontId="77" fillId="27" borderId="1" applyNumberFormat="0" applyAlignment="0" applyProtection="0"/>
    <xf numFmtId="0" fontId="9" fillId="0" borderId="0">
      <alignment/>
      <protection/>
    </xf>
    <xf numFmtId="0" fontId="7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0" fillId="29" borderId="0" applyNumberFormat="0" applyBorder="0" applyAlignment="0" applyProtection="0"/>
    <xf numFmtId="38" fontId="7" fillId="30" borderId="0" applyNumberFormat="0" applyBorder="0" applyAlignment="0" applyProtection="0"/>
    <xf numFmtId="0" fontId="10" fillId="0" borderId="0">
      <alignment horizontal="left"/>
      <protection/>
    </xf>
    <xf numFmtId="0" fontId="11" fillId="0" borderId="3" applyNumberFormat="0" applyAlignment="0" applyProtection="0"/>
    <xf numFmtId="0" fontId="11" fillId="0" borderId="4">
      <alignment horizontal="left" vertical="center"/>
      <protection/>
    </xf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4" fillId="31" borderId="1" applyNumberFormat="0" applyAlignment="0" applyProtection="0"/>
    <xf numFmtId="10" fontId="7" fillId="30" borderId="8" applyNumberFormat="0" applyBorder="0" applyAlignment="0" applyProtection="0"/>
    <xf numFmtId="0" fontId="85" fillId="0" borderId="9" applyNumberFormat="0" applyFill="0" applyAlignment="0" applyProtection="0"/>
    <xf numFmtId="0" fontId="12" fillId="0" borderId="10">
      <alignment/>
      <protection/>
    </xf>
    <xf numFmtId="0" fontId="86" fillId="32" borderId="0" applyNumberFormat="0" applyBorder="0" applyAlignment="0" applyProtection="0"/>
    <xf numFmtId="206" fontId="0" fillId="0" borderId="0">
      <alignment/>
      <protection/>
    </xf>
    <xf numFmtId="0" fontId="0" fillId="33" borderId="11" applyNumberFormat="0" applyFont="0" applyAlignment="0" applyProtection="0"/>
    <xf numFmtId="0" fontId="87" fillId="27" borderId="12" applyNumberFormat="0" applyAlignment="0" applyProtection="0"/>
    <xf numFmtId="9" fontId="0" fillId="0" borderId="0" applyFont="0" applyFill="0" applyBorder="0" applyAlignment="0" applyProtection="0"/>
    <xf numFmtId="10" fontId="6" fillId="0" borderId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34" borderId="0" applyNumberFormat="0" applyFont="0" applyBorder="0" applyAlignment="0" applyProtection="0"/>
    <xf numFmtId="0" fontId="12" fillId="0" borderId="0">
      <alignment/>
      <protection/>
    </xf>
    <xf numFmtId="0" fontId="88" fillId="0" borderId="0" applyNumberFormat="0" applyFill="0" applyBorder="0" applyAlignment="0" applyProtection="0"/>
    <xf numFmtId="0" fontId="89" fillId="0" borderId="13" applyNumberFormat="0" applyFill="0" applyAlignment="0" applyProtection="0"/>
    <xf numFmtId="0" fontId="90" fillId="0" borderId="0" applyNumberFormat="0" applyFill="0" applyBorder="0" applyAlignment="0" applyProtection="0"/>
    <xf numFmtId="203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0" fontId="7" fillId="0" borderId="0">
      <alignment/>
      <protection/>
    </xf>
  </cellStyleXfs>
  <cellXfs count="101">
    <xf numFmtId="0" fontId="0" fillId="0" borderId="0" xfId="0" applyAlignment="1">
      <alignment/>
    </xf>
    <xf numFmtId="0" fontId="24" fillId="35" borderId="0" xfId="0" applyFont="1" applyFill="1" applyAlignment="1" applyProtection="1">
      <alignment horizontal="center" vertical="center"/>
      <protection hidden="1"/>
    </xf>
    <xf numFmtId="0" fontId="24" fillId="35" borderId="0" xfId="0" applyFont="1" applyFill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22" fillId="36" borderId="0" xfId="0" applyFont="1" applyFill="1" applyAlignment="1" applyProtection="1">
      <alignment vertical="center"/>
      <protection hidden="1"/>
    </xf>
    <xf numFmtId="0" fontId="23" fillId="37" borderId="0" xfId="0" applyFont="1" applyFill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4" fillId="38" borderId="0" xfId="0" applyFont="1" applyFill="1" applyAlignment="1" applyProtection="1">
      <alignment vertical="center"/>
      <protection hidden="1"/>
    </xf>
    <xf numFmtId="0" fontId="8" fillId="38" borderId="0" xfId="0" applyFont="1" applyFill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6" fillId="36" borderId="0" xfId="0" applyFont="1" applyFill="1" applyAlignment="1" applyProtection="1">
      <alignment vertical="center"/>
      <protection locked="0"/>
    </xf>
    <xf numFmtId="0" fontId="8" fillId="39" borderId="0" xfId="0" applyFont="1" applyFill="1" applyAlignment="1" applyProtection="1">
      <alignment vertical="center"/>
      <protection hidden="1"/>
    </xf>
    <xf numFmtId="200" fontId="16" fillId="36" borderId="0" xfId="0" applyNumberFormat="1" applyFont="1" applyFill="1" applyAlignment="1" applyProtection="1">
      <alignment vertical="center"/>
      <protection locked="0"/>
    </xf>
    <xf numFmtId="199" fontId="28" fillId="37" borderId="0" xfId="0" applyNumberFormat="1" applyFont="1" applyFill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199" fontId="28" fillId="40" borderId="0" xfId="0" applyNumberFormat="1" applyFont="1" applyFill="1" applyAlignment="1" applyProtection="1">
      <alignment vertical="center"/>
      <protection hidden="1"/>
    </xf>
    <xf numFmtId="198" fontId="28" fillId="37" borderId="0" xfId="0" applyNumberFormat="1" applyFont="1" applyFill="1" applyAlignment="1" applyProtection="1">
      <alignment vertical="center"/>
      <protection hidden="1"/>
    </xf>
    <xf numFmtId="198" fontId="28" fillId="40" borderId="0" xfId="0" applyNumberFormat="1" applyFont="1" applyFill="1" applyAlignment="1" applyProtection="1">
      <alignment vertical="center"/>
      <protection hidden="1"/>
    </xf>
    <xf numFmtId="0" fontId="8" fillId="0" borderId="0" xfId="0" applyFont="1" applyAlignment="1" applyProtection="1" quotePrefix="1">
      <alignment vertical="center"/>
      <protection hidden="1"/>
    </xf>
    <xf numFmtId="200" fontId="28" fillId="37" borderId="0" xfId="0" applyNumberFormat="1" applyFont="1" applyFill="1" applyAlignment="1" applyProtection="1">
      <alignment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31" fillId="0" borderId="0" xfId="0" applyFont="1" applyAlignment="1" applyProtection="1">
      <alignment vertical="center"/>
      <protection hidden="1"/>
    </xf>
    <xf numFmtId="200" fontId="32" fillId="0" borderId="0" xfId="0" applyNumberFormat="1" applyFont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vertical="center"/>
      <protection hidden="1"/>
    </xf>
    <xf numFmtId="0" fontId="33" fillId="0" borderId="0" xfId="0" applyFont="1" applyAlignment="1" applyProtection="1">
      <alignment vertical="center"/>
      <protection hidden="1"/>
    </xf>
    <xf numFmtId="198" fontId="28" fillId="41" borderId="0" xfId="0" applyNumberFormat="1" applyFont="1" applyFill="1" applyAlignment="1" applyProtection="1">
      <alignment vertical="center"/>
      <protection hidden="1"/>
    </xf>
    <xf numFmtId="0" fontId="34" fillId="0" borderId="0" xfId="0" applyFont="1" applyFill="1" applyAlignment="1" applyProtection="1" quotePrefix="1">
      <alignment vertical="center"/>
      <protection hidden="1"/>
    </xf>
    <xf numFmtId="0" fontId="28" fillId="37" borderId="0" xfId="0" applyFont="1" applyFill="1" applyAlignment="1" applyProtection="1">
      <alignment vertical="center"/>
      <protection hidden="1"/>
    </xf>
    <xf numFmtId="0" fontId="35" fillId="37" borderId="0" xfId="0" applyFont="1" applyFill="1" applyAlignment="1" applyProtection="1">
      <alignment vertical="center"/>
      <protection hidden="1"/>
    </xf>
    <xf numFmtId="0" fontId="20" fillId="36" borderId="0" xfId="0" applyFont="1" applyFill="1" applyAlignment="1" applyProtection="1">
      <alignment vertical="center"/>
      <protection locked="0"/>
    </xf>
    <xf numFmtId="0" fontId="14" fillId="37" borderId="0" xfId="0" applyFont="1" applyFill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8" fillId="0" borderId="0" xfId="0" applyFont="1" applyAlignment="1" applyProtection="1">
      <alignment vertical="center"/>
      <protection hidden="1"/>
    </xf>
    <xf numFmtId="0" fontId="34" fillId="0" borderId="0" xfId="0" applyFont="1" applyAlignment="1" applyProtection="1">
      <alignment vertical="center"/>
      <protection hidden="1"/>
    </xf>
    <xf numFmtId="0" fontId="34" fillId="0" borderId="0" xfId="0" applyFont="1" applyFill="1" applyAlignment="1" applyProtection="1">
      <alignment vertical="center"/>
      <protection hidden="1"/>
    </xf>
    <xf numFmtId="0" fontId="14" fillId="39" borderId="0" xfId="0" applyFont="1" applyFill="1" applyAlignment="1" applyProtection="1">
      <alignment vertical="center"/>
      <protection hidden="1"/>
    </xf>
    <xf numFmtId="0" fontId="14" fillId="41" borderId="0" xfId="0" applyFont="1" applyFill="1" applyAlignment="1" applyProtection="1">
      <alignment horizontal="right" vertical="center"/>
      <protection hidden="1"/>
    </xf>
    <xf numFmtId="0" fontId="8" fillId="0" borderId="0" xfId="0" applyFont="1" applyAlignment="1" applyProtection="1">
      <alignment horizontal="right" vertical="center"/>
      <protection hidden="1"/>
    </xf>
    <xf numFmtId="198" fontId="28" fillId="37" borderId="0" xfId="0" applyNumberFormat="1" applyFont="1" applyFill="1" applyAlignment="1" applyProtection="1">
      <alignment horizontal="right"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33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24" fillId="0" borderId="0" xfId="0" applyFont="1" applyFill="1" applyAlignment="1" applyProtection="1">
      <alignment vertical="center"/>
      <protection hidden="1"/>
    </xf>
    <xf numFmtId="0" fontId="28" fillId="0" borderId="0" xfId="0" applyFont="1" applyFill="1" applyAlignment="1" applyProtection="1">
      <alignment vertical="center"/>
      <protection hidden="1"/>
    </xf>
    <xf numFmtId="0" fontId="14" fillId="35" borderId="0" xfId="0" applyFont="1" applyFill="1" applyAlignment="1" applyProtection="1">
      <alignment vertical="center"/>
      <protection hidden="1"/>
    </xf>
    <xf numFmtId="0" fontId="40" fillId="41" borderId="0" xfId="0" applyFont="1" applyFill="1" applyAlignment="1" applyProtection="1">
      <alignment vertical="center"/>
      <protection hidden="1"/>
    </xf>
    <xf numFmtId="0" fontId="24" fillId="41" borderId="0" xfId="0" applyFont="1" applyFill="1" applyAlignment="1" applyProtection="1">
      <alignment vertical="center"/>
      <protection hidden="1"/>
    </xf>
    <xf numFmtId="0" fontId="32" fillId="0" borderId="0" xfId="0" applyFont="1" applyAlignment="1" applyProtection="1" quotePrefix="1">
      <alignment vertical="center"/>
      <protection hidden="1"/>
    </xf>
    <xf numFmtId="209" fontId="28" fillId="37" borderId="0" xfId="0" applyNumberFormat="1" applyFont="1" applyFill="1" applyAlignment="1" applyProtection="1">
      <alignment vertical="center"/>
      <protection hidden="1"/>
    </xf>
    <xf numFmtId="0" fontId="8" fillId="0" borderId="0" xfId="0" applyNumberFormat="1" applyFont="1" applyAlignment="1" applyProtection="1">
      <alignment vertical="center"/>
      <protection hidden="1"/>
    </xf>
    <xf numFmtId="199" fontId="8" fillId="0" borderId="0" xfId="0" applyNumberFormat="1" applyFont="1" applyAlignment="1" applyProtection="1">
      <alignment vertical="center"/>
      <protection hidden="1"/>
    </xf>
    <xf numFmtId="0" fontId="43" fillId="0" borderId="0" xfId="0" applyFont="1" applyAlignment="1" applyProtection="1">
      <alignment vertical="center"/>
      <protection hidden="1"/>
    </xf>
    <xf numFmtId="0" fontId="8" fillId="0" borderId="0" xfId="0" applyNumberFormat="1" applyFont="1" applyFill="1" applyAlignment="1" applyProtection="1">
      <alignment vertical="center"/>
      <protection hidden="1"/>
    </xf>
    <xf numFmtId="0" fontId="43" fillId="0" borderId="0" xfId="0" applyFont="1" applyFill="1" applyAlignment="1" applyProtection="1">
      <alignment vertical="center"/>
      <protection hidden="1"/>
    </xf>
    <xf numFmtId="0" fontId="17" fillId="0" borderId="0" xfId="0" applyFont="1" applyAlignment="1" applyProtection="1">
      <alignment horizontal="left" vertical="center"/>
      <protection hidden="1"/>
    </xf>
    <xf numFmtId="202" fontId="20" fillId="0" borderId="0" xfId="0" applyNumberFormat="1" applyFont="1" applyFill="1" applyAlignment="1" applyProtection="1">
      <alignment vertical="center"/>
      <protection hidden="1"/>
    </xf>
    <xf numFmtId="201" fontId="17" fillId="0" borderId="0" xfId="0" applyNumberFormat="1" applyFont="1" applyFill="1" applyAlignment="1" applyProtection="1">
      <alignment vertical="center"/>
      <protection hidden="1"/>
    </xf>
    <xf numFmtId="202" fontId="44" fillId="0" borderId="0" xfId="0" applyNumberFormat="1" applyFont="1" applyFill="1" applyAlignment="1" applyProtection="1">
      <alignment vertical="center"/>
      <protection hidden="1"/>
    </xf>
    <xf numFmtId="198" fontId="8" fillId="0" borderId="0" xfId="0" applyNumberFormat="1" applyFont="1" applyAlignment="1" applyProtection="1">
      <alignment vertical="center"/>
      <protection hidden="1"/>
    </xf>
    <xf numFmtId="202" fontId="20" fillId="0" borderId="0" xfId="0" applyNumberFormat="1" applyFont="1" applyAlignment="1" applyProtection="1">
      <alignment vertical="center"/>
      <protection hidden="1"/>
    </xf>
    <xf numFmtId="0" fontId="20" fillId="0" borderId="0" xfId="0" applyNumberFormat="1" applyFont="1" applyAlignment="1" applyProtection="1">
      <alignment vertical="center"/>
      <protection hidden="1"/>
    </xf>
    <xf numFmtId="207" fontId="28" fillId="37" borderId="0" xfId="0" applyNumberFormat="1" applyFont="1" applyFill="1" applyAlignment="1" applyProtection="1">
      <alignment horizontal="right" vertical="center"/>
      <protection hidden="1"/>
    </xf>
    <xf numFmtId="207" fontId="28" fillId="37" borderId="0" xfId="0" applyNumberFormat="1" applyFont="1" applyFill="1" applyAlignment="1" applyProtection="1">
      <alignment vertical="center"/>
      <protection hidden="1"/>
    </xf>
    <xf numFmtId="0" fontId="20" fillId="0" borderId="0" xfId="0" applyFont="1" applyFill="1" applyAlignment="1" applyProtection="1">
      <alignment vertical="center"/>
      <protection hidden="1"/>
    </xf>
    <xf numFmtId="0" fontId="8" fillId="39" borderId="0" xfId="0" applyFont="1" applyFill="1" applyAlignment="1" applyProtection="1">
      <alignment horizontal="center" vertical="center"/>
      <protection hidden="1"/>
    </xf>
    <xf numFmtId="0" fontId="24" fillId="42" borderId="0" xfId="0" applyFont="1" applyFill="1" applyAlignment="1" applyProtection="1">
      <alignment horizontal="center" vertical="center"/>
      <protection hidden="1"/>
    </xf>
    <xf numFmtId="0" fontId="24" fillId="43" borderId="0" xfId="0" applyFont="1" applyFill="1" applyAlignment="1" applyProtection="1">
      <alignment vertical="center"/>
      <protection hidden="1"/>
    </xf>
    <xf numFmtId="0" fontId="33" fillId="0" borderId="0" xfId="0" applyFont="1" applyAlignment="1" applyProtection="1">
      <alignment horizontal="right" vertical="center"/>
      <protection hidden="1"/>
    </xf>
    <xf numFmtId="0" fontId="91" fillId="0" borderId="0" xfId="0" applyFont="1" applyAlignment="1" applyProtection="1">
      <alignment vertical="center"/>
      <protection hidden="1"/>
    </xf>
    <xf numFmtId="0" fontId="92" fillId="0" borderId="0" xfId="0" applyFont="1" applyAlignment="1" applyProtection="1">
      <alignment vertical="center"/>
      <protection hidden="1"/>
    </xf>
    <xf numFmtId="0" fontId="93" fillId="0" borderId="0" xfId="0" applyFont="1" applyAlignment="1" applyProtection="1">
      <alignment vertical="center"/>
      <protection hidden="1"/>
    </xf>
    <xf numFmtId="205" fontId="16" fillId="36" borderId="0" xfId="0" applyNumberFormat="1" applyFont="1" applyFill="1" applyAlignment="1" applyProtection="1">
      <alignment vertical="center"/>
      <protection locked="0"/>
    </xf>
    <xf numFmtId="199" fontId="28" fillId="0" borderId="0" xfId="0" applyNumberFormat="1" applyFont="1" applyFill="1" applyAlignment="1" applyProtection="1">
      <alignment vertical="center"/>
      <protection hidden="1"/>
    </xf>
    <xf numFmtId="198" fontId="93" fillId="44" borderId="0" xfId="0" applyNumberFormat="1" applyFont="1" applyFill="1" applyAlignment="1" applyProtection="1">
      <alignment vertical="center"/>
      <protection locked="0"/>
    </xf>
    <xf numFmtId="199" fontId="28" fillId="37" borderId="0" xfId="0" applyNumberFormat="1" applyFont="1" applyFill="1" applyAlignment="1" applyProtection="1">
      <alignment horizontal="right" vertical="center"/>
      <protection hidden="1"/>
    </xf>
    <xf numFmtId="0" fontId="94" fillId="0" borderId="0" xfId="0" applyFont="1" applyAlignment="1" applyProtection="1" quotePrefix="1">
      <alignment vertical="center"/>
      <protection hidden="1"/>
    </xf>
    <xf numFmtId="0" fontId="94" fillId="0" borderId="0" xfId="0" applyFont="1" applyAlignment="1" applyProtection="1">
      <alignment vertical="center"/>
      <protection hidden="1"/>
    </xf>
    <xf numFmtId="0" fontId="95" fillId="0" borderId="0" xfId="0" applyFont="1" applyAlignment="1" applyProtection="1">
      <alignment vertical="center"/>
      <protection hidden="1"/>
    </xf>
    <xf numFmtId="0" fontId="95" fillId="0" borderId="0" xfId="0" applyFont="1" applyFill="1" applyAlignment="1" applyProtection="1">
      <alignment vertical="center"/>
      <protection hidden="1"/>
    </xf>
    <xf numFmtId="0" fontId="95" fillId="0" borderId="0" xfId="0" applyFont="1" applyAlignment="1" applyProtection="1">
      <alignment horizontal="left" vertical="center"/>
      <protection hidden="1"/>
    </xf>
    <xf numFmtId="0" fontId="96" fillId="0" borderId="0" xfId="0" applyFont="1" applyAlignment="1" applyProtection="1">
      <alignment vertical="center"/>
      <protection hidden="1"/>
    </xf>
    <xf numFmtId="0" fontId="97" fillId="0" borderId="0" xfId="0" applyFont="1" applyAlignment="1" applyProtection="1">
      <alignment horizontal="left" vertical="center"/>
      <protection hidden="1"/>
    </xf>
    <xf numFmtId="38" fontId="28" fillId="37" borderId="0" xfId="0" applyNumberFormat="1" applyFont="1" applyFill="1" applyAlignment="1" applyProtection="1">
      <alignment horizontal="right"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201" fontId="28" fillId="37" borderId="0" xfId="0" applyNumberFormat="1" applyFont="1" applyFill="1" applyAlignment="1" applyProtection="1">
      <alignment vertical="center"/>
      <protection hidden="1"/>
    </xf>
    <xf numFmtId="200" fontId="32" fillId="0" borderId="0" xfId="0" applyNumberFormat="1" applyFont="1" applyAlignment="1" applyProtection="1">
      <alignment horizontal="left" vertical="center"/>
      <protection hidden="1"/>
    </xf>
    <xf numFmtId="0" fontId="24" fillId="35" borderId="0" xfId="0" applyFont="1" applyFill="1" applyAlignment="1" applyProtection="1">
      <alignment horizontal="center" vertical="center"/>
      <protection hidden="1"/>
    </xf>
    <xf numFmtId="0" fontId="40" fillId="41" borderId="0" xfId="0" applyFont="1" applyFill="1" applyAlignment="1" applyProtection="1">
      <alignment horizontal="center" vertical="center" wrapText="1"/>
      <protection hidden="1"/>
    </xf>
    <xf numFmtId="0" fontId="97" fillId="0" borderId="0" xfId="0" applyFont="1" applyAlignment="1" applyProtection="1">
      <alignment horizontal="left" vertical="center"/>
      <protection hidden="1"/>
    </xf>
    <xf numFmtId="0" fontId="24" fillId="35" borderId="0" xfId="0" applyFont="1" applyFill="1" applyAlignment="1" applyProtection="1">
      <alignment vertical="center"/>
      <protection hidden="1"/>
    </xf>
    <xf numFmtId="0" fontId="40" fillId="41" borderId="0" xfId="0" applyFont="1" applyFill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98" fillId="45" borderId="8" xfId="0" applyFont="1" applyFill="1" applyBorder="1" applyAlignment="1" applyProtection="1">
      <alignment horizontal="center" vertical="center"/>
      <protection hidden="1"/>
    </xf>
    <xf numFmtId="0" fontId="6" fillId="0" borderId="8" xfId="0" applyFont="1" applyBorder="1" applyAlignment="1" applyProtection="1">
      <alignment horizontal="center" vertical="center"/>
      <protection hidden="1"/>
    </xf>
    <xf numFmtId="1" fontId="6" fillId="0" borderId="8" xfId="0" applyNumberFormat="1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201" fontId="8" fillId="0" borderId="0" xfId="0" applyNumberFormat="1" applyFont="1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201" fontId="28" fillId="0" borderId="0" xfId="0" applyNumberFormat="1" applyFont="1" applyFill="1" applyAlignment="1" applyProtection="1">
      <alignment horizontal="right" vertical="center"/>
      <protection hidden="1"/>
    </xf>
    <xf numFmtId="0" fontId="14" fillId="0" borderId="0" xfId="0" applyFont="1" applyFill="1" applyAlignment="1" applyProtection="1">
      <alignment vertical="center"/>
      <protection hidden="1"/>
    </xf>
  </cellXfs>
  <cellStyles count="66">
    <cellStyle name="Normal" xfId="0"/>
    <cellStyle name="??&amp;O?&amp;H?_x0008__x000F__x0007_?_x0007__x0001__x0001_" xfId="15"/>
    <cellStyle name="??&amp;O?&amp;H?_x0008_??_x0007__x0001__x0001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ategory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llowed Hyperlink" xfId="50"/>
    <cellStyle name="Good" xfId="51"/>
    <cellStyle name="Grey" xfId="52"/>
    <cellStyle name="HEADER" xfId="53"/>
    <cellStyle name="Header1" xfId="54"/>
    <cellStyle name="Header2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Input [yellow]" xfId="62"/>
    <cellStyle name="Linked Cell" xfId="63"/>
    <cellStyle name="Model" xfId="64"/>
    <cellStyle name="Neutral" xfId="65"/>
    <cellStyle name="Normal - Style1" xfId="66"/>
    <cellStyle name="Note" xfId="67"/>
    <cellStyle name="Output" xfId="68"/>
    <cellStyle name="Percent" xfId="69"/>
    <cellStyle name="Percent [2]" xfId="70"/>
    <cellStyle name="PSChar" xfId="71"/>
    <cellStyle name="PSSpacer" xfId="72"/>
    <cellStyle name="subhead" xfId="73"/>
    <cellStyle name="Title" xfId="74"/>
    <cellStyle name="Total" xfId="75"/>
    <cellStyle name="Warning Text" xfId="76"/>
    <cellStyle name="콤마 [0]_10월2주 " xfId="77"/>
    <cellStyle name="콤마_10월2주 " xfId="78"/>
    <cellStyle name="常规_Sheet1" xfId="79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0375"/>
          <c:w val="0.95075"/>
          <c:h val="0.9207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'FSL series design guideline'!$B$162:$B$181</c:f>
              <c:numCache/>
            </c:numRef>
          </c:xVal>
          <c:yVal>
            <c:numRef>
              <c:f>'FSL series design guideline'!$C$162:$C$181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'FSL series design guideline'!$B$162:$B$181</c:f>
              <c:numCache/>
            </c:numRef>
          </c:xVal>
          <c:yVal>
            <c:numRef>
              <c:f>'FSL series design guideline'!$D$162:$D$181</c:f>
              <c:numCache/>
            </c:numRef>
          </c:yVal>
          <c:smooth val="1"/>
        </c:ser>
        <c:ser>
          <c:idx val="2"/>
          <c:order val="2"/>
          <c:tx>
            <c:v>T (Closed loop gain)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'FSL series design guideline'!$B$162:$B$181</c:f>
              <c:numCache/>
            </c:numRef>
          </c:xVal>
          <c:yVal>
            <c:numRef>
              <c:f>'FSL series design guideline'!$E$162:$E$181</c:f>
              <c:numCache/>
            </c:numRef>
          </c:yVal>
          <c:smooth val="1"/>
        </c:ser>
        <c:axId val="27415381"/>
        <c:axId val="45411838"/>
      </c:scatterChart>
      <c:valAx>
        <c:axId val="27415381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45411838"/>
        <c:crosses val="autoZero"/>
        <c:crossBetween val="midCat"/>
        <c:dispUnits/>
        <c:minorUnit val="10"/>
      </c:valAx>
      <c:valAx>
        <c:axId val="45411838"/>
        <c:scaling>
          <c:orientation val="minMax"/>
          <c:max val="6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Gain (dB)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27415381"/>
        <c:crosses val="autoZero"/>
        <c:crossBetween val="midCat"/>
        <c:dispUnits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925"/>
          <c:y val="0.1245"/>
          <c:w val="0.2805"/>
          <c:h val="0.28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1375"/>
          <c:w val="0.98925"/>
          <c:h val="0.929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'FSL series design guideline'!$G$162:$G$181</c:f>
              <c:numCache/>
            </c:numRef>
          </c:xVal>
          <c:yVal>
            <c:numRef>
              <c:f>'FSL series design guideline'!$H$162:$H$181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'FSL series design guideline'!$G$162:$G$181</c:f>
              <c:numCache/>
            </c:numRef>
          </c:xVal>
          <c:yVal>
            <c:numRef>
              <c:f>'FSL series design guideline'!$I$162:$I$181</c:f>
              <c:numCache/>
            </c:numRef>
          </c:yVal>
          <c:smooth val="1"/>
        </c:ser>
        <c:ser>
          <c:idx val="2"/>
          <c:order val="2"/>
          <c:tx>
            <c:v>T (Closed loop gain)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'FSL series design guideline'!$G$162:$G$181</c:f>
              <c:numCache/>
            </c:numRef>
          </c:xVal>
          <c:yVal>
            <c:numRef>
              <c:f>'FSL series design guideline'!$J$162:$J$181</c:f>
              <c:numCache/>
            </c:numRef>
          </c:yVal>
          <c:smooth val="1"/>
        </c:ser>
        <c:axId val="6053359"/>
        <c:axId val="54480232"/>
      </c:scatterChart>
      <c:valAx>
        <c:axId val="6053359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54480232"/>
        <c:crosses val="autoZero"/>
        <c:crossBetween val="midCat"/>
        <c:dispUnits/>
        <c:majorUnit val="10"/>
        <c:minorUnit val="10"/>
      </c:valAx>
      <c:valAx>
        <c:axId val="54480232"/>
        <c:scaling>
          <c:orientation val="minMax"/>
          <c:min val="-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Phase (degree)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6053359"/>
        <c:crosses val="autoZero"/>
        <c:crossBetween val="midCat"/>
        <c:dispUnits/>
        <c:majorUnit val="30"/>
        <c:minorUnit val="3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5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159</xdr:row>
      <xdr:rowOff>66675</xdr:rowOff>
    </xdr:from>
    <xdr:to>
      <xdr:col>9</xdr:col>
      <xdr:colOff>76200</xdr:colOff>
      <xdr:row>174</xdr:row>
      <xdr:rowOff>114300</xdr:rowOff>
    </xdr:to>
    <xdr:graphicFrame>
      <xdr:nvGraphicFramePr>
        <xdr:cNvPr id="1" name="Chart 70"/>
        <xdr:cNvGraphicFramePr/>
      </xdr:nvGraphicFramePr>
      <xdr:xfrm>
        <a:off x="161925" y="32908875"/>
        <a:ext cx="75247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175</xdr:row>
      <xdr:rowOff>38100</xdr:rowOff>
    </xdr:from>
    <xdr:to>
      <xdr:col>9</xdr:col>
      <xdr:colOff>57150</xdr:colOff>
      <xdr:row>189</xdr:row>
      <xdr:rowOff>28575</xdr:rowOff>
    </xdr:to>
    <xdr:graphicFrame>
      <xdr:nvGraphicFramePr>
        <xdr:cNvPr id="2" name="Chart 71"/>
        <xdr:cNvGraphicFramePr/>
      </xdr:nvGraphicFramePr>
      <xdr:xfrm>
        <a:off x="161925" y="35775900"/>
        <a:ext cx="7505700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314325</xdr:colOff>
      <xdr:row>9</xdr:row>
      <xdr:rowOff>28575</xdr:rowOff>
    </xdr:from>
    <xdr:to>
      <xdr:col>7</xdr:col>
      <xdr:colOff>276225</xdr:colOff>
      <xdr:row>17</xdr:row>
      <xdr:rowOff>123825</xdr:rowOff>
    </xdr:to>
    <xdr:sp>
      <xdr:nvSpPr>
        <xdr:cNvPr id="3" name="Rectangle 4"/>
        <xdr:cNvSpPr>
          <a:spLocks/>
        </xdr:cNvSpPr>
      </xdr:nvSpPr>
      <xdr:spPr>
        <a:xfrm>
          <a:off x="6057900" y="1847850"/>
          <a:ext cx="885825" cy="1657350"/>
        </a:xfrm>
        <a:prstGeom prst="rect">
          <a:avLst/>
        </a:prstGeom>
        <a:noFill/>
        <a:ln w="381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3924300</xdr:colOff>
      <xdr:row>20</xdr:row>
      <xdr:rowOff>133350</xdr:rowOff>
    </xdr:from>
    <xdr:to>
      <xdr:col>3</xdr:col>
      <xdr:colOff>304800</xdr:colOff>
      <xdr:row>24</xdr:row>
      <xdr:rowOff>76200</xdr:rowOff>
    </xdr:to>
    <xdr:sp>
      <xdr:nvSpPr>
        <xdr:cNvPr id="4" name="Rectangle 5"/>
        <xdr:cNvSpPr>
          <a:spLocks/>
        </xdr:cNvSpPr>
      </xdr:nvSpPr>
      <xdr:spPr>
        <a:xfrm>
          <a:off x="4076700" y="4229100"/>
          <a:ext cx="1181100" cy="847725"/>
        </a:xfrm>
        <a:prstGeom prst="rect">
          <a:avLst/>
        </a:prstGeom>
        <a:noFill/>
        <a:ln w="381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</xdr:col>
      <xdr:colOff>371475</xdr:colOff>
      <xdr:row>17</xdr:row>
      <xdr:rowOff>190500</xdr:rowOff>
    </xdr:from>
    <xdr:to>
      <xdr:col>6</xdr:col>
      <xdr:colOff>371475</xdr:colOff>
      <xdr:row>19</xdr:row>
      <xdr:rowOff>180975</xdr:rowOff>
    </xdr:to>
    <xdr:sp>
      <xdr:nvSpPr>
        <xdr:cNvPr id="5" name="Straight Arrow Connector 9"/>
        <xdr:cNvSpPr>
          <a:spLocks/>
        </xdr:cNvSpPr>
      </xdr:nvSpPr>
      <xdr:spPr>
        <a:xfrm flipH="1" flipV="1">
          <a:off x="6496050" y="3571875"/>
          <a:ext cx="0" cy="466725"/>
        </a:xfrm>
        <a:prstGeom prst="straightConnector1">
          <a:avLst/>
        </a:prstGeom>
        <a:noFill/>
        <a:ln w="28575" cmpd="sng">
          <a:solidFill>
            <a:srgbClr val="E46C0A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47625</xdr:colOff>
      <xdr:row>21</xdr:row>
      <xdr:rowOff>95250</xdr:rowOff>
    </xdr:from>
    <xdr:to>
      <xdr:col>4</xdr:col>
      <xdr:colOff>371475</xdr:colOff>
      <xdr:row>21</xdr:row>
      <xdr:rowOff>104775</xdr:rowOff>
    </xdr:to>
    <xdr:sp>
      <xdr:nvSpPr>
        <xdr:cNvPr id="6" name="Straight Arrow Connector 10"/>
        <xdr:cNvSpPr>
          <a:spLocks/>
        </xdr:cNvSpPr>
      </xdr:nvSpPr>
      <xdr:spPr>
        <a:xfrm flipH="1" flipV="1">
          <a:off x="5324475" y="4381500"/>
          <a:ext cx="323850" cy="9525"/>
        </a:xfrm>
        <a:prstGeom prst="straightConnector1">
          <a:avLst/>
        </a:prstGeom>
        <a:noFill/>
        <a:ln w="28575" cmpd="sng">
          <a:solidFill>
            <a:srgbClr val="E46C0A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mpany%20related%20files\IC%20developement\FSL3x6LR\Design%20tool\FSL306LR%20Buck%20Converter%20design%20tool%20Rev_1.0.1(Internal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verall design"/>
      <sheetName val="Circuit diagram"/>
      <sheetName val="BOM table"/>
      <sheetName val="FCS diode selection guide"/>
      <sheetName val="Vin.dc.min"/>
      <sheetName val="CCM range &amp; Ids.pk"/>
      <sheetName val="compensation"/>
      <sheetName val="Green mode"/>
    </sheetNames>
    <sheetDataSet>
      <sheetData sheetId="0">
        <row r="8">
          <cell r="D8">
            <v>85</v>
          </cell>
        </row>
        <row r="11">
          <cell r="D11">
            <v>1</v>
          </cell>
        </row>
        <row r="16">
          <cell r="D16">
            <v>12</v>
          </cell>
        </row>
        <row r="21">
          <cell r="D21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oleObject" Target="../embeddings/oleObject_0_3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19"/>
  <sheetViews>
    <sheetView tabSelected="1" zoomScalePageLayoutView="0" workbookViewId="0" topLeftCell="A1">
      <selection activeCell="E13" sqref="E13"/>
    </sheetView>
  </sheetViews>
  <sheetFormatPr defaultColWidth="8.88671875" defaultRowHeight="13.5"/>
  <cols>
    <col min="1" max="1" width="1.77734375" style="3" customWidth="1"/>
    <col min="2" max="2" width="47.77734375" style="3" customWidth="1"/>
    <col min="3" max="3" width="8.21484375" style="3" customWidth="1"/>
    <col min="4" max="4" width="3.77734375" style="3" customWidth="1"/>
    <col min="5" max="5" width="5.4453125" style="3" customWidth="1"/>
    <col min="6" max="6" width="4.4453125" style="3" customWidth="1"/>
    <col min="7" max="7" width="6.3359375" style="3" customWidth="1"/>
    <col min="8" max="8" width="4.6640625" style="3" customWidth="1"/>
    <col min="9" max="9" width="6.3359375" style="3" customWidth="1"/>
    <col min="10" max="10" width="2.4453125" style="3" customWidth="1"/>
    <col min="11" max="11" width="6.77734375" style="3" customWidth="1"/>
    <col min="12" max="12" width="1.88671875" style="3" customWidth="1"/>
    <col min="13" max="13" width="4.88671875" style="3" customWidth="1"/>
    <col min="14" max="14" width="2.6640625" style="3" customWidth="1"/>
    <col min="15" max="15" width="8.88671875" style="3" customWidth="1"/>
    <col min="16" max="19" width="0" style="92" hidden="1" customWidth="1"/>
    <col min="20" max="16384" width="8.88671875" style="3" customWidth="1"/>
  </cols>
  <sheetData>
    <row r="1" spans="3:11" ht="14.25" customHeight="1">
      <c r="C1" s="84" t="s">
        <v>163</v>
      </c>
      <c r="D1" s="84"/>
      <c r="E1" s="84"/>
      <c r="F1" s="84"/>
      <c r="G1" s="84"/>
      <c r="H1" s="84"/>
      <c r="I1" s="84"/>
      <c r="J1" s="84"/>
      <c r="K1" s="84"/>
    </row>
    <row r="2" spans="3:11" ht="14.25">
      <c r="C2" s="84"/>
      <c r="D2" s="84"/>
      <c r="E2" s="84"/>
      <c r="F2" s="84"/>
      <c r="G2" s="84"/>
      <c r="H2" s="84"/>
      <c r="I2" s="84"/>
      <c r="J2" s="84"/>
      <c r="K2" s="84"/>
    </row>
    <row r="3" spans="3:4" ht="14.25">
      <c r="C3" s="4" t="s">
        <v>40</v>
      </c>
      <c r="D3" s="3" t="s">
        <v>0</v>
      </c>
    </row>
    <row r="4" spans="3:7" ht="15">
      <c r="C4" s="5" t="s">
        <v>25</v>
      </c>
      <c r="D4" s="6" t="s">
        <v>6</v>
      </c>
      <c r="E4" s="6"/>
      <c r="F4" s="6"/>
      <c r="G4" s="6"/>
    </row>
    <row r="5" ht="14.25"/>
    <row r="6" spans="1:9" ht="15">
      <c r="A6" s="7" t="s">
        <v>26</v>
      </c>
      <c r="B6" s="8"/>
      <c r="C6" s="8"/>
      <c r="D6" s="8"/>
      <c r="E6" s="8"/>
      <c r="F6" s="8"/>
      <c r="G6" s="8"/>
      <c r="H6" s="8"/>
      <c r="I6" s="8"/>
    </row>
    <row r="7" spans="2:4" ht="18.75">
      <c r="B7" s="9" t="s">
        <v>45</v>
      </c>
      <c r="C7" s="10">
        <v>85</v>
      </c>
      <c r="D7" s="9" t="s">
        <v>16</v>
      </c>
    </row>
    <row r="8" spans="2:6" ht="18.75">
      <c r="B8" s="9" t="s">
        <v>46</v>
      </c>
      <c r="C8" s="10">
        <v>264</v>
      </c>
      <c r="D8" s="9" t="s">
        <v>16</v>
      </c>
      <c r="E8" s="9"/>
      <c r="F8" s="9"/>
    </row>
    <row r="9" spans="2:4" ht="18.75">
      <c r="B9" s="9" t="s">
        <v>47</v>
      </c>
      <c r="C9" s="10">
        <v>50</v>
      </c>
      <c r="D9" s="9" t="s">
        <v>2</v>
      </c>
    </row>
    <row r="10" ht="14.25"/>
    <row r="11" spans="2:13" ht="18.75">
      <c r="B11" s="11"/>
      <c r="C11" s="1" t="s">
        <v>48</v>
      </c>
      <c r="D11" s="65"/>
      <c r="E11" s="1" t="s">
        <v>49</v>
      </c>
      <c r="F11" s="65"/>
      <c r="G11" s="1" t="s">
        <v>115</v>
      </c>
      <c r="H11" s="65"/>
      <c r="I11" s="1" t="s">
        <v>50</v>
      </c>
      <c r="J11" s="66"/>
      <c r="K11" s="1" t="s">
        <v>116</v>
      </c>
      <c r="L11" s="66"/>
      <c r="M11" s="1" t="s">
        <v>117</v>
      </c>
    </row>
    <row r="12" spans="2:14" ht="15">
      <c r="B12" s="9" t="s">
        <v>31</v>
      </c>
      <c r="C12" s="10">
        <v>5</v>
      </c>
      <c r="D12" s="9" t="s">
        <v>1</v>
      </c>
      <c r="E12" s="12">
        <v>1</v>
      </c>
      <c r="F12" s="9" t="s">
        <v>7</v>
      </c>
      <c r="G12" s="12">
        <v>1</v>
      </c>
      <c r="H12" s="9" t="s">
        <v>7</v>
      </c>
      <c r="I12" s="13">
        <f>Vo1*Io_1</f>
        <v>5</v>
      </c>
      <c r="J12" s="14" t="s">
        <v>3</v>
      </c>
      <c r="K12" s="13">
        <f>Vo1*Io.peak_1</f>
        <v>5</v>
      </c>
      <c r="L12" s="14" t="s">
        <v>3</v>
      </c>
      <c r="M12" s="13">
        <f aca="true" t="shared" si="0" ref="M12:M17">I12/C$18*100</f>
        <v>100</v>
      </c>
      <c r="N12" s="14" t="s">
        <v>4</v>
      </c>
    </row>
    <row r="13" spans="2:14" ht="15">
      <c r="B13" s="9" t="s">
        <v>34</v>
      </c>
      <c r="C13" s="10">
        <v>0</v>
      </c>
      <c r="D13" s="9" t="s">
        <v>1</v>
      </c>
      <c r="E13" s="12">
        <v>0</v>
      </c>
      <c r="F13" s="9" t="s">
        <v>7</v>
      </c>
      <c r="G13" s="12">
        <v>0</v>
      </c>
      <c r="H13" s="9" t="s">
        <v>7</v>
      </c>
      <c r="I13" s="13">
        <f>Vo2*Io_2</f>
        <v>0</v>
      </c>
      <c r="J13" s="14" t="s">
        <v>3</v>
      </c>
      <c r="K13" s="13">
        <f>Vo2*Io.peak_2</f>
        <v>0</v>
      </c>
      <c r="L13" s="14" t="s">
        <v>3</v>
      </c>
      <c r="M13" s="13">
        <f t="shared" si="0"/>
        <v>0</v>
      </c>
      <c r="N13" s="14" t="s">
        <v>4</v>
      </c>
    </row>
    <row r="14" spans="2:14" ht="15">
      <c r="B14" s="9" t="s">
        <v>21</v>
      </c>
      <c r="C14" s="10">
        <v>0</v>
      </c>
      <c r="D14" s="9" t="s">
        <v>1</v>
      </c>
      <c r="E14" s="12">
        <v>0</v>
      </c>
      <c r="F14" s="9" t="s">
        <v>7</v>
      </c>
      <c r="G14" s="12">
        <v>0</v>
      </c>
      <c r="H14" s="9" t="s">
        <v>7</v>
      </c>
      <c r="I14" s="13">
        <f>Vo3*Io_3</f>
        <v>0</v>
      </c>
      <c r="J14" s="14" t="s">
        <v>3</v>
      </c>
      <c r="K14" s="13">
        <f>Vo3*Io.peak_3</f>
        <v>0</v>
      </c>
      <c r="L14" s="14" t="s">
        <v>3</v>
      </c>
      <c r="M14" s="13">
        <f t="shared" si="0"/>
        <v>0</v>
      </c>
      <c r="N14" s="14" t="s">
        <v>4</v>
      </c>
    </row>
    <row r="15" spans="2:14" ht="15">
      <c r="B15" s="9" t="s">
        <v>22</v>
      </c>
      <c r="C15" s="10">
        <v>0</v>
      </c>
      <c r="D15" s="9" t="s">
        <v>1</v>
      </c>
      <c r="E15" s="12">
        <v>0</v>
      </c>
      <c r="F15" s="9" t="s">
        <v>7</v>
      </c>
      <c r="G15" s="12">
        <v>0</v>
      </c>
      <c r="H15" s="9" t="s">
        <v>7</v>
      </c>
      <c r="I15" s="13">
        <f>Vo4*Io_4</f>
        <v>0</v>
      </c>
      <c r="J15" s="14" t="s">
        <v>3</v>
      </c>
      <c r="K15" s="13">
        <f>Vo4*Io.peak_4</f>
        <v>0</v>
      </c>
      <c r="L15" s="14" t="s">
        <v>3</v>
      </c>
      <c r="M15" s="13">
        <f t="shared" si="0"/>
        <v>0</v>
      </c>
      <c r="N15" s="14" t="s">
        <v>4</v>
      </c>
    </row>
    <row r="16" spans="2:19" ht="15">
      <c r="B16" s="9" t="s">
        <v>23</v>
      </c>
      <c r="C16" s="10">
        <v>0</v>
      </c>
      <c r="D16" s="9" t="s">
        <v>1</v>
      </c>
      <c r="E16" s="12">
        <v>0</v>
      </c>
      <c r="F16" s="9" t="s">
        <v>7</v>
      </c>
      <c r="G16" s="12">
        <v>0</v>
      </c>
      <c r="H16" s="9" t="s">
        <v>7</v>
      </c>
      <c r="I16" s="13">
        <f>Vo5*Io_5</f>
        <v>0</v>
      </c>
      <c r="J16" s="14" t="s">
        <v>3</v>
      </c>
      <c r="K16" s="13">
        <f>Vo5*Io.peak_5</f>
        <v>0</v>
      </c>
      <c r="L16" s="14" t="s">
        <v>3</v>
      </c>
      <c r="M16" s="13">
        <f t="shared" si="0"/>
        <v>0</v>
      </c>
      <c r="N16" s="14" t="s">
        <v>4</v>
      </c>
      <c r="P16" s="93" t="s">
        <v>186</v>
      </c>
      <c r="Q16" s="93"/>
      <c r="R16" s="93"/>
      <c r="S16" s="93"/>
    </row>
    <row r="17" spans="2:19" ht="15">
      <c r="B17" s="9" t="s">
        <v>24</v>
      </c>
      <c r="C17" s="10">
        <v>0</v>
      </c>
      <c r="D17" s="9" t="s">
        <v>1</v>
      </c>
      <c r="E17" s="12">
        <v>0</v>
      </c>
      <c r="F17" s="9" t="s">
        <v>7</v>
      </c>
      <c r="G17" s="12">
        <v>0</v>
      </c>
      <c r="H17" s="9" t="s">
        <v>7</v>
      </c>
      <c r="I17" s="13">
        <f>Vo6*Io_6</f>
        <v>0</v>
      </c>
      <c r="J17" s="14" t="s">
        <v>3</v>
      </c>
      <c r="K17" s="13">
        <f>Vo6*Io.peak_6</f>
        <v>0</v>
      </c>
      <c r="L17" s="14" t="s">
        <v>3</v>
      </c>
      <c r="M17" s="13">
        <f t="shared" si="0"/>
        <v>0</v>
      </c>
      <c r="N17" s="14" t="s">
        <v>4</v>
      </c>
      <c r="P17" s="94" t="s">
        <v>180</v>
      </c>
      <c r="Q17" s="94" t="s">
        <v>181</v>
      </c>
      <c r="R17" s="94" t="s">
        <v>182</v>
      </c>
      <c r="S17" s="94" t="s">
        <v>183</v>
      </c>
    </row>
    <row r="18" spans="2:19" ht="18.75">
      <c r="B18" s="14" t="s">
        <v>105</v>
      </c>
      <c r="C18" s="16">
        <f>SUM(I12:I17)</f>
        <v>5</v>
      </c>
      <c r="D18" s="14" t="s">
        <v>3</v>
      </c>
      <c r="P18" s="94">
        <v>2000</v>
      </c>
      <c r="Q18" s="94">
        <f aca="true" t="shared" si="1" ref="Q18:Q49">Vbr_out*SQRT(2)-Pin/(Cdc*Vbr_out*SQRT(2))*P18*10^-6</f>
        <v>73.2987813700565</v>
      </c>
      <c r="R18" s="94">
        <f aca="true" t="shared" si="2" ref="R18:R49">-Vbr_out*SQRT(2)*COS(2*PI()*fL*(P18*10^-6-0.5*fL))</f>
        <v>-68.64736833813998</v>
      </c>
      <c r="S18" s="94" t="str">
        <f>IF(Q18-R18&lt;0.3,R18,"N")</f>
        <v>N</v>
      </c>
    </row>
    <row r="19" spans="2:19" ht="18.75">
      <c r="B19" s="9" t="s">
        <v>51</v>
      </c>
      <c r="C19" s="10">
        <v>75</v>
      </c>
      <c r="D19" s="9" t="s">
        <v>4</v>
      </c>
      <c r="P19" s="94">
        <v>2010</v>
      </c>
      <c r="Q19" s="94">
        <f t="shared" si="1"/>
        <v>73.24101120819485</v>
      </c>
      <c r="R19" s="94">
        <f t="shared" si="2"/>
        <v>-68.4903421708687</v>
      </c>
      <c r="S19" s="94" t="str">
        <f aca="true" t="shared" si="3" ref="S19:S82">IF(Q19-R19&lt;0.3,R19,"N")</f>
        <v>N</v>
      </c>
    </row>
    <row r="20" spans="2:19" ht="18.75">
      <c r="B20" s="14" t="s">
        <v>106</v>
      </c>
      <c r="C20" s="16">
        <f>Po/Eff</f>
        <v>6.666666666666667</v>
      </c>
      <c r="D20" s="14" t="s">
        <v>3</v>
      </c>
      <c r="P20" s="95">
        <v>2020</v>
      </c>
      <c r="Q20" s="94">
        <f t="shared" si="1"/>
        <v>73.18324104633321</v>
      </c>
      <c r="R20" s="94">
        <f t="shared" si="2"/>
        <v>-68.3326400314795</v>
      </c>
      <c r="S20" s="94" t="str">
        <f t="shared" si="3"/>
        <v>N</v>
      </c>
    </row>
    <row r="21" spans="2:19" ht="15">
      <c r="B21" s="14"/>
      <c r="C21" s="17"/>
      <c r="D21" s="14"/>
      <c r="F21" s="89" t="s">
        <v>125</v>
      </c>
      <c r="G21" s="89"/>
      <c r="H21" s="89"/>
      <c r="I21" s="89"/>
      <c r="J21" s="89"/>
      <c r="K21" s="89"/>
      <c r="L21" s="89"/>
      <c r="M21" s="89"/>
      <c r="P21" s="94">
        <v>2030</v>
      </c>
      <c r="Q21" s="94">
        <f t="shared" si="1"/>
        <v>73.12547088447155</v>
      </c>
      <c r="R21" s="94">
        <f t="shared" si="2"/>
        <v>-68.17426347661146</v>
      </c>
      <c r="S21" s="94" t="str">
        <f t="shared" si="3"/>
        <v>N</v>
      </c>
    </row>
    <row r="22" spans="2:19" ht="18.75">
      <c r="B22" s="14" t="s">
        <v>107</v>
      </c>
      <c r="C22" s="16">
        <f>SUM(K12:K17)</f>
        <v>5</v>
      </c>
      <c r="D22" s="14" t="s">
        <v>3</v>
      </c>
      <c r="F22" s="82" t="s">
        <v>126</v>
      </c>
      <c r="G22" s="82"/>
      <c r="H22" s="82"/>
      <c r="I22" s="82"/>
      <c r="J22" s="82"/>
      <c r="K22" s="82"/>
      <c r="L22" s="82"/>
      <c r="M22" s="82"/>
      <c r="N22" s="50"/>
      <c r="P22" s="94">
        <v>2040</v>
      </c>
      <c r="Q22" s="94">
        <f t="shared" si="1"/>
        <v>73.06770072260991</v>
      </c>
      <c r="R22" s="94">
        <f t="shared" si="2"/>
        <v>-68.01521406928609</v>
      </c>
      <c r="S22" s="94" t="str">
        <f t="shared" si="3"/>
        <v>N</v>
      </c>
    </row>
    <row r="23" spans="2:19" ht="18.75">
      <c r="B23" s="9" t="s">
        <v>51</v>
      </c>
      <c r="C23" s="10">
        <v>75</v>
      </c>
      <c r="D23" s="9" t="s">
        <v>4</v>
      </c>
      <c r="N23" s="50"/>
      <c r="P23" s="95">
        <v>2050</v>
      </c>
      <c r="Q23" s="94">
        <f t="shared" si="1"/>
        <v>73.00993056074827</v>
      </c>
      <c r="R23" s="94">
        <f t="shared" si="2"/>
        <v>-67.85549337925684</v>
      </c>
      <c r="S23" s="94" t="str">
        <f t="shared" si="3"/>
        <v>N</v>
      </c>
    </row>
    <row r="24" spans="2:19" ht="18.75">
      <c r="B24" s="14" t="s">
        <v>108</v>
      </c>
      <c r="C24" s="16">
        <f>Po.peak/C23*100</f>
        <v>6.666666666666667</v>
      </c>
      <c r="D24" s="14" t="s">
        <v>3</v>
      </c>
      <c r="N24" s="50"/>
      <c r="P24" s="94">
        <v>2060</v>
      </c>
      <c r="Q24" s="94">
        <f t="shared" si="1"/>
        <v>72.95216039888662</v>
      </c>
      <c r="R24" s="94">
        <f t="shared" si="2"/>
        <v>-67.69510298285594</v>
      </c>
      <c r="S24" s="94" t="str">
        <f t="shared" si="3"/>
        <v>N</v>
      </c>
    </row>
    <row r="25" spans="14:19" ht="14.25">
      <c r="N25" s="50"/>
      <c r="P25" s="94">
        <v>2070</v>
      </c>
      <c r="Q25" s="94">
        <f t="shared" si="1"/>
        <v>72.89439023702498</v>
      </c>
      <c r="R25" s="94">
        <f t="shared" si="2"/>
        <v>-67.53404446316468</v>
      </c>
      <c r="S25" s="94" t="str">
        <f t="shared" si="3"/>
        <v>N</v>
      </c>
    </row>
    <row r="26" spans="1:19" ht="15">
      <c r="A26" s="7" t="s">
        <v>27</v>
      </c>
      <c r="B26" s="7"/>
      <c r="C26" s="7"/>
      <c r="D26" s="7"/>
      <c r="E26" s="7"/>
      <c r="F26" s="7"/>
      <c r="G26" s="7"/>
      <c r="H26" s="7"/>
      <c r="I26" s="7"/>
      <c r="N26" s="50"/>
      <c r="P26" s="95">
        <v>2080</v>
      </c>
      <c r="Q26" s="94">
        <f t="shared" si="1"/>
        <v>72.83662007516332</v>
      </c>
      <c r="R26" s="94">
        <f t="shared" si="2"/>
        <v>-67.37231940971931</v>
      </c>
      <c r="S26" s="94" t="str">
        <f t="shared" si="3"/>
        <v>N</v>
      </c>
    </row>
    <row r="27" spans="2:19" ht="18.75">
      <c r="B27" s="9" t="s">
        <v>52</v>
      </c>
      <c r="C27" s="10">
        <v>13.6</v>
      </c>
      <c r="D27" s="9" t="s">
        <v>14</v>
      </c>
      <c r="N27" s="50"/>
      <c r="P27" s="94">
        <v>2090</v>
      </c>
      <c r="Q27" s="94">
        <f t="shared" si="1"/>
        <v>72.77884991330168</v>
      </c>
      <c r="R27" s="94">
        <f t="shared" si="2"/>
        <v>-67.2099294186808</v>
      </c>
      <c r="S27" s="94" t="str">
        <f t="shared" si="3"/>
        <v>N</v>
      </c>
    </row>
    <row r="28" spans="2:19" ht="18.75">
      <c r="B28" s="9" t="s">
        <v>111</v>
      </c>
      <c r="C28" s="10">
        <v>0.2</v>
      </c>
      <c r="D28" s="9"/>
      <c r="N28" s="50"/>
      <c r="P28" s="94">
        <v>2100</v>
      </c>
      <c r="Q28" s="94">
        <f t="shared" si="1"/>
        <v>72.72107975144003</v>
      </c>
      <c r="R28" s="94">
        <f t="shared" si="2"/>
        <v>-67.0468760927728</v>
      </c>
      <c r="S28" s="94" t="str">
        <f t="shared" si="3"/>
        <v>N</v>
      </c>
    </row>
    <row r="29" spans="2:19" ht="18.75">
      <c r="B29" s="14" t="s">
        <v>53</v>
      </c>
      <c r="C29" s="13">
        <f>SQRT(2*V_line_min^2-Pin*(1-Dch)/Cdc/fL)</f>
        <v>81.2826103486966</v>
      </c>
      <c r="D29" s="14" t="s">
        <v>1</v>
      </c>
      <c r="E29" s="70"/>
      <c r="N29" s="50"/>
      <c r="P29" s="95">
        <v>2110</v>
      </c>
      <c r="Q29" s="94">
        <f t="shared" si="1"/>
        <v>72.66330958957839</v>
      </c>
      <c r="R29" s="94">
        <f t="shared" si="2"/>
        <v>-66.88316104121836</v>
      </c>
      <c r="S29" s="94" t="str">
        <f t="shared" si="3"/>
        <v>N</v>
      </c>
    </row>
    <row r="30" spans="2:19" ht="18.75">
      <c r="B30" s="14" t="s">
        <v>54</v>
      </c>
      <c r="C30" s="13">
        <f>SQRT(2)*V_line_max</f>
        <v>373.3523804664971</v>
      </c>
      <c r="D30" s="14" t="s">
        <v>1</v>
      </c>
      <c r="N30" s="50"/>
      <c r="P30" s="94">
        <v>2120</v>
      </c>
      <c r="Q30" s="94">
        <f t="shared" si="1"/>
        <v>72.60553942771675</v>
      </c>
      <c r="R30" s="94">
        <f t="shared" si="2"/>
        <v>-66.718785879866</v>
      </c>
      <c r="S30" s="94" t="str">
        <f t="shared" si="3"/>
        <v>N</v>
      </c>
    </row>
    <row r="31" spans="2:19" ht="15">
      <c r="B31" s="14"/>
      <c r="C31" s="73"/>
      <c r="D31" s="14"/>
      <c r="N31" s="50"/>
      <c r="P31" s="94">
        <v>2130</v>
      </c>
      <c r="Q31" s="94">
        <f t="shared" si="1"/>
        <v>72.5477692658551</v>
      </c>
      <c r="R31" s="94">
        <f t="shared" si="2"/>
        <v>-66.55375223108011</v>
      </c>
      <c r="S31" s="94" t="str">
        <f t="shared" si="3"/>
        <v>N</v>
      </c>
    </row>
    <row r="32" spans="2:19" ht="18.75">
      <c r="B32" s="14" t="s">
        <v>109</v>
      </c>
      <c r="C32" s="13">
        <f>SQRT(2*V_line_min^2-Pin.peak*(1-Dch)/Cdc/fL)</f>
        <v>81.2826103486966</v>
      </c>
      <c r="D32" s="14" t="s">
        <v>1</v>
      </c>
      <c r="N32" s="50"/>
      <c r="P32" s="95">
        <v>2140</v>
      </c>
      <c r="Q32" s="94">
        <f t="shared" si="1"/>
        <v>72.48999910399345</v>
      </c>
      <c r="R32" s="94">
        <f t="shared" si="2"/>
        <v>-66.3880617235806</v>
      </c>
      <c r="S32" s="94" t="str">
        <f t="shared" si="3"/>
        <v>N</v>
      </c>
    </row>
    <row r="33" spans="2:19" ht="18.75">
      <c r="B33" s="14" t="s">
        <v>110</v>
      </c>
      <c r="C33" s="13">
        <f>SQRT(2)*V_line_max</f>
        <v>373.3523804664971</v>
      </c>
      <c r="D33" s="14" t="s">
        <v>1</v>
      </c>
      <c r="N33" s="50"/>
      <c r="P33" s="94">
        <v>2150</v>
      </c>
      <c r="Q33" s="94">
        <f t="shared" si="1"/>
        <v>72.43222894213181</v>
      </c>
      <c r="R33" s="94">
        <f t="shared" si="2"/>
        <v>-66.22171599276183</v>
      </c>
      <c r="S33" s="94" t="str">
        <f t="shared" si="3"/>
        <v>N</v>
      </c>
    </row>
    <row r="34" spans="14:19" ht="14.25">
      <c r="N34" s="50"/>
      <c r="P34" s="94">
        <v>2160</v>
      </c>
      <c r="Q34" s="94">
        <f t="shared" si="1"/>
        <v>72.37445878027016</v>
      </c>
      <c r="R34" s="94">
        <f t="shared" si="2"/>
        <v>-66.05471668034114</v>
      </c>
      <c r="S34" s="94" t="str">
        <f t="shared" si="3"/>
        <v>N</v>
      </c>
    </row>
    <row r="35" spans="1:19" ht="15">
      <c r="A35" s="7" t="s">
        <v>8</v>
      </c>
      <c r="B35" s="7"/>
      <c r="C35" s="7"/>
      <c r="D35" s="7"/>
      <c r="E35" s="7"/>
      <c r="F35" s="7"/>
      <c r="G35" s="7"/>
      <c r="H35" s="7"/>
      <c r="I35" s="7"/>
      <c r="N35" s="50"/>
      <c r="P35" s="95">
        <v>2170</v>
      </c>
      <c r="Q35" s="94">
        <f t="shared" si="1"/>
        <v>72.31668861840852</v>
      </c>
      <c r="R35" s="94">
        <f t="shared" si="2"/>
        <v>-65.88706543453432</v>
      </c>
      <c r="S35" s="94" t="str">
        <f t="shared" si="3"/>
        <v>N</v>
      </c>
    </row>
    <row r="36" spans="2:19" ht="18.75">
      <c r="B36" s="9" t="s">
        <v>129</v>
      </c>
      <c r="C36" s="74">
        <v>85</v>
      </c>
      <c r="D36" s="71" t="s">
        <v>121</v>
      </c>
      <c r="F36" s="76">
        <f>14.6*50/8</f>
        <v>91.25</v>
      </c>
      <c r="N36" s="50"/>
      <c r="P36" s="94">
        <v>2180</v>
      </c>
      <c r="Q36" s="94">
        <f t="shared" si="1"/>
        <v>72.25891845654687</v>
      </c>
      <c r="R36" s="94">
        <f t="shared" si="2"/>
        <v>-65.71876390999148</v>
      </c>
      <c r="S36" s="94" t="str">
        <f t="shared" si="3"/>
        <v>N</v>
      </c>
    </row>
    <row r="37" spans="2:19" ht="15">
      <c r="B37" s="14" t="s">
        <v>120</v>
      </c>
      <c r="C37" s="49">
        <f>ROUNDUP(VRO/(Vdc_min+VRO),3)</f>
        <v>0.512</v>
      </c>
      <c r="D37" s="14"/>
      <c r="F37" s="18"/>
      <c r="N37" s="50"/>
      <c r="P37" s="94">
        <v>2190</v>
      </c>
      <c r="Q37" s="94">
        <f t="shared" si="1"/>
        <v>72.20114829468523</v>
      </c>
      <c r="R37" s="94">
        <f t="shared" si="2"/>
        <v>-65.54981376773172</v>
      </c>
      <c r="S37" s="94" t="str">
        <f t="shared" si="3"/>
        <v>N</v>
      </c>
    </row>
    <row r="38" spans="2:19" ht="18.75">
      <c r="B38" s="9" t="s">
        <v>119</v>
      </c>
      <c r="C38" s="10">
        <v>0.4</v>
      </c>
      <c r="D38" s="14"/>
      <c r="E38" s="69" t="str">
        <f>IF(Dmax&gt;C37,"---&gt; need to be reduced",IF(Dmax=C37,"---&gt;CCM operation","---&gt;DCM operation"))</f>
        <v>---&gt;DCM operation</v>
      </c>
      <c r="F38" s="18"/>
      <c r="N38" s="50"/>
      <c r="P38" s="95">
        <v>2200</v>
      </c>
      <c r="Q38" s="94">
        <f t="shared" si="1"/>
        <v>72.14337813282357</v>
      </c>
      <c r="R38" s="94">
        <f t="shared" si="2"/>
        <v>-65.38021667532254</v>
      </c>
      <c r="S38" s="94" t="str">
        <f t="shared" si="3"/>
        <v>N</v>
      </c>
    </row>
    <row r="39" spans="2:19" ht="18.75">
      <c r="B39" s="14" t="s">
        <v>55</v>
      </c>
      <c r="C39" s="13">
        <f>SQRT(2)*V_line_max+VRO</f>
        <v>458.3523804664971</v>
      </c>
      <c r="D39" s="14" t="s">
        <v>1</v>
      </c>
      <c r="E39" s="3">
        <f>VRO/Vo1</f>
        <v>17</v>
      </c>
      <c r="N39" s="50"/>
      <c r="P39" s="94">
        <v>2210</v>
      </c>
      <c r="Q39" s="94">
        <f t="shared" si="1"/>
        <v>72.08560797096193</v>
      </c>
      <c r="R39" s="94">
        <f t="shared" si="2"/>
        <v>-65.20997430652059</v>
      </c>
      <c r="S39" s="94" t="str">
        <f t="shared" si="3"/>
        <v>N</v>
      </c>
    </row>
    <row r="40" spans="14:19" ht="14.25">
      <c r="N40" s="50"/>
      <c r="P40" s="94">
        <v>2220</v>
      </c>
      <c r="Q40" s="94">
        <f t="shared" si="1"/>
        <v>72.02783780910028</v>
      </c>
      <c r="R40" s="94">
        <f t="shared" si="2"/>
        <v>-65.03908834159836</v>
      </c>
      <c r="S40" s="94" t="str">
        <f t="shared" si="3"/>
        <v>N</v>
      </c>
    </row>
    <row r="41" spans="1:19" ht="15">
      <c r="A41" s="7" t="s">
        <v>18</v>
      </c>
      <c r="B41" s="7"/>
      <c r="C41" s="7"/>
      <c r="D41" s="7"/>
      <c r="E41" s="7"/>
      <c r="F41" s="7"/>
      <c r="G41" s="7"/>
      <c r="H41" s="7"/>
      <c r="I41" s="7"/>
      <c r="N41" s="50"/>
      <c r="P41" s="95">
        <v>2230</v>
      </c>
      <c r="Q41" s="94">
        <f t="shared" si="1"/>
        <v>71.97006764723864</v>
      </c>
      <c r="R41" s="94">
        <f t="shared" si="2"/>
        <v>-64.86756046718101</v>
      </c>
      <c r="S41" s="94" t="str">
        <f t="shared" si="3"/>
        <v>N</v>
      </c>
    </row>
    <row r="42" spans="2:19" ht="18.75">
      <c r="B42" s="14" t="s">
        <v>162</v>
      </c>
      <c r="C42" s="13">
        <v>67</v>
      </c>
      <c r="D42" s="14" t="s">
        <v>41</v>
      </c>
      <c r="E42" s="69"/>
      <c r="G42" s="9"/>
      <c r="N42" s="50"/>
      <c r="P42" s="94">
        <v>2240</v>
      </c>
      <c r="Q42" s="94">
        <f t="shared" si="1"/>
        <v>71.912297485377</v>
      </c>
      <c r="R42" s="94">
        <f t="shared" si="2"/>
        <v>-64.6953923761301</v>
      </c>
      <c r="S42" s="94" t="str">
        <f t="shared" si="3"/>
        <v>N</v>
      </c>
    </row>
    <row r="43" spans="2:19" ht="18.75">
      <c r="B43" s="9" t="s">
        <v>56</v>
      </c>
      <c r="C43" s="10">
        <v>1</v>
      </c>
      <c r="D43" s="9"/>
      <c r="E43" s="69" t="str">
        <f>IF(KRF&gt;1,"---&gt;KRF can not be higher than 1",IF(Dmax=C37,IF(KRF&lt;1,"---&gt;ok","---&gt;KRF should be under 1"),IF(KRF&lt;1,"---&gt;KRF should be 1","---&gt;ok")))</f>
        <v>---&gt;ok</v>
      </c>
      <c r="N43" s="50"/>
      <c r="P43" s="94">
        <v>2250</v>
      </c>
      <c r="Q43" s="94">
        <f t="shared" si="1"/>
        <v>71.85452732351534</v>
      </c>
      <c r="R43" s="94">
        <f t="shared" si="2"/>
        <v>-64.52258576767515</v>
      </c>
      <c r="S43" s="94" t="str">
        <f t="shared" si="3"/>
        <v>N</v>
      </c>
    </row>
    <row r="44" spans="2:19" ht="18.75">
      <c r="B44" s="14" t="s">
        <v>57</v>
      </c>
      <c r="C44" s="13">
        <f>(Vdc_min*Dmax)^2/(2*Pin*fs*KRF)*1000000</f>
        <v>1183.318700614574</v>
      </c>
      <c r="D44" s="14" t="s">
        <v>5</v>
      </c>
      <c r="N44" s="50"/>
      <c r="P44" s="95">
        <v>2260</v>
      </c>
      <c r="Q44" s="94">
        <f t="shared" si="1"/>
        <v>71.7967571616537</v>
      </c>
      <c r="R44" s="94">
        <f t="shared" si="2"/>
        <v>-64.34914234729733</v>
      </c>
      <c r="S44" s="94" t="str">
        <f t="shared" si="3"/>
        <v>N</v>
      </c>
    </row>
    <row r="45" spans="2:19" ht="18.75">
      <c r="B45" s="9" t="s">
        <v>130</v>
      </c>
      <c r="C45" s="10">
        <v>7</v>
      </c>
      <c r="D45" s="14" t="s">
        <v>122</v>
      </c>
      <c r="N45" s="50"/>
      <c r="P45" s="94">
        <v>2270</v>
      </c>
      <c r="Q45" s="94">
        <f t="shared" si="1"/>
        <v>71.73898699979205</v>
      </c>
      <c r="R45" s="94">
        <f t="shared" si="2"/>
        <v>-64.17506382691357</v>
      </c>
      <c r="S45" s="94" t="str">
        <f t="shared" si="3"/>
        <v>N</v>
      </c>
    </row>
    <row r="46" spans="2:19" ht="18.75">
      <c r="B46" s="14" t="s">
        <v>58</v>
      </c>
      <c r="C46" s="19">
        <f>Pin/(Vdc_min*Dmax)+Vdc_min*Dmax/(2*Lm*(1-Lm_D/100)*fs*0.9)</f>
        <v>0.4500230985881052</v>
      </c>
      <c r="D46" s="14" t="s">
        <v>7</v>
      </c>
      <c r="N46" s="50"/>
      <c r="P46" s="94">
        <v>2280</v>
      </c>
      <c r="Q46" s="94">
        <f t="shared" si="1"/>
        <v>71.6812168379304</v>
      </c>
      <c r="R46" s="94">
        <f t="shared" si="2"/>
        <v>-64.00035192455852</v>
      </c>
      <c r="S46" s="94" t="str">
        <f t="shared" si="3"/>
        <v>N</v>
      </c>
    </row>
    <row r="47" spans="2:19" ht="18.75">
      <c r="B47" s="14" t="s">
        <v>59</v>
      </c>
      <c r="C47" s="19">
        <f>SQRT((3*(Pin/Vdc_min/Dmax)^2+(Vdc_min*Dmax/Lm/fs/2)^2)*Dmax/3)</f>
        <v>0.14974435905525602</v>
      </c>
      <c r="D47" s="14" t="s">
        <v>7</v>
      </c>
      <c r="E47" s="20"/>
      <c r="F47" s="77">
        <f>SQRT(Pin/VRO^2*Lm*fs)*VRO/(1-SQRT(Pin/VRO^2*Lm*fs))</f>
        <v>31.513830064342244</v>
      </c>
      <c r="N47" s="50"/>
      <c r="P47" s="95">
        <v>2290</v>
      </c>
      <c r="Q47" s="94">
        <f t="shared" si="1"/>
        <v>71.62344667606877</v>
      </c>
      <c r="R47" s="94">
        <f t="shared" si="2"/>
        <v>-63.82500836456807</v>
      </c>
      <c r="S47" s="94" t="str">
        <f t="shared" si="3"/>
        <v>N</v>
      </c>
    </row>
    <row r="48" spans="2:19" ht="18.75">
      <c r="B48" s="14" t="s">
        <v>124</v>
      </c>
      <c r="C48" s="13">
        <f>IF(1/(1/SQRT(2*Lm*fs*Pin)-1/VRO)&gt;0,IF(1/(1/SQRT(2*Lm*fs*Pin)-1/VRO)&gt;Vdc_max,Vdc_max,1/(1/SQRT(2*Lm*fs*Pin)-1/VRO)),Vdc_max)</f>
        <v>52.653248917687044</v>
      </c>
      <c r="D48" s="14" t="s">
        <v>1</v>
      </c>
      <c r="N48" s="50"/>
      <c r="P48" s="94">
        <v>2300</v>
      </c>
      <c r="Q48" s="94">
        <f t="shared" si="1"/>
        <v>71.56567651420711</v>
      </c>
      <c r="R48" s="94">
        <f t="shared" si="2"/>
        <v>-63.64903487741034</v>
      </c>
      <c r="S48" s="94" t="str">
        <f t="shared" si="3"/>
        <v>N</v>
      </c>
    </row>
    <row r="49" spans="2:19" ht="15">
      <c r="B49" s="14"/>
      <c r="C49" s="15"/>
      <c r="D49" s="14"/>
      <c r="N49" s="50"/>
      <c r="P49" s="94">
        <v>2310</v>
      </c>
      <c r="Q49" s="94">
        <f t="shared" si="1"/>
        <v>71.50790635234547</v>
      </c>
      <c r="R49" s="94">
        <f t="shared" si="2"/>
        <v>-63.47243320007634</v>
      </c>
      <c r="S49" s="94" t="str">
        <f t="shared" si="3"/>
        <v>N</v>
      </c>
    </row>
    <row r="50" spans="2:19" ht="15">
      <c r="B50" s="14" t="s">
        <v>123</v>
      </c>
      <c r="C50" s="13">
        <f>IF(1/(1/SQRT(2*Lm*fs*Pin.peak)-1/VRO)&gt;0,IF(1/(1/SQRT(2*Lm*fs*Pin.peak)-1/VRO)&gt;Vdc_max,Vdc_max,1/(1/SQRT(2*Lm*fs*Pin.peak)-1/VRO)),Vdc_max)</f>
        <v>52.653248917687044</v>
      </c>
      <c r="D50" s="14" t="s">
        <v>1</v>
      </c>
      <c r="N50" s="50"/>
      <c r="P50" s="95">
        <v>2320</v>
      </c>
      <c r="Q50" s="94">
        <f aca="true" t="shared" si="4" ref="Q50:Q81">Vbr_out*SQRT(2)-Pin/(Cdc*Vbr_out*SQRT(2))*P50*10^-6</f>
        <v>71.45013619048382</v>
      </c>
      <c r="R50" s="94">
        <f aca="true" t="shared" si="5" ref="R50:R81">-Vbr_out*SQRT(2)*COS(2*PI()*fL*(P50*10^-6-0.5*fL))</f>
        <v>-63.295205075451655</v>
      </c>
      <c r="S50" s="94" t="str">
        <f t="shared" si="3"/>
        <v>N</v>
      </c>
    </row>
    <row r="51" spans="2:19" ht="18.75">
      <c r="B51" s="14" t="s">
        <v>112</v>
      </c>
      <c r="C51" s="49">
        <f>IF(C50&gt;Vdc_min_peak,VRO/(VRO+Vdc_min_peak),SQRT(2*Lm*fs*Pin.peak)/Vdc_min_peak)</f>
        <v>0.4</v>
      </c>
      <c r="D51" s="14"/>
      <c r="E51" s="69" t="str">
        <f>IF(Dmax.peak&gt;0.71,"Need to reduce Dmax.peak",IF(C50&gt;Vdc_min_peak,"---&gt; CCM","---&gt; DCM"))</f>
        <v>---&gt; DCM</v>
      </c>
      <c r="N51" s="50"/>
      <c r="P51" s="94">
        <v>2330</v>
      </c>
      <c r="Q51" s="94">
        <f t="shared" si="4"/>
        <v>71.39236602862218</v>
      </c>
      <c r="R51" s="94">
        <f t="shared" si="5"/>
        <v>-63.11735225270631</v>
      </c>
      <c r="S51" s="94" t="str">
        <f t="shared" si="3"/>
        <v>N</v>
      </c>
    </row>
    <row r="52" spans="2:19" ht="18.75">
      <c r="B52" s="14" t="s">
        <v>113</v>
      </c>
      <c r="C52" s="19">
        <f>Pin.peak/(Vdc_min_peak*Dmax.peak)+Vdc_min_peak*Dmax.peak/(2*Lm*(1-Lm_D/100)*fs*0.9)</f>
        <v>0.4500230985881052</v>
      </c>
      <c r="D52" s="14" t="s">
        <v>114</v>
      </c>
      <c r="N52" s="50"/>
      <c r="P52" s="94">
        <v>2340</v>
      </c>
      <c r="Q52" s="94">
        <f t="shared" si="4"/>
        <v>71.33459586676054</v>
      </c>
      <c r="R52" s="94">
        <f t="shared" si="5"/>
        <v>-62.938876487124105</v>
      </c>
      <c r="S52" s="94" t="str">
        <f t="shared" si="3"/>
        <v>N</v>
      </c>
    </row>
    <row r="53" spans="14:19" ht="14.25">
      <c r="N53" s="50"/>
      <c r="P53" s="95">
        <v>2350</v>
      </c>
      <c r="Q53" s="94">
        <f t="shared" si="4"/>
        <v>71.27682570489888</v>
      </c>
      <c r="R53" s="94">
        <f t="shared" si="5"/>
        <v>-62.75977954029214</v>
      </c>
      <c r="S53" s="94" t="str">
        <f t="shared" si="3"/>
        <v>N</v>
      </c>
    </row>
    <row r="54" spans="1:19" ht="15">
      <c r="A54" s="7" t="s">
        <v>19</v>
      </c>
      <c r="B54" s="7"/>
      <c r="C54" s="7"/>
      <c r="D54" s="7"/>
      <c r="E54" s="7"/>
      <c r="F54" s="7"/>
      <c r="G54" s="7"/>
      <c r="H54" s="7"/>
      <c r="I54" s="7"/>
      <c r="N54" s="50"/>
      <c r="P54" s="94">
        <v>2360</v>
      </c>
      <c r="Q54" s="94">
        <f t="shared" si="4"/>
        <v>71.21905554303724</v>
      </c>
      <c r="R54" s="94">
        <f t="shared" si="5"/>
        <v>-62.58006317977338</v>
      </c>
      <c r="S54" s="94" t="str">
        <f t="shared" si="3"/>
        <v>N</v>
      </c>
    </row>
    <row r="55" spans="2:19" ht="18.75">
      <c r="B55" s="81" t="s">
        <v>164</v>
      </c>
      <c r="C55" s="19">
        <v>0.6</v>
      </c>
      <c r="D55" s="14" t="s">
        <v>36</v>
      </c>
      <c r="E55" s="69"/>
      <c r="N55" s="50"/>
      <c r="P55" s="94">
        <v>2370</v>
      </c>
      <c r="Q55" s="94">
        <f t="shared" si="4"/>
        <v>71.16128538117559</v>
      </c>
      <c r="R55" s="94">
        <f t="shared" si="5"/>
        <v>-62.39972917929576</v>
      </c>
      <c r="S55" s="94" t="str">
        <f t="shared" si="3"/>
        <v>N</v>
      </c>
    </row>
    <row r="56" spans="2:19" ht="18.75">
      <c r="B56" s="78" t="s">
        <v>131</v>
      </c>
      <c r="C56" s="19">
        <f>Ilim*0.88</f>
        <v>0.528</v>
      </c>
      <c r="D56" s="14" t="s">
        <v>7</v>
      </c>
      <c r="E56" s="22" t="s">
        <v>42</v>
      </c>
      <c r="F56" s="86">
        <f>Ipk.peak</f>
        <v>0.4500230985881052</v>
      </c>
      <c r="G56" s="96"/>
      <c r="H56" s="23" t="s">
        <v>7</v>
      </c>
      <c r="N56" s="50"/>
      <c r="P56" s="95">
        <v>2380</v>
      </c>
      <c r="Q56" s="94">
        <f t="shared" si="4"/>
        <v>71.10351521931395</v>
      </c>
      <c r="R56" s="94">
        <f t="shared" si="5"/>
        <v>-62.218779318683055</v>
      </c>
      <c r="S56" s="94" t="str">
        <f t="shared" si="3"/>
        <v>N</v>
      </c>
    </row>
    <row r="57" spans="3:19" ht="15">
      <c r="C57" s="68" t="str">
        <f>IF(C56&lt;F56,"-&gt;Higher current limit is required !!!","-&gt;O.K.")</f>
        <v>-&gt;O.K.</v>
      </c>
      <c r="N57" s="50"/>
      <c r="P57" s="94">
        <v>2390</v>
      </c>
      <c r="Q57" s="94">
        <f t="shared" si="4"/>
        <v>71.04574505745231</v>
      </c>
      <c r="R57" s="94">
        <f t="shared" si="5"/>
        <v>-62.03721538378469</v>
      </c>
      <c r="S57" s="94" t="str">
        <f t="shared" si="3"/>
        <v>N</v>
      </c>
    </row>
    <row r="58" spans="14:19" ht="14.25">
      <c r="N58" s="50"/>
      <c r="P58" s="94">
        <v>2400</v>
      </c>
      <c r="Q58" s="94">
        <f t="shared" si="4"/>
        <v>70.98797489559065</v>
      </c>
      <c r="R58" s="94">
        <f t="shared" si="5"/>
        <v>-61.855039166615704</v>
      </c>
      <c r="S58" s="94" t="str">
        <f t="shared" si="3"/>
        <v>N</v>
      </c>
    </row>
    <row r="59" spans="1:19" ht="15">
      <c r="A59" s="7" t="s">
        <v>28</v>
      </c>
      <c r="B59" s="7"/>
      <c r="C59" s="7"/>
      <c r="D59" s="7"/>
      <c r="E59" s="7"/>
      <c r="F59" s="7"/>
      <c r="G59" s="7"/>
      <c r="H59" s="7"/>
      <c r="I59" s="7"/>
      <c r="N59" s="50"/>
      <c r="P59" s="95">
        <v>2410</v>
      </c>
      <c r="Q59" s="94">
        <f t="shared" si="4"/>
        <v>70.93020473372901</v>
      </c>
      <c r="R59" s="94">
        <f t="shared" si="5"/>
        <v>-61.6722524652348</v>
      </c>
      <c r="S59" s="94" t="str">
        <f t="shared" si="3"/>
        <v>N</v>
      </c>
    </row>
    <row r="60" spans="2:19" ht="18.75">
      <c r="B60" s="9" t="s">
        <v>60</v>
      </c>
      <c r="C60" s="12">
        <v>0.32</v>
      </c>
      <c r="D60" s="9" t="s">
        <v>9</v>
      </c>
      <c r="E60" s="24">
        <f>IF(Bsat&gt;0.32,"---&gt;Please check the datasheet of the core once again !!!","")</f>
      </c>
      <c r="N60" s="50"/>
      <c r="P60" s="94">
        <v>2420</v>
      </c>
      <c r="Q60" s="94">
        <f t="shared" si="4"/>
        <v>70.87243457186736</v>
      </c>
      <c r="R60" s="94">
        <f t="shared" si="5"/>
        <v>-61.48885708356711</v>
      </c>
      <c r="S60" s="94" t="str">
        <f t="shared" si="3"/>
        <v>N</v>
      </c>
    </row>
    <row r="61" spans="2:19" ht="18.75">
      <c r="B61" s="9" t="s">
        <v>61</v>
      </c>
      <c r="C61" s="10">
        <v>22</v>
      </c>
      <c r="D61" s="9" t="s">
        <v>62</v>
      </c>
      <c r="E61" s="20"/>
      <c r="N61" s="50"/>
      <c r="P61" s="94">
        <v>2430</v>
      </c>
      <c r="Q61" s="94">
        <f t="shared" si="4"/>
        <v>70.81466441000572</v>
      </c>
      <c r="R61" s="94">
        <f t="shared" si="5"/>
        <v>-61.3048548317572</v>
      </c>
      <c r="S61" s="94" t="str">
        <f t="shared" si="3"/>
        <v>N</v>
      </c>
    </row>
    <row r="62" spans="2:19" ht="17.25">
      <c r="B62" s="78" t="s">
        <v>132</v>
      </c>
      <c r="C62" s="16">
        <f>Lm*(1+Lm_D/100)*Ilim*1.12/Bsat/Ae*1000000</f>
        <v>120.85986910367944</v>
      </c>
      <c r="D62" s="14" t="s">
        <v>9</v>
      </c>
      <c r="E62" s="20"/>
      <c r="N62" s="50"/>
      <c r="P62" s="95">
        <v>2440</v>
      </c>
      <c r="Q62" s="94">
        <f t="shared" si="4"/>
        <v>70.75689424814406</v>
      </c>
      <c r="R62" s="94">
        <f t="shared" si="5"/>
        <v>-61.12024752577998</v>
      </c>
      <c r="S62" s="94" t="str">
        <f t="shared" si="3"/>
        <v>N</v>
      </c>
    </row>
    <row r="63" spans="6:19" ht="15">
      <c r="F63" s="23"/>
      <c r="G63" s="23"/>
      <c r="H63" s="23"/>
      <c r="I63" s="23"/>
      <c r="K63" s="9"/>
      <c r="N63" s="50"/>
      <c r="P63" s="94">
        <v>2450</v>
      </c>
      <c r="Q63" s="94">
        <f t="shared" si="4"/>
        <v>70.69912408628242</v>
      </c>
      <c r="R63" s="94">
        <f t="shared" si="5"/>
        <v>-60.93503698763506</v>
      </c>
      <c r="S63" s="94" t="str">
        <f t="shared" si="3"/>
        <v>N</v>
      </c>
    </row>
    <row r="64" spans="1:19" ht="15">
      <c r="A64" s="7" t="s">
        <v>35</v>
      </c>
      <c r="B64" s="7"/>
      <c r="C64" s="7"/>
      <c r="D64" s="7"/>
      <c r="E64" s="7"/>
      <c r="F64" s="7"/>
      <c r="G64" s="7"/>
      <c r="H64" s="7"/>
      <c r="I64" s="7"/>
      <c r="N64" s="50"/>
      <c r="P64" s="94">
        <v>2460</v>
      </c>
      <c r="Q64" s="94">
        <f t="shared" si="4"/>
        <v>70.64135392442078</v>
      </c>
      <c r="R64" s="94">
        <f t="shared" si="5"/>
        <v>-60.74922504522178</v>
      </c>
      <c r="S64" s="94" t="str">
        <f t="shared" si="3"/>
        <v>N</v>
      </c>
    </row>
    <row r="65" spans="12:19" ht="14.25">
      <c r="L65" s="50"/>
      <c r="N65" s="50"/>
      <c r="P65" s="95">
        <v>2470</v>
      </c>
      <c r="Q65" s="94">
        <f t="shared" si="4"/>
        <v>70.58358376255913</v>
      </c>
      <c r="R65" s="94">
        <f t="shared" si="5"/>
        <v>-60.56281353253659</v>
      </c>
      <c r="S65" s="94" t="str">
        <f t="shared" si="3"/>
        <v>N</v>
      </c>
    </row>
    <row r="66" spans="2:19" ht="16.5">
      <c r="B66" s="11"/>
      <c r="C66" s="1" t="s">
        <v>48</v>
      </c>
      <c r="D66" s="65"/>
      <c r="E66" s="1" t="s">
        <v>63</v>
      </c>
      <c r="F66" s="11"/>
      <c r="G66" s="11"/>
      <c r="H66" s="67"/>
      <c r="I66" s="87" t="s">
        <v>118</v>
      </c>
      <c r="J66" s="87"/>
      <c r="L66" s="50"/>
      <c r="N66" s="50"/>
      <c r="P66" s="94">
        <v>2480</v>
      </c>
      <c r="Q66" s="94">
        <f t="shared" si="4"/>
        <v>70.52581360069749</v>
      </c>
      <c r="R66" s="94">
        <f t="shared" si="5"/>
        <v>-60.37580428933215</v>
      </c>
      <c r="S66" s="94" t="str">
        <f t="shared" si="3"/>
        <v>N</v>
      </c>
    </row>
    <row r="67" spans="2:19" ht="15">
      <c r="B67" s="78" t="s">
        <v>133</v>
      </c>
      <c r="C67" s="10">
        <v>12</v>
      </c>
      <c r="D67" s="9" t="s">
        <v>1</v>
      </c>
      <c r="E67" s="10">
        <v>1</v>
      </c>
      <c r="F67" s="9" t="s">
        <v>1</v>
      </c>
      <c r="G67" s="25">
        <f>Ns1*(Vcc+VFC)/(Vo1+VF1)</f>
        <v>23.636363636363637</v>
      </c>
      <c r="H67" s="26" t="s">
        <v>10</v>
      </c>
      <c r="I67" s="27">
        <f>ROUND(G67,0)</f>
        <v>24</v>
      </c>
      <c r="J67" s="14" t="s">
        <v>9</v>
      </c>
      <c r="L67" s="50"/>
      <c r="N67" s="50"/>
      <c r="P67" s="94">
        <v>2490</v>
      </c>
      <c r="Q67" s="94">
        <f t="shared" si="4"/>
        <v>70.46804343883585</v>
      </c>
      <c r="R67" s="94">
        <f t="shared" si="5"/>
        <v>-60.1881991612598</v>
      </c>
      <c r="S67" s="94" t="str">
        <f t="shared" si="3"/>
        <v>N</v>
      </c>
    </row>
    <row r="68" spans="2:19" ht="15">
      <c r="B68" s="78" t="s">
        <v>134</v>
      </c>
      <c r="C68" s="28">
        <f>Vo1</f>
        <v>5</v>
      </c>
      <c r="D68" s="21" t="s">
        <v>1</v>
      </c>
      <c r="E68" s="10">
        <v>0.5</v>
      </c>
      <c r="F68" s="9" t="s">
        <v>1</v>
      </c>
      <c r="G68" s="29">
        <v>10</v>
      </c>
      <c r="H68" s="26" t="s">
        <v>10</v>
      </c>
      <c r="I68" s="27">
        <f aca="true" t="shared" si="6" ref="I68:I73">ROUND(G68,0)</f>
        <v>10</v>
      </c>
      <c r="J68" s="14" t="s">
        <v>9</v>
      </c>
      <c r="L68" s="50"/>
      <c r="N68" s="50"/>
      <c r="P68" s="95">
        <v>2500</v>
      </c>
      <c r="Q68" s="94">
        <f t="shared" si="4"/>
        <v>70.4102732769742</v>
      </c>
      <c r="R68" s="94">
        <f t="shared" si="5"/>
        <v>-59.999999999960465</v>
      </c>
      <c r="S68" s="94" t="str">
        <f t="shared" si="3"/>
        <v>N</v>
      </c>
    </row>
    <row r="69" spans="2:19" ht="15">
      <c r="B69" s="78" t="s">
        <v>135</v>
      </c>
      <c r="C69" s="28">
        <f>'FSL series design guideline'!Vo2</f>
        <v>0</v>
      </c>
      <c r="D69" s="21" t="s">
        <v>1</v>
      </c>
      <c r="E69" s="10">
        <v>0</v>
      </c>
      <c r="F69" s="9" t="s">
        <v>1</v>
      </c>
      <c r="G69" s="25">
        <f>Ns1*(Vo2.real+VF2)/(Vo1+VF1)</f>
        <v>0</v>
      </c>
      <c r="H69" s="26" t="s">
        <v>10</v>
      </c>
      <c r="I69" s="27">
        <f t="shared" si="6"/>
        <v>0</v>
      </c>
      <c r="J69" s="14" t="s">
        <v>9</v>
      </c>
      <c r="L69" s="50"/>
      <c r="N69" s="50"/>
      <c r="P69" s="94">
        <v>2510</v>
      </c>
      <c r="Q69" s="94">
        <f t="shared" si="4"/>
        <v>70.35250311511255</v>
      </c>
      <c r="R69" s="94">
        <f t="shared" si="5"/>
        <v>-59.81120866293864</v>
      </c>
      <c r="S69" s="94" t="str">
        <f t="shared" si="3"/>
        <v>N</v>
      </c>
    </row>
    <row r="70" spans="2:19" ht="15">
      <c r="B70" s="78" t="s">
        <v>136</v>
      </c>
      <c r="C70" s="28">
        <f>Vo3</f>
        <v>0</v>
      </c>
      <c r="D70" s="21" t="s">
        <v>1</v>
      </c>
      <c r="E70" s="10">
        <v>0</v>
      </c>
      <c r="F70" s="9" t="s">
        <v>1</v>
      </c>
      <c r="G70" s="25">
        <f>Ns1*(Vo3+VF3)/(Vo1+VF1)</f>
        <v>0</v>
      </c>
      <c r="H70" s="26" t="s">
        <v>10</v>
      </c>
      <c r="I70" s="27">
        <f t="shared" si="6"/>
        <v>0</v>
      </c>
      <c r="J70" s="14" t="s">
        <v>9</v>
      </c>
      <c r="L70" s="50"/>
      <c r="N70" s="50"/>
      <c r="P70" s="94">
        <v>2520</v>
      </c>
      <c r="Q70" s="94">
        <f t="shared" si="4"/>
        <v>70.2947329532509</v>
      </c>
      <c r="R70" s="94">
        <f t="shared" si="5"/>
        <v>-59.62182701343419</v>
      </c>
      <c r="S70" s="94" t="str">
        <f t="shared" si="3"/>
        <v>N</v>
      </c>
    </row>
    <row r="71" spans="2:19" ht="15">
      <c r="B71" s="78" t="s">
        <v>137</v>
      </c>
      <c r="C71" s="28">
        <f>Vo4</f>
        <v>0</v>
      </c>
      <c r="D71" s="21" t="s">
        <v>1</v>
      </c>
      <c r="E71" s="10">
        <v>0</v>
      </c>
      <c r="F71" s="9" t="s">
        <v>1</v>
      </c>
      <c r="G71" s="25">
        <f>Ns1*(Vo4+VF4)/(Vo1+VF1)</f>
        <v>0</v>
      </c>
      <c r="H71" s="26" t="s">
        <v>10</v>
      </c>
      <c r="I71" s="27">
        <f t="shared" si="6"/>
        <v>0</v>
      </c>
      <c r="J71" s="14" t="s">
        <v>9</v>
      </c>
      <c r="L71" s="50"/>
      <c r="N71" s="50"/>
      <c r="P71" s="95">
        <v>2530</v>
      </c>
      <c r="Q71" s="94">
        <f t="shared" si="4"/>
        <v>70.23696279138926</v>
      </c>
      <c r="R71" s="94">
        <f t="shared" si="5"/>
        <v>-59.43185692056755</v>
      </c>
      <c r="S71" s="94" t="str">
        <f t="shared" si="3"/>
        <v>N</v>
      </c>
    </row>
    <row r="72" spans="2:19" ht="15">
      <c r="B72" s="78" t="s">
        <v>138</v>
      </c>
      <c r="C72" s="28">
        <f>Vo5</f>
        <v>0</v>
      </c>
      <c r="D72" s="21" t="s">
        <v>1</v>
      </c>
      <c r="E72" s="10">
        <v>0</v>
      </c>
      <c r="F72" s="9" t="s">
        <v>1</v>
      </c>
      <c r="G72" s="25">
        <f>Ns1*(Vo5+VF5)/(Vo1+VF1)</f>
        <v>0</v>
      </c>
      <c r="H72" s="26" t="s">
        <v>10</v>
      </c>
      <c r="I72" s="27">
        <f t="shared" si="6"/>
        <v>0</v>
      </c>
      <c r="J72" s="14" t="s">
        <v>9</v>
      </c>
      <c r="L72" s="50"/>
      <c r="N72" s="50"/>
      <c r="P72" s="94">
        <v>2540</v>
      </c>
      <c r="Q72" s="94">
        <f t="shared" si="4"/>
        <v>70.1791926295276</v>
      </c>
      <c r="R72" s="94">
        <f t="shared" si="5"/>
        <v>-59.24130025921158</v>
      </c>
      <c r="S72" s="94" t="str">
        <f t="shared" si="3"/>
        <v>N</v>
      </c>
    </row>
    <row r="73" spans="2:19" ht="15">
      <c r="B73" s="78" t="s">
        <v>139</v>
      </c>
      <c r="C73" s="30">
        <f>Vo6</f>
        <v>0</v>
      </c>
      <c r="D73" s="21" t="s">
        <v>1</v>
      </c>
      <c r="E73" s="10">
        <v>0</v>
      </c>
      <c r="F73" s="9" t="s">
        <v>1</v>
      </c>
      <c r="G73" s="25">
        <f>Ns1*(Vo6+VF6)/(Vo1+VF1)</f>
        <v>0</v>
      </c>
      <c r="H73" s="26" t="s">
        <v>10</v>
      </c>
      <c r="I73" s="27">
        <f t="shared" si="6"/>
        <v>0</v>
      </c>
      <c r="J73" s="14" t="s">
        <v>9</v>
      </c>
      <c r="L73" s="50"/>
      <c r="N73" s="50"/>
      <c r="P73" s="94">
        <v>2550</v>
      </c>
      <c r="Q73" s="94">
        <f t="shared" si="4"/>
        <v>70.12142246766597</v>
      </c>
      <c r="R73" s="94">
        <f t="shared" si="5"/>
        <v>-59.05015891019393</v>
      </c>
      <c r="S73" s="94" t="str">
        <f t="shared" si="3"/>
        <v>N</v>
      </c>
    </row>
    <row r="74" spans="2:19" ht="16.5">
      <c r="B74" s="31" t="s">
        <v>43</v>
      </c>
      <c r="E74" s="32" t="s">
        <v>64</v>
      </c>
      <c r="F74" s="32"/>
      <c r="G74" s="32"/>
      <c r="H74" s="32"/>
      <c r="I74" s="13">
        <f>VRO/(C68+E68)*Ns1</f>
        <v>154.54545454545456</v>
      </c>
      <c r="J74" s="14" t="s">
        <v>9</v>
      </c>
      <c r="L74" s="50"/>
      <c r="N74" s="50"/>
      <c r="P74" s="95">
        <v>2560</v>
      </c>
      <c r="Q74" s="94">
        <f t="shared" si="4"/>
        <v>70.06365230580431</v>
      </c>
      <c r="R74" s="94">
        <f t="shared" si="5"/>
        <v>-58.85843475994748</v>
      </c>
      <c r="S74" s="94" t="str">
        <f t="shared" si="3"/>
        <v>N</v>
      </c>
    </row>
    <row r="75" spans="4:19" ht="15">
      <c r="D75" s="32"/>
      <c r="E75" s="24" t="str">
        <f>IF(I74&lt;C62,"---&gt;More turns required !!!","---&gt;enough turns")</f>
        <v>---&gt;enough turns</v>
      </c>
      <c r="F75" s="24"/>
      <c r="G75" s="24"/>
      <c r="H75" s="24"/>
      <c r="I75" s="24"/>
      <c r="L75" s="50"/>
      <c r="N75" s="50"/>
      <c r="P75" s="94">
        <v>2570</v>
      </c>
      <c r="Q75" s="94">
        <f t="shared" si="4"/>
        <v>70.00588214394267</v>
      </c>
      <c r="R75" s="94">
        <f t="shared" si="5"/>
        <v>-58.66612970071217</v>
      </c>
      <c r="S75" s="94" t="str">
        <f t="shared" si="3"/>
        <v>N</v>
      </c>
    </row>
    <row r="76" spans="2:19" ht="16.5">
      <c r="B76" s="9" t="s">
        <v>37</v>
      </c>
      <c r="C76" s="10">
        <v>2000</v>
      </c>
      <c r="D76" s="3" t="s">
        <v>65</v>
      </c>
      <c r="J76" s="24"/>
      <c r="N76" s="50"/>
      <c r="P76" s="94">
        <v>2580</v>
      </c>
      <c r="Q76" s="94">
        <f t="shared" si="4"/>
        <v>69.94811198208103</v>
      </c>
      <c r="R76" s="94">
        <f t="shared" si="5"/>
        <v>-58.47324563046132</v>
      </c>
      <c r="S76" s="94" t="str">
        <f t="shared" si="3"/>
        <v>N</v>
      </c>
    </row>
    <row r="77" spans="2:19" ht="15">
      <c r="B77" s="14" t="s">
        <v>44</v>
      </c>
      <c r="C77" s="27">
        <f>0.4*3.14*Ae*(Np^2/10^9/Lm-1/AL)</f>
        <v>0.5439127917009541</v>
      </c>
      <c r="D77" s="14" t="s">
        <v>11</v>
      </c>
      <c r="N77" s="50"/>
      <c r="P77" s="95">
        <v>2590</v>
      </c>
      <c r="Q77" s="94">
        <f t="shared" si="4"/>
        <v>69.89034182021938</v>
      </c>
      <c r="R77" s="94">
        <f t="shared" si="5"/>
        <v>-58.279784452770635</v>
      </c>
      <c r="S77" s="94" t="str">
        <f t="shared" si="3"/>
        <v>N</v>
      </c>
    </row>
    <row r="78" spans="16:19" ht="14.25">
      <c r="P78" s="94">
        <v>2600</v>
      </c>
      <c r="Q78" s="94">
        <f t="shared" si="4"/>
        <v>69.83257165835774</v>
      </c>
      <c r="R78" s="94">
        <f t="shared" si="5"/>
        <v>-58.085748077247864</v>
      </c>
      <c r="S78" s="94" t="str">
        <f t="shared" si="3"/>
        <v>N</v>
      </c>
    </row>
    <row r="79" spans="1:19" ht="15">
      <c r="A79" s="7" t="s">
        <v>29</v>
      </c>
      <c r="B79" s="7"/>
      <c r="C79" s="7"/>
      <c r="D79" s="7"/>
      <c r="E79" s="7"/>
      <c r="F79" s="7"/>
      <c r="G79" s="7"/>
      <c r="H79" s="7"/>
      <c r="I79" s="7"/>
      <c r="P79" s="94">
        <v>2610</v>
      </c>
      <c r="Q79" s="94">
        <f t="shared" si="4"/>
        <v>69.77480149649608</v>
      </c>
      <c r="R79" s="94">
        <f t="shared" si="5"/>
        <v>-57.89113841884186</v>
      </c>
      <c r="S79" s="94" t="str">
        <f t="shared" si="3"/>
        <v>N</v>
      </c>
    </row>
    <row r="80" spans="2:19" ht="14.25">
      <c r="B80" s="33"/>
      <c r="C80" s="34"/>
      <c r="D80" s="9"/>
      <c r="E80" s="9"/>
      <c r="P80" s="95">
        <v>2620</v>
      </c>
      <c r="Q80" s="94">
        <f t="shared" si="4"/>
        <v>69.71703133463444</v>
      </c>
      <c r="R80" s="94">
        <f t="shared" si="5"/>
        <v>-57.695957398214794</v>
      </c>
      <c r="S80" s="94" t="str">
        <f t="shared" si="3"/>
        <v>N</v>
      </c>
    </row>
    <row r="81" spans="2:19" ht="17.25">
      <c r="B81" s="11"/>
      <c r="C81" s="2" t="s">
        <v>12</v>
      </c>
      <c r="D81" s="2"/>
      <c r="E81" s="35" t="s">
        <v>13</v>
      </c>
      <c r="F81" s="35"/>
      <c r="G81" s="2" t="s">
        <v>66</v>
      </c>
      <c r="H81" s="2"/>
      <c r="I81" s="36" t="s">
        <v>67</v>
      </c>
      <c r="J81" s="37"/>
      <c r="P81" s="94">
        <v>2630</v>
      </c>
      <c r="Q81" s="94">
        <f t="shared" si="4"/>
        <v>69.6592611727728</v>
      </c>
      <c r="R81" s="94">
        <f t="shared" si="5"/>
        <v>-57.50020694183755</v>
      </c>
      <c r="S81" s="94" t="str">
        <f t="shared" si="3"/>
        <v>N</v>
      </c>
    </row>
    <row r="82" spans="2:19" ht="15">
      <c r="B82" s="78" t="s">
        <v>140</v>
      </c>
      <c r="C82" s="10">
        <v>0.15</v>
      </c>
      <c r="D82" s="9" t="s">
        <v>11</v>
      </c>
      <c r="E82" s="10">
        <v>1</v>
      </c>
      <c r="F82" s="3" t="s">
        <v>9</v>
      </c>
      <c r="G82" s="49">
        <f>Irms</f>
        <v>0.14974435905525602</v>
      </c>
      <c r="H82" s="14" t="s">
        <v>7</v>
      </c>
      <c r="I82" s="19">
        <f>G82/E82/(3.14/4*C82^2)</f>
        <v>8.478095346369766</v>
      </c>
      <c r="P82" s="94">
        <v>2640</v>
      </c>
      <c r="Q82" s="94">
        <f aca="true" t="shared" si="7" ref="Q82:Q113">Vbr_out*SQRT(2)-Pin/(Cdc*Vbr_out*SQRT(2))*P82*10^-6</f>
        <v>69.60149101091115</v>
      </c>
      <c r="R82" s="94">
        <f aca="true" t="shared" si="8" ref="R82:R113">-Vbr_out*SQRT(2)*COS(2*PI()*fL*(P82*10^-6-0.5*fL))</f>
        <v>-57.303888981631665</v>
      </c>
      <c r="S82" s="94" t="str">
        <f t="shared" si="3"/>
        <v>N</v>
      </c>
    </row>
    <row r="83" spans="2:19" ht="15">
      <c r="B83" s="78" t="s">
        <v>141</v>
      </c>
      <c r="C83" s="10">
        <v>0.2</v>
      </c>
      <c r="D83" s="9" t="s">
        <v>11</v>
      </c>
      <c r="E83" s="10">
        <v>1</v>
      </c>
      <c r="F83" s="3" t="s">
        <v>9</v>
      </c>
      <c r="G83" s="49">
        <f>Irms*SQRT((1-Dmax)/Dmax)*VRO*0.03/Po/(Vo1+VF1)</f>
        <v>0.017006055317109123</v>
      </c>
      <c r="H83" s="14" t="s">
        <v>7</v>
      </c>
      <c r="I83" s="19">
        <f aca="true" t="shared" si="9" ref="I83:I88">G83/E83/(3.14/4*C83^2)</f>
        <v>0.5415941183792714</v>
      </c>
      <c r="P83" s="95">
        <v>2650</v>
      </c>
      <c r="Q83" s="94">
        <f t="shared" si="7"/>
        <v>69.5437208490495</v>
      </c>
      <c r="R83" s="94">
        <f t="shared" si="8"/>
        <v>-57.10700545517618</v>
      </c>
      <c r="S83" s="94" t="str">
        <f aca="true" t="shared" si="10" ref="S83:S147">IF(Q83-R83&lt;0.3,R83,"N")</f>
        <v>N</v>
      </c>
    </row>
    <row r="84" spans="2:19" ht="15">
      <c r="B84" s="78" t="s">
        <v>142</v>
      </c>
      <c r="C84" s="10">
        <v>0.4</v>
      </c>
      <c r="D84" s="9" t="s">
        <v>11</v>
      </c>
      <c r="E84" s="10">
        <v>3</v>
      </c>
      <c r="F84" s="3" t="s">
        <v>9</v>
      </c>
      <c r="G84" s="49">
        <f>Irms*SQRT((1-Dmax)/Dmax)*VRO*KL1/(Vo1+VF1)</f>
        <v>2.834342552851521</v>
      </c>
      <c r="H84" s="14" t="s">
        <v>7</v>
      </c>
      <c r="I84" s="16">
        <f t="shared" si="9"/>
        <v>7.522140533045437</v>
      </c>
      <c r="P84" s="94">
        <v>2660</v>
      </c>
      <c r="Q84" s="94">
        <f t="shared" si="7"/>
        <v>69.48595068718785</v>
      </c>
      <c r="R84" s="94">
        <f t="shared" si="8"/>
        <v>-56.909558305574755</v>
      </c>
      <c r="S84" s="94" t="str">
        <f t="shared" si="10"/>
        <v>N</v>
      </c>
    </row>
    <row r="85" spans="2:19" ht="15">
      <c r="B85" s="78" t="s">
        <v>143</v>
      </c>
      <c r="C85" s="10">
        <v>0</v>
      </c>
      <c r="D85" s="9" t="s">
        <v>11</v>
      </c>
      <c r="E85" s="10">
        <v>0</v>
      </c>
      <c r="F85" s="3" t="s">
        <v>9</v>
      </c>
      <c r="G85" s="16" t="e">
        <f>Irms*SQRT((1-Dmax)/Dmax)*VRO*KL2/(Vo2.real+VF2)</f>
        <v>#DIV/0!</v>
      </c>
      <c r="H85" s="14" t="s">
        <v>7</v>
      </c>
      <c r="I85" s="16" t="e">
        <f t="shared" si="9"/>
        <v>#DIV/0!</v>
      </c>
      <c r="P85" s="94">
        <v>2670</v>
      </c>
      <c r="Q85" s="94">
        <f t="shared" si="7"/>
        <v>69.42818052532621</v>
      </c>
      <c r="R85" s="94">
        <f t="shared" si="8"/>
        <v>-56.711549481665365</v>
      </c>
      <c r="S85" s="94" t="str">
        <f t="shared" si="10"/>
        <v>N</v>
      </c>
    </row>
    <row r="86" spans="2:19" ht="15">
      <c r="B86" s="78" t="s">
        <v>144</v>
      </c>
      <c r="C86" s="10">
        <v>0</v>
      </c>
      <c r="D86" s="9" t="s">
        <v>11</v>
      </c>
      <c r="E86" s="10">
        <v>0</v>
      </c>
      <c r="F86" s="3" t="s">
        <v>9</v>
      </c>
      <c r="G86" s="16" t="e">
        <f>Irms*SQRT((1-Dmax)/Dmax)*VRO*KL3/(Vo3+VF3)</f>
        <v>#DIV/0!</v>
      </c>
      <c r="H86" s="14" t="s">
        <v>7</v>
      </c>
      <c r="I86" s="38" t="e">
        <f t="shared" si="9"/>
        <v>#DIV/0!</v>
      </c>
      <c r="J86" s="37"/>
      <c r="P86" s="95">
        <v>2680</v>
      </c>
      <c r="Q86" s="94">
        <f t="shared" si="7"/>
        <v>69.37041036346457</v>
      </c>
      <c r="R86" s="94">
        <f t="shared" si="8"/>
        <v>-56.51298093760052</v>
      </c>
      <c r="S86" s="94" t="str">
        <f t="shared" si="10"/>
        <v>N</v>
      </c>
    </row>
    <row r="87" spans="2:19" ht="15">
      <c r="B87" s="78" t="s">
        <v>145</v>
      </c>
      <c r="C87" s="10">
        <v>0</v>
      </c>
      <c r="D87" s="9" t="s">
        <v>11</v>
      </c>
      <c r="E87" s="10">
        <v>0</v>
      </c>
      <c r="F87" s="3" t="s">
        <v>9</v>
      </c>
      <c r="G87" s="16" t="e">
        <f>Irms*SQRT((1-Dmax)/Dmax)*VRO*KL4/(Vo4+VF4)</f>
        <v>#DIV/0!</v>
      </c>
      <c r="H87" s="14" t="s">
        <v>7</v>
      </c>
      <c r="I87" s="38" t="e">
        <f t="shared" si="9"/>
        <v>#DIV/0!</v>
      </c>
      <c r="J87" s="37"/>
      <c r="M87" s="50"/>
      <c r="P87" s="94">
        <v>2690</v>
      </c>
      <c r="Q87" s="94">
        <f t="shared" si="7"/>
        <v>69.31264020160292</v>
      </c>
      <c r="R87" s="94">
        <f t="shared" si="8"/>
        <v>-56.313854633286546</v>
      </c>
      <c r="S87" s="94" t="str">
        <f t="shared" si="10"/>
        <v>N</v>
      </c>
    </row>
    <row r="88" spans="2:19" ht="15">
      <c r="B88" s="78" t="s">
        <v>146</v>
      </c>
      <c r="C88" s="10">
        <v>0</v>
      </c>
      <c r="D88" s="9" t="s">
        <v>11</v>
      </c>
      <c r="E88" s="10">
        <v>0</v>
      </c>
      <c r="F88" s="3" t="s">
        <v>9</v>
      </c>
      <c r="G88" s="16" t="e">
        <f>Irms*SQRT((1-Dmax)/Dmax)*VRO*KL5/(Vo5+VF5)</f>
        <v>#DIV/0!</v>
      </c>
      <c r="H88" s="14" t="s">
        <v>7</v>
      </c>
      <c r="I88" s="38" t="e">
        <f t="shared" si="9"/>
        <v>#DIV/0!</v>
      </c>
      <c r="J88" s="37"/>
      <c r="M88" s="50"/>
      <c r="P88" s="94">
        <v>2700</v>
      </c>
      <c r="Q88" s="94">
        <f t="shared" si="7"/>
        <v>69.25487003974128</v>
      </c>
      <c r="R88" s="94">
        <f t="shared" si="8"/>
        <v>-56.114172533904394</v>
      </c>
      <c r="S88" s="94" t="str">
        <f t="shared" si="10"/>
        <v>N</v>
      </c>
    </row>
    <row r="89" spans="2:19" ht="15">
      <c r="B89" s="78" t="s">
        <v>147</v>
      </c>
      <c r="C89" s="10">
        <v>0</v>
      </c>
      <c r="D89" s="9" t="s">
        <v>11</v>
      </c>
      <c r="E89" s="10">
        <v>0</v>
      </c>
      <c r="F89" s="3" t="s">
        <v>9</v>
      </c>
      <c r="G89" s="16" t="e">
        <f>Irms*SQRT((1-Dmax)/Dmax)*VRO*KL6/(Vo6+VF6)</f>
        <v>#DIV/0!</v>
      </c>
      <c r="H89" s="14" t="s">
        <v>7</v>
      </c>
      <c r="I89" s="38" t="e">
        <f>G89/E89/(3.14/4*C89^2)</f>
        <v>#DIV/0!</v>
      </c>
      <c r="J89" s="37"/>
      <c r="M89" s="50"/>
      <c r="P89" s="95">
        <v>2710</v>
      </c>
      <c r="Q89" s="94">
        <f t="shared" si="7"/>
        <v>69.19709987787962</v>
      </c>
      <c r="R89" s="94">
        <f t="shared" si="8"/>
        <v>-55.91393661035139</v>
      </c>
      <c r="S89" s="94" t="str">
        <f t="shared" si="10"/>
        <v>N</v>
      </c>
    </row>
    <row r="90" spans="1:19" ht="17.25">
      <c r="A90" s="20"/>
      <c r="B90" s="79" t="s">
        <v>148</v>
      </c>
      <c r="C90" s="19">
        <f>C82^2/4*3.14*E82*Np+C83^2/4*3.14*E83*Nc+C84^2/4*3.14*E84*Ns1+C85^2/4*3.14*E85*Ns2+C86^2/4*3.14*E86*Ns3+C87^2/4*3.14*E87*Ns4+C88^2/4*3.14*E88*Ns5+C89^2/4*3.14*E89*Ns6</f>
        <v>7.251259090909091</v>
      </c>
      <c r="D90" s="14" t="s">
        <v>68</v>
      </c>
      <c r="E90" s="34"/>
      <c r="F90" s="20"/>
      <c r="G90" s="40"/>
      <c r="H90" s="39"/>
      <c r="I90" s="20"/>
      <c r="J90" s="39"/>
      <c r="M90" s="50"/>
      <c r="P90" s="94">
        <v>2720</v>
      </c>
      <c r="Q90" s="94">
        <f t="shared" si="7"/>
        <v>69.13932971601798</v>
      </c>
      <c r="R90" s="94">
        <f t="shared" si="8"/>
        <v>-55.71314883881752</v>
      </c>
      <c r="S90" s="94" t="str">
        <f t="shared" si="10"/>
        <v>N</v>
      </c>
    </row>
    <row r="91" spans="1:19" ht="18.75">
      <c r="A91" s="20"/>
      <c r="B91" s="9" t="s">
        <v>69</v>
      </c>
      <c r="C91" s="10">
        <v>0.2</v>
      </c>
      <c r="D91" s="9"/>
      <c r="E91" s="41"/>
      <c r="F91" s="42"/>
      <c r="G91" s="42"/>
      <c r="H91" s="42"/>
      <c r="I91" s="42"/>
      <c r="J91" s="20"/>
      <c r="M91" s="50"/>
      <c r="P91" s="94">
        <v>2730</v>
      </c>
      <c r="Q91" s="94">
        <f t="shared" si="7"/>
        <v>69.08155955415634</v>
      </c>
      <c r="R91" s="94">
        <f t="shared" si="8"/>
        <v>-55.51181120099704</v>
      </c>
      <c r="S91" s="94" t="str">
        <f t="shared" si="10"/>
        <v>N</v>
      </c>
    </row>
    <row r="92" spans="1:19" ht="17.25">
      <c r="A92" s="43"/>
      <c r="B92" s="44" t="s">
        <v>70</v>
      </c>
      <c r="C92" s="19">
        <f>C90/C91</f>
        <v>36.25629545454545</v>
      </c>
      <c r="D92" s="14" t="s">
        <v>68</v>
      </c>
      <c r="E92" s="43"/>
      <c r="F92" s="43"/>
      <c r="G92" s="43"/>
      <c r="H92" s="43"/>
      <c r="I92" s="43"/>
      <c r="J92" s="20"/>
      <c r="M92" s="50"/>
      <c r="P92" s="95">
        <v>2740</v>
      </c>
      <c r="Q92" s="94">
        <f t="shared" si="7"/>
        <v>69.02378939229469</v>
      </c>
      <c r="R92" s="94">
        <f t="shared" si="8"/>
        <v>-55.30992568395261</v>
      </c>
      <c r="S92" s="94" t="str">
        <f t="shared" si="10"/>
        <v>N</v>
      </c>
    </row>
    <row r="93" spans="16:19" ht="14.25">
      <c r="P93" s="94">
        <v>2750</v>
      </c>
      <c r="Q93" s="94">
        <f t="shared" si="7"/>
        <v>68.96601923043305</v>
      </c>
      <c r="R93" s="94">
        <f t="shared" si="8"/>
        <v>-55.10749428032969</v>
      </c>
      <c r="S93" s="94" t="str">
        <f t="shared" si="10"/>
        <v>N</v>
      </c>
    </row>
    <row r="94" spans="1:19" ht="15">
      <c r="A94" s="7" t="s">
        <v>30</v>
      </c>
      <c r="B94" s="7"/>
      <c r="C94" s="7"/>
      <c r="D94" s="7"/>
      <c r="E94" s="7"/>
      <c r="F94" s="7"/>
      <c r="G94" s="7"/>
      <c r="H94" s="7"/>
      <c r="I94" s="7"/>
      <c r="P94" s="94">
        <v>2760</v>
      </c>
      <c r="Q94" s="94">
        <f t="shared" si="7"/>
        <v>68.9082490685714</v>
      </c>
      <c r="R94" s="94">
        <f t="shared" si="8"/>
        <v>-54.90451898798612</v>
      </c>
      <c r="S94" s="94" t="str">
        <f t="shared" si="10"/>
        <v>N</v>
      </c>
    </row>
    <row r="95" spans="2:19" ht="15">
      <c r="B95" s="33"/>
      <c r="C95" s="34"/>
      <c r="D95" s="9"/>
      <c r="E95" s="9"/>
      <c r="L95" s="23"/>
      <c r="P95" s="95">
        <v>2770</v>
      </c>
      <c r="Q95" s="94">
        <f t="shared" si="7"/>
        <v>68.85047890670975</v>
      </c>
      <c r="R95" s="94">
        <f t="shared" si="8"/>
        <v>-54.70100181014711</v>
      </c>
      <c r="S95" s="94" t="str">
        <f t="shared" si="10"/>
        <v>N</v>
      </c>
    </row>
    <row r="96" spans="2:19" ht="17.25">
      <c r="B96" s="11"/>
      <c r="C96" s="2" t="s">
        <v>71</v>
      </c>
      <c r="D96" s="2"/>
      <c r="E96" s="2"/>
      <c r="F96" s="45"/>
      <c r="G96" s="46" t="s">
        <v>72</v>
      </c>
      <c r="H96" s="47"/>
      <c r="I96" s="47"/>
      <c r="L96" s="23"/>
      <c r="M96" s="50"/>
      <c r="P96" s="94">
        <v>2780</v>
      </c>
      <c r="Q96" s="94">
        <f t="shared" si="7"/>
        <v>68.79270874484811</v>
      </c>
      <c r="R96" s="94">
        <f t="shared" si="8"/>
        <v>-54.496944755503726</v>
      </c>
      <c r="S96" s="94" t="str">
        <f t="shared" si="10"/>
        <v>N</v>
      </c>
    </row>
    <row r="97" spans="2:19" ht="15">
      <c r="B97" s="78" t="s">
        <v>149</v>
      </c>
      <c r="C97" s="13">
        <f>Vcc+SQRT(2)*V_line_max*(Vcc+VFC)/VRO</f>
        <v>69.10095230664074</v>
      </c>
      <c r="D97" s="13"/>
      <c r="E97" s="14" t="s">
        <v>1</v>
      </c>
      <c r="G97" s="49">
        <f>G83</f>
        <v>0.017006055317109123</v>
      </c>
      <c r="H97" s="14" t="s">
        <v>7</v>
      </c>
      <c r="I97" s="48"/>
      <c r="J97" s="23"/>
      <c r="K97" s="23"/>
      <c r="L97" s="23"/>
      <c r="P97" s="94">
        <v>2790</v>
      </c>
      <c r="Q97" s="94">
        <f t="shared" si="7"/>
        <v>68.73493858298646</v>
      </c>
      <c r="R97" s="94">
        <f t="shared" si="8"/>
        <v>-54.292349838076014</v>
      </c>
      <c r="S97" s="94" t="str">
        <f t="shared" si="10"/>
        <v>N</v>
      </c>
    </row>
    <row r="98" spans="2:19" ht="15">
      <c r="B98" s="78" t="s">
        <v>150</v>
      </c>
      <c r="C98" s="13">
        <f>Vo1+SQRT(2)*V_line_max*(Vo1+VF1)/VRO</f>
        <v>29.158095206655698</v>
      </c>
      <c r="D98" s="13"/>
      <c r="E98" s="14" t="s">
        <v>1</v>
      </c>
      <c r="G98" s="19">
        <f>Io1rms</f>
        <v>2.834342552851521</v>
      </c>
      <c r="H98" s="14" t="s">
        <v>7</v>
      </c>
      <c r="I98" s="48"/>
      <c r="J98" s="23"/>
      <c r="K98" s="23"/>
      <c r="P98" s="95">
        <v>2800</v>
      </c>
      <c r="Q98" s="94">
        <f t="shared" si="7"/>
        <v>68.6771684211248</v>
      </c>
      <c r="R98" s="94">
        <f t="shared" si="8"/>
        <v>-54.08721907707422</v>
      </c>
      <c r="S98" s="94" t="str">
        <f t="shared" si="10"/>
        <v>N</v>
      </c>
    </row>
    <row r="99" spans="2:19" ht="15">
      <c r="B99" s="78" t="s">
        <v>151</v>
      </c>
      <c r="C99" s="13">
        <f>Vo2.real+SQRT(2)*V_line_max*(Vo2.real+VF2)/VRO</f>
        <v>0</v>
      </c>
      <c r="D99" s="13"/>
      <c r="E99" s="14" t="s">
        <v>1</v>
      </c>
      <c r="G99" s="19" t="e">
        <f>Io2rms</f>
        <v>#DIV/0!</v>
      </c>
      <c r="H99" s="14" t="s">
        <v>7</v>
      </c>
      <c r="I99" s="48"/>
      <c r="J99" s="23"/>
      <c r="K99" s="23"/>
      <c r="P99" s="94">
        <v>2810</v>
      </c>
      <c r="Q99" s="94">
        <f t="shared" si="7"/>
        <v>68.61939825926316</v>
      </c>
      <c r="R99" s="94">
        <f t="shared" si="8"/>
        <v>-53.88155449705614</v>
      </c>
      <c r="S99" s="94" t="str">
        <f t="shared" si="10"/>
        <v>N</v>
      </c>
    </row>
    <row r="100" spans="2:19" ht="15">
      <c r="B100" s="78" t="s">
        <v>152</v>
      </c>
      <c r="C100" s="13">
        <f>Vo3+SQRT(2)*V_line_max*(Vo3+VF3)/VRO</f>
        <v>0</v>
      </c>
      <c r="D100" s="13"/>
      <c r="E100" s="14" t="s">
        <v>1</v>
      </c>
      <c r="G100" s="19" t="e">
        <f>Io3rms</f>
        <v>#DIV/0!</v>
      </c>
      <c r="H100" s="14" t="s">
        <v>7</v>
      </c>
      <c r="P100" s="94">
        <v>2820</v>
      </c>
      <c r="Q100" s="94">
        <f t="shared" si="7"/>
        <v>68.56162809740152</v>
      </c>
      <c r="R100" s="94">
        <f t="shared" si="8"/>
        <v>-53.67535812778838</v>
      </c>
      <c r="S100" s="94" t="str">
        <f t="shared" si="10"/>
        <v>N</v>
      </c>
    </row>
    <row r="101" spans="2:19" ht="15">
      <c r="B101" s="78" t="s">
        <v>153</v>
      </c>
      <c r="C101" s="13">
        <f>Vo4+SQRT(2)*V_line_max*(Vo4+VF4)/VRO</f>
        <v>0</v>
      </c>
      <c r="D101" s="13"/>
      <c r="E101" s="14" t="s">
        <v>1</v>
      </c>
      <c r="G101" s="19" t="e">
        <f>Io4rms</f>
        <v>#DIV/0!</v>
      </c>
      <c r="H101" s="14" t="s">
        <v>7</v>
      </c>
      <c r="P101" s="95">
        <v>2830</v>
      </c>
      <c r="Q101" s="94">
        <f t="shared" si="7"/>
        <v>68.50385793553988</v>
      </c>
      <c r="R101" s="94">
        <f t="shared" si="8"/>
        <v>-53.468632004465235</v>
      </c>
      <c r="S101" s="94" t="str">
        <f t="shared" si="10"/>
        <v>N</v>
      </c>
    </row>
    <row r="102" spans="2:19" ht="15">
      <c r="B102" s="78" t="s">
        <v>154</v>
      </c>
      <c r="C102" s="13">
        <f>Vo5+SQRT(2)*V_line_max*(Vo5+VF5)/VRO</f>
        <v>0</v>
      </c>
      <c r="D102" s="13"/>
      <c r="E102" s="14" t="s">
        <v>1</v>
      </c>
      <c r="G102" s="19" t="e">
        <f>Io5rms</f>
        <v>#DIV/0!</v>
      </c>
      <c r="H102" s="14" t="s">
        <v>7</v>
      </c>
      <c r="P102" s="94">
        <v>2840</v>
      </c>
      <c r="Q102" s="94">
        <f t="shared" si="7"/>
        <v>68.44608777367823</v>
      </c>
      <c r="R102" s="94">
        <f t="shared" si="8"/>
        <v>-53.26137816733049</v>
      </c>
      <c r="S102" s="94" t="str">
        <f t="shared" si="10"/>
        <v>N</v>
      </c>
    </row>
    <row r="103" spans="2:19" ht="15">
      <c r="B103" s="78" t="s">
        <v>155</v>
      </c>
      <c r="C103" s="13">
        <f>Vo6+SQRT(2)*V_line_max*(Vo6+VF6)/VRO</f>
        <v>0</v>
      </c>
      <c r="D103" s="13"/>
      <c r="E103" s="14" t="s">
        <v>1</v>
      </c>
      <c r="G103" s="19" t="e">
        <f>Io6rms</f>
        <v>#DIV/0!</v>
      </c>
      <c r="H103" s="14" t="s">
        <v>7</v>
      </c>
      <c r="P103" s="94">
        <v>2850</v>
      </c>
      <c r="Q103" s="94">
        <f t="shared" si="7"/>
        <v>68.38831761181659</v>
      </c>
      <c r="R103" s="94">
        <f t="shared" si="8"/>
        <v>-53.05359866189582</v>
      </c>
      <c r="S103" s="94" t="str">
        <f t="shared" si="10"/>
        <v>N</v>
      </c>
    </row>
    <row r="104" spans="16:19" ht="14.25">
      <c r="P104" s="95">
        <v>2860</v>
      </c>
      <c r="Q104" s="94">
        <f t="shared" si="7"/>
        <v>68.33054744995493</v>
      </c>
      <c r="R104" s="94">
        <f t="shared" si="8"/>
        <v>-52.84529553880069</v>
      </c>
      <c r="S104" s="94" t="str">
        <f t="shared" si="10"/>
        <v>N</v>
      </c>
    </row>
    <row r="105" spans="1:19" ht="15">
      <c r="A105" s="7" t="s">
        <v>20</v>
      </c>
      <c r="B105" s="7"/>
      <c r="C105" s="7"/>
      <c r="D105" s="7"/>
      <c r="E105" s="7"/>
      <c r="F105" s="7"/>
      <c r="G105" s="7"/>
      <c r="H105" s="7"/>
      <c r="I105" s="7"/>
      <c r="M105" s="50"/>
      <c r="P105" s="94">
        <v>2870</v>
      </c>
      <c r="Q105" s="94">
        <f t="shared" si="7"/>
        <v>68.2727772880933</v>
      </c>
      <c r="R105" s="94">
        <f t="shared" si="8"/>
        <v>-52.63647085397292</v>
      </c>
      <c r="S105" s="94" t="str">
        <f t="shared" si="10"/>
        <v>N</v>
      </c>
    </row>
    <row r="106" spans="2:19" ht="14.25">
      <c r="B106" s="33"/>
      <c r="C106" s="34"/>
      <c r="D106" s="9"/>
      <c r="E106" s="9"/>
      <c r="M106" s="50"/>
      <c r="P106" s="94">
        <v>2880</v>
      </c>
      <c r="Q106" s="94">
        <f t="shared" si="7"/>
        <v>68.21500712623164</v>
      </c>
      <c r="R106" s="94">
        <f t="shared" si="8"/>
        <v>-52.4271266684885</v>
      </c>
      <c r="S106" s="94" t="str">
        <f t="shared" si="10"/>
        <v>N</v>
      </c>
    </row>
    <row r="107" spans="2:19" ht="13.5" customHeight="1">
      <c r="B107" s="11"/>
      <c r="C107" s="87" t="s">
        <v>73</v>
      </c>
      <c r="D107" s="87"/>
      <c r="E107" s="88" t="s">
        <v>74</v>
      </c>
      <c r="F107" s="88"/>
      <c r="G107" s="90" t="s">
        <v>75</v>
      </c>
      <c r="H107" s="90"/>
      <c r="I107" s="91" t="s">
        <v>76</v>
      </c>
      <c r="J107" s="91"/>
      <c r="M107" s="50"/>
      <c r="P107" s="95">
        <v>2890</v>
      </c>
      <c r="Q107" s="94">
        <f t="shared" si="7"/>
        <v>68.15723696437</v>
      </c>
      <c r="R107" s="94">
        <f t="shared" si="8"/>
        <v>-52.217265048429645</v>
      </c>
      <c r="S107" s="94" t="str">
        <f t="shared" si="10"/>
        <v>N</v>
      </c>
    </row>
    <row r="108" spans="2:19" ht="14.25">
      <c r="B108" s="11"/>
      <c r="C108" s="87"/>
      <c r="D108" s="87"/>
      <c r="E108" s="88"/>
      <c r="F108" s="88"/>
      <c r="G108" s="90"/>
      <c r="H108" s="90"/>
      <c r="I108" s="91"/>
      <c r="J108" s="91"/>
      <c r="M108" s="50"/>
      <c r="P108" s="94">
        <v>2900</v>
      </c>
      <c r="Q108" s="94">
        <f t="shared" si="7"/>
        <v>68.09946680250835</v>
      </c>
      <c r="R108" s="94">
        <f t="shared" si="8"/>
        <v>-52.00688806498487</v>
      </c>
      <c r="S108" s="94" t="str">
        <f t="shared" si="10"/>
        <v>N</v>
      </c>
    </row>
    <row r="109" spans="2:19" ht="15">
      <c r="B109" s="14" t="s">
        <v>77</v>
      </c>
      <c r="C109" s="10">
        <v>2000</v>
      </c>
      <c r="D109" s="9" t="s">
        <v>14</v>
      </c>
      <c r="E109" s="10">
        <v>50</v>
      </c>
      <c r="F109" s="9" t="s">
        <v>104</v>
      </c>
      <c r="G109" s="49">
        <f>SQRT(Io1rms^2-Io_1^2)</f>
        <v>2.6520742272615365</v>
      </c>
      <c r="H109" s="14" t="s">
        <v>7</v>
      </c>
      <c r="I109" s="49">
        <f>1000000*Io_1*Dmax/Co_1/fs+Ipk*VRO*Rc_1/1000/(Vo1+VF1)*KL1</f>
        <v>0.35073019626312874</v>
      </c>
      <c r="J109" s="14" t="s">
        <v>1</v>
      </c>
      <c r="M109" s="50"/>
      <c r="P109" s="94">
        <v>2910</v>
      </c>
      <c r="Q109" s="94">
        <f t="shared" si="7"/>
        <v>68.0416966406467</v>
      </c>
      <c r="R109" s="94">
        <f t="shared" si="8"/>
        <v>-51.79599779461186</v>
      </c>
      <c r="S109" s="94" t="str">
        <f t="shared" si="10"/>
        <v>N</v>
      </c>
    </row>
    <row r="110" spans="2:19" ht="15">
      <c r="B110" s="14" t="s">
        <v>78</v>
      </c>
      <c r="C110" s="10">
        <v>0</v>
      </c>
      <c r="D110" s="9" t="s">
        <v>14</v>
      </c>
      <c r="E110" s="10">
        <v>0</v>
      </c>
      <c r="F110" s="9" t="s">
        <v>104</v>
      </c>
      <c r="G110" s="49" t="e">
        <f>SQRT(Io2rms^2-Io_2^2)</f>
        <v>#DIV/0!</v>
      </c>
      <c r="H110" s="14" t="s">
        <v>7</v>
      </c>
      <c r="I110" s="49" t="e">
        <f>1000000*Io_2*Dmax/Co_2/fs+Ipk*VRO*Rc_2/1000/(Vo2+VF2)*KL2</f>
        <v>#DIV/0!</v>
      </c>
      <c r="J110" s="14" t="s">
        <v>1</v>
      </c>
      <c r="M110" s="50"/>
      <c r="P110" s="95">
        <v>2920</v>
      </c>
      <c r="Q110" s="94">
        <f t="shared" si="7"/>
        <v>67.98392647878507</v>
      </c>
      <c r="R110" s="94">
        <f t="shared" si="8"/>
        <v>-51.5845963186516</v>
      </c>
      <c r="S110" s="94" t="str">
        <f t="shared" si="10"/>
        <v>N</v>
      </c>
    </row>
    <row r="111" spans="2:19" ht="15">
      <c r="B111" s="14" t="s">
        <v>79</v>
      </c>
      <c r="C111" s="10">
        <v>0</v>
      </c>
      <c r="D111" s="9" t="s">
        <v>14</v>
      </c>
      <c r="E111" s="10">
        <v>0</v>
      </c>
      <c r="F111" s="9" t="s">
        <v>104</v>
      </c>
      <c r="G111" s="49" t="e">
        <f>SQRT(Io3rms^2-Io_3^2)</f>
        <v>#DIV/0!</v>
      </c>
      <c r="H111" s="14" t="s">
        <v>7</v>
      </c>
      <c r="I111" s="49" t="e">
        <f>1000000*Io_3*Dmax/Co_3/fs+Ipk*VRO*Rc_3/1000/(Vo3+VF3)*KL3</f>
        <v>#DIV/0!</v>
      </c>
      <c r="J111" s="14" t="s">
        <v>1</v>
      </c>
      <c r="M111" s="50"/>
      <c r="P111" s="94">
        <v>2930</v>
      </c>
      <c r="Q111" s="94">
        <f t="shared" si="7"/>
        <v>67.92615631692343</v>
      </c>
      <c r="R111" s="94">
        <f t="shared" si="8"/>
        <v>-51.37268572355134</v>
      </c>
      <c r="S111" s="94" t="str">
        <f t="shared" si="10"/>
        <v>N</v>
      </c>
    </row>
    <row r="112" spans="2:19" ht="15">
      <c r="B112" s="14" t="s">
        <v>80</v>
      </c>
      <c r="C112" s="10"/>
      <c r="D112" s="9" t="s">
        <v>14</v>
      </c>
      <c r="E112" s="10"/>
      <c r="F112" s="9" t="s">
        <v>104</v>
      </c>
      <c r="G112" s="16" t="e">
        <f>SQRT(Io4rms^2-Io_4^2)</f>
        <v>#DIV/0!</v>
      </c>
      <c r="H112" s="14" t="s">
        <v>7</v>
      </c>
      <c r="I112" s="19" t="e">
        <f>1000000*Io_4*Dmax/Co_4/fs+Ipk*VRO*Rc_4/1000/(Vo4+VF4)*KL4</f>
        <v>#DIV/0!</v>
      </c>
      <c r="J112" s="14" t="s">
        <v>1</v>
      </c>
      <c r="M112" s="50"/>
      <c r="P112" s="94">
        <v>2940</v>
      </c>
      <c r="Q112" s="94">
        <f t="shared" si="7"/>
        <v>67.86838615506177</v>
      </c>
      <c r="R112" s="94">
        <f t="shared" si="8"/>
        <v>-51.1602681007215</v>
      </c>
      <c r="S112" s="94" t="str">
        <f t="shared" si="10"/>
        <v>N</v>
      </c>
    </row>
    <row r="113" spans="2:19" ht="15">
      <c r="B113" s="14" t="s">
        <v>81</v>
      </c>
      <c r="C113" s="10"/>
      <c r="D113" s="9" t="s">
        <v>14</v>
      </c>
      <c r="E113" s="10"/>
      <c r="F113" s="9" t="s">
        <v>104</v>
      </c>
      <c r="G113" s="16" t="e">
        <f>SQRT(Io5rms^2-Io_5^2)</f>
        <v>#DIV/0!</v>
      </c>
      <c r="H113" s="14" t="s">
        <v>7</v>
      </c>
      <c r="I113" s="19" t="e">
        <f>1000000*Io_5*Dmax/Co_5/fs+Ipk*VRO*Rc_5/1000/(Vo5+VF5)*KL5</f>
        <v>#DIV/0!</v>
      </c>
      <c r="J113" s="14" t="s">
        <v>1</v>
      </c>
      <c r="L113" s="50"/>
      <c r="M113" s="50"/>
      <c r="P113" s="95">
        <v>2950</v>
      </c>
      <c r="Q113" s="94">
        <f t="shared" si="7"/>
        <v>67.81061599320012</v>
      </c>
      <c r="R113" s="94">
        <f t="shared" si="8"/>
        <v>-50.947345546761284</v>
      </c>
      <c r="S113" s="94" t="str">
        <f t="shared" si="10"/>
        <v>N</v>
      </c>
    </row>
    <row r="114" spans="2:19" ht="15">
      <c r="B114" s="14" t="s">
        <v>15</v>
      </c>
      <c r="C114" s="10"/>
      <c r="D114" s="9" t="s">
        <v>14</v>
      </c>
      <c r="E114" s="10"/>
      <c r="F114" s="9" t="s">
        <v>104</v>
      </c>
      <c r="G114" s="16" t="e">
        <f>SQRT(Io6rms^2-Io_6^2)</f>
        <v>#DIV/0!</v>
      </c>
      <c r="H114" s="14" t="s">
        <v>7</v>
      </c>
      <c r="I114" s="19" t="e">
        <f>1000000*Io_6*Dmax/Co_6/fs+Ipk*VRO*Rc_6/1000/(Vo6+VF6)*KL6</f>
        <v>#DIV/0!</v>
      </c>
      <c r="J114" s="14" t="s">
        <v>1</v>
      </c>
      <c r="L114" s="50"/>
      <c r="M114" s="50"/>
      <c r="P114" s="94">
        <v>2960</v>
      </c>
      <c r="Q114" s="94">
        <f aca="true" t="shared" si="11" ref="Q114:Q130">Vbr_out*SQRT(2)-Pin/(Cdc*Vbr_out*SQRT(2))*P114*10^-6</f>
        <v>67.75284583133848</v>
      </c>
      <c r="R114" s="94">
        <f aca="true" t="shared" si="12" ref="R114:R130">-Vbr_out*SQRT(2)*COS(2*PI()*fL*(P114*10^-6-0.5*fL))</f>
        <v>-50.733920163007035</v>
      </c>
      <c r="S114" s="94" t="str">
        <f t="shared" si="10"/>
        <v>N</v>
      </c>
    </row>
    <row r="115" spans="12:19" ht="14.25">
      <c r="L115" s="50"/>
      <c r="M115" s="50"/>
      <c r="P115" s="94">
        <v>2970</v>
      </c>
      <c r="Q115" s="94">
        <f t="shared" si="11"/>
        <v>67.69507566947684</v>
      </c>
      <c r="R115" s="94">
        <f t="shared" si="12"/>
        <v>-50.519994056004705</v>
      </c>
      <c r="S115" s="94" t="str">
        <f t="shared" si="10"/>
        <v>N</v>
      </c>
    </row>
    <row r="116" spans="1:19" ht="15">
      <c r="A116" s="7" t="s">
        <v>127</v>
      </c>
      <c r="B116" s="7"/>
      <c r="C116" s="7"/>
      <c r="D116" s="7"/>
      <c r="E116" s="7"/>
      <c r="F116" s="7"/>
      <c r="G116" s="7"/>
      <c r="H116" s="7"/>
      <c r="I116" s="7"/>
      <c r="L116" s="50"/>
      <c r="M116" s="50"/>
      <c r="P116" s="95">
        <v>2980</v>
      </c>
      <c r="Q116" s="94">
        <f t="shared" si="11"/>
        <v>67.63730550761518</v>
      </c>
      <c r="R116" s="94">
        <f t="shared" si="12"/>
        <v>-50.30556933699475</v>
      </c>
      <c r="S116" s="94" t="str">
        <f t="shared" si="10"/>
        <v>N</v>
      </c>
    </row>
    <row r="117" spans="2:19" ht="18.75">
      <c r="B117" s="9" t="s">
        <v>82</v>
      </c>
      <c r="C117" s="10">
        <v>30</v>
      </c>
      <c r="D117" s="9" t="s">
        <v>5</v>
      </c>
      <c r="L117" s="50"/>
      <c r="M117" s="50"/>
      <c r="P117" s="94">
        <v>2990</v>
      </c>
      <c r="Q117" s="94">
        <f t="shared" si="11"/>
        <v>67.57953534575354</v>
      </c>
      <c r="R117" s="94">
        <f t="shared" si="12"/>
        <v>-50.09064812238672</v>
      </c>
      <c r="S117" s="94" t="str">
        <f t="shared" si="10"/>
        <v>N</v>
      </c>
    </row>
    <row r="118" spans="2:19" ht="18.75">
      <c r="B118" s="9" t="s">
        <v>83</v>
      </c>
      <c r="C118" s="10">
        <v>180</v>
      </c>
      <c r="D118" s="9" t="s">
        <v>1</v>
      </c>
      <c r="E118" s="24">
        <f>IF(VRO&gt;Vsn,"---&gt;Vsn should be larger than Vro !!!","")</f>
      </c>
      <c r="F118" s="51"/>
      <c r="L118" s="50"/>
      <c r="M118" s="50"/>
      <c r="P118" s="94">
        <v>3000</v>
      </c>
      <c r="Q118" s="94">
        <f t="shared" si="11"/>
        <v>67.52176518389189</v>
      </c>
      <c r="R118" s="94">
        <f t="shared" si="12"/>
        <v>-49.87523253330424</v>
      </c>
      <c r="S118" s="94" t="str">
        <f t="shared" si="10"/>
        <v>N</v>
      </c>
    </row>
    <row r="119" spans="2:19" ht="14.25">
      <c r="B119" s="9" t="s">
        <v>32</v>
      </c>
      <c r="C119" s="10">
        <v>10</v>
      </c>
      <c r="D119" s="9" t="s">
        <v>4</v>
      </c>
      <c r="L119" s="50"/>
      <c r="M119" s="50"/>
      <c r="P119" s="95">
        <v>3010</v>
      </c>
      <c r="Q119" s="94">
        <f t="shared" si="11"/>
        <v>67.46399502203025</v>
      </c>
      <c r="R119" s="94">
        <f t="shared" si="12"/>
        <v>-49.6593246958122</v>
      </c>
      <c r="S119" s="94" t="str">
        <f t="shared" si="10"/>
        <v>N</v>
      </c>
    </row>
    <row r="120" spans="2:19" ht="16.5">
      <c r="B120" s="78" t="s">
        <v>156</v>
      </c>
      <c r="C120" s="16">
        <f>Vsn^2/C122/1000</f>
        <v>84.01569752452272</v>
      </c>
      <c r="D120" s="14" t="s">
        <v>39</v>
      </c>
      <c r="L120" s="50"/>
      <c r="M120" s="50"/>
      <c r="P120" s="94">
        <v>3020</v>
      </c>
      <c r="Q120" s="94">
        <f t="shared" si="11"/>
        <v>67.4062248601686</v>
      </c>
      <c r="R120" s="94">
        <f t="shared" si="12"/>
        <v>-49.442926740771085</v>
      </c>
      <c r="S120" s="94" t="str">
        <f t="shared" si="10"/>
        <v>N</v>
      </c>
    </row>
    <row r="121" spans="2:19" ht="16.5">
      <c r="B121" s="78" t="s">
        <v>157</v>
      </c>
      <c r="C121" s="16">
        <f>100/C119/C120/1000/fs*10^9</f>
        <v>1.7764981514284162</v>
      </c>
      <c r="D121" s="14" t="s">
        <v>17</v>
      </c>
      <c r="G121" s="52"/>
      <c r="L121" s="50"/>
      <c r="M121" s="50"/>
      <c r="P121" s="94">
        <v>3030</v>
      </c>
      <c r="Q121" s="94">
        <f t="shared" si="11"/>
        <v>67.34845469830695</v>
      </c>
      <c r="R121" s="94">
        <f t="shared" si="12"/>
        <v>-49.226040804066635</v>
      </c>
      <c r="S121" s="94" t="str">
        <f t="shared" si="10"/>
        <v>N</v>
      </c>
    </row>
    <row r="122" spans="2:19" ht="16.5">
      <c r="B122" s="78" t="s">
        <v>158</v>
      </c>
      <c r="C122" s="16">
        <f>0.5*Ipk.peak^2*Llk/1000000*fs*Vsn/(Vsn-VRO)</f>
        <v>0.3856422187120806</v>
      </c>
      <c r="D122" s="14" t="s">
        <v>3</v>
      </c>
      <c r="E122" s="23"/>
      <c r="F122" s="23"/>
      <c r="G122" s="23"/>
      <c r="H122" s="23"/>
      <c r="I122" s="23"/>
      <c r="L122" s="50"/>
      <c r="M122" s="50"/>
      <c r="P122" s="95">
        <v>3040</v>
      </c>
      <c r="Q122" s="94">
        <f t="shared" si="11"/>
        <v>67.29068453644531</v>
      </c>
      <c r="R122" s="94">
        <f t="shared" si="12"/>
        <v>-49.0086690262129</v>
      </c>
      <c r="S122" s="94" t="str">
        <f t="shared" si="10"/>
        <v>N</v>
      </c>
    </row>
    <row r="123" spans="2:19" ht="17.25">
      <c r="B123" s="78" t="s">
        <v>159</v>
      </c>
      <c r="C123" s="19">
        <f>IF(Vdc_max&lt;C50,Pin/(Vdc_max*VRO/(Vdc_max+VRO))+Vdc_max*VRO/(Vdc_max+VRO)/Lm/fs/2,SQRT(2*Pin/fs/Lm))</f>
        <v>0.41009181656858357</v>
      </c>
      <c r="D123" s="14" t="s">
        <v>7</v>
      </c>
      <c r="E123" s="23" t="str">
        <f>IF(Vdc_max&lt;C48,"(CCM)","(DCM)")</f>
        <v>(DCM)</v>
      </c>
      <c r="M123" s="53"/>
      <c r="P123" s="94">
        <v>3050</v>
      </c>
      <c r="Q123" s="94">
        <f t="shared" si="11"/>
        <v>67.23291437458366</v>
      </c>
      <c r="R123" s="94">
        <f t="shared" si="12"/>
        <v>-48.79081355245529</v>
      </c>
      <c r="S123" s="94" t="str">
        <f t="shared" si="10"/>
        <v>N</v>
      </c>
    </row>
    <row r="124" spans="2:19" ht="17.25">
      <c r="B124" s="78" t="s">
        <v>160</v>
      </c>
      <c r="C124" s="13">
        <f>(VRO+SQRT(VRO^2+2*C120*Llk*C123^2*fs/1000))/2</f>
        <v>169.01585589995722</v>
      </c>
      <c r="D124" s="14" t="s">
        <v>1</v>
      </c>
      <c r="M124" s="53"/>
      <c r="P124" s="94">
        <v>3060</v>
      </c>
      <c r="Q124" s="94">
        <f t="shared" si="11"/>
        <v>67.17514421272202</v>
      </c>
      <c r="R124" s="94">
        <f t="shared" si="12"/>
        <v>-48.572476533191676</v>
      </c>
      <c r="S124" s="94" t="str">
        <f t="shared" si="10"/>
        <v>N</v>
      </c>
    </row>
    <row r="125" spans="2:19" ht="17.25">
      <c r="B125" s="78" t="s">
        <v>161</v>
      </c>
      <c r="C125" s="13">
        <f>Vdc_max+C124</f>
        <v>542.3682363664543</v>
      </c>
      <c r="D125" s="14" t="s">
        <v>1</v>
      </c>
      <c r="E125" s="24"/>
      <c r="L125" s="53"/>
      <c r="M125" s="53"/>
      <c r="P125" s="95">
        <v>3070</v>
      </c>
      <c r="Q125" s="94">
        <f t="shared" si="11"/>
        <v>67.11737405086038</v>
      </c>
      <c r="R125" s="94">
        <f t="shared" si="12"/>
        <v>-48.353660123194274</v>
      </c>
      <c r="S125" s="94" t="str">
        <f t="shared" si="10"/>
        <v>N</v>
      </c>
    </row>
    <row r="126" spans="4:19" ht="15">
      <c r="D126" s="14"/>
      <c r="M126" s="97"/>
      <c r="P126" s="94">
        <v>3080</v>
      </c>
      <c r="Q126" s="94">
        <f t="shared" si="11"/>
        <v>67.05960388899872</v>
      </c>
      <c r="R126" s="94">
        <f t="shared" si="12"/>
        <v>-48.13436648209272</v>
      </c>
      <c r="S126" s="94" t="str">
        <f t="shared" si="10"/>
        <v>N</v>
      </c>
    </row>
    <row r="127" spans="1:19" ht="15">
      <c r="A127" s="7" t="s">
        <v>169</v>
      </c>
      <c r="B127" s="7"/>
      <c r="C127" s="7"/>
      <c r="D127" s="7"/>
      <c r="E127" s="7"/>
      <c r="F127" s="7"/>
      <c r="G127" s="7"/>
      <c r="H127" s="7"/>
      <c r="I127" s="7"/>
      <c r="M127" s="97"/>
      <c r="P127" s="94">
        <v>3090</v>
      </c>
      <c r="Q127" s="94">
        <f t="shared" si="11"/>
        <v>67.00183372713707</v>
      </c>
      <c r="R127" s="94">
        <f t="shared" si="12"/>
        <v>-47.91459777422671</v>
      </c>
      <c r="S127" s="94" t="str">
        <f t="shared" si="10"/>
        <v>N</v>
      </c>
    </row>
    <row r="128" spans="2:19" ht="15" customHeight="1">
      <c r="B128" s="9" t="s">
        <v>167</v>
      </c>
      <c r="C128" s="10">
        <v>60</v>
      </c>
      <c r="D128" s="9" t="s">
        <v>165</v>
      </c>
      <c r="M128" s="97"/>
      <c r="P128" s="95">
        <v>3100</v>
      </c>
      <c r="Q128" s="94">
        <f t="shared" si="11"/>
        <v>66.94406356527543</v>
      </c>
      <c r="R128" s="94">
        <f t="shared" si="12"/>
        <v>-47.69435616856085</v>
      </c>
      <c r="S128" s="94" t="str">
        <f t="shared" si="10"/>
        <v>N</v>
      </c>
    </row>
    <row r="129" spans="2:19" ht="15">
      <c r="B129" s="78" t="s">
        <v>166</v>
      </c>
      <c r="C129" s="16">
        <f>C128*SQRT(2)</f>
        <v>84.8528137423857</v>
      </c>
      <c r="D129" s="14" t="s">
        <v>121</v>
      </c>
      <c r="M129" s="97"/>
      <c r="P129" s="94">
        <v>3110</v>
      </c>
      <c r="Q129" s="94">
        <f t="shared" si="11"/>
        <v>66.88629340341379</v>
      </c>
      <c r="R129" s="94">
        <f t="shared" si="12"/>
        <v>-47.473643838918385</v>
      </c>
      <c r="S129" s="94" t="str">
        <f t="shared" si="10"/>
        <v>N</v>
      </c>
    </row>
    <row r="130" spans="2:19" ht="15">
      <c r="B130" s="78" t="s">
        <v>168</v>
      </c>
      <c r="C130" s="16">
        <f>MIN(S18:S819)</f>
        <v>45.466411232463265</v>
      </c>
      <c r="D130" s="14" t="s">
        <v>121</v>
      </c>
      <c r="M130" s="97"/>
      <c r="P130" s="94">
        <v>3120</v>
      </c>
      <c r="Q130" s="94">
        <f t="shared" si="11"/>
        <v>66.82852324155215</v>
      </c>
      <c r="R130" s="94">
        <f t="shared" si="12"/>
        <v>-47.252462963577216</v>
      </c>
      <c r="S130" s="94" t="str">
        <f t="shared" si="10"/>
        <v>N</v>
      </c>
    </row>
    <row r="131" spans="2:19" ht="15">
      <c r="B131" s="78" t="s">
        <v>184</v>
      </c>
      <c r="C131" s="49">
        <f>1-2*1/2/PI()*ACOS(-C130/Vbr_out/SQRT(2))</f>
        <v>0.3200000000003066</v>
      </c>
      <c r="D131" s="14"/>
      <c r="M131" s="97"/>
      <c r="P131" s="94"/>
      <c r="Q131" s="94"/>
      <c r="R131" s="94"/>
      <c r="S131" s="94"/>
    </row>
    <row r="132" spans="2:19" ht="15">
      <c r="B132" s="78" t="s">
        <v>170</v>
      </c>
      <c r="C132" s="16">
        <f>IF(C130=0,C129*2/3.14,C130*SIN(3.14*C131)/3.14+(C129+C130)*(1-C131)/2)</f>
        <v>56.53023698712445</v>
      </c>
      <c r="D132" s="14" t="s">
        <v>121</v>
      </c>
      <c r="M132" s="97"/>
      <c r="P132" s="95">
        <v>3130</v>
      </c>
      <c r="Q132" s="94">
        <f aca="true" t="shared" si="13" ref="Q132:Q195">Vbr_out*SQRT(2)-Pin/(Cdc*Vbr_out*SQRT(2))*P132*10^-6</f>
        <v>66.7707530796905</v>
      </c>
      <c r="R132" s="94">
        <f aca="true" t="shared" si="14" ref="R132:R195">-Vbr_out*SQRT(2)*COS(2*PI()*fL*(P132*10^-6-0.5*fL))</f>
        <v>-47.03081572550328</v>
      </c>
      <c r="S132" s="94" t="str">
        <f t="shared" si="10"/>
        <v>N</v>
      </c>
    </row>
    <row r="133" spans="2:19" ht="16.5">
      <c r="B133" s="78" t="s">
        <v>178</v>
      </c>
      <c r="C133" s="16">
        <v>2</v>
      </c>
      <c r="D133" s="14" t="s">
        <v>121</v>
      </c>
      <c r="M133" s="97"/>
      <c r="P133" s="94">
        <v>3140</v>
      </c>
      <c r="Q133" s="94">
        <f t="shared" si="13"/>
        <v>66.71298291782885</v>
      </c>
      <c r="R133" s="94">
        <f t="shared" si="14"/>
        <v>-46.808704312200966</v>
      </c>
      <c r="S133" s="94" t="str">
        <f t="shared" si="10"/>
        <v>N</v>
      </c>
    </row>
    <row r="134" spans="2:19" ht="16.5">
      <c r="B134" s="78" t="s">
        <v>179</v>
      </c>
      <c r="C134" s="16">
        <v>1.5</v>
      </c>
      <c r="D134" s="14" t="s">
        <v>121</v>
      </c>
      <c r="K134" s="98"/>
      <c r="M134" s="97"/>
      <c r="P134" s="94">
        <v>3150</v>
      </c>
      <c r="Q134" s="94">
        <f t="shared" si="13"/>
        <v>66.6552127559672</v>
      </c>
      <c r="R134" s="94">
        <f t="shared" si="14"/>
        <v>-46.58613091588436</v>
      </c>
      <c r="S134" s="94" t="str">
        <f t="shared" si="10"/>
        <v>N</v>
      </c>
    </row>
    <row r="135" spans="2:19" ht="18.75" customHeight="1">
      <c r="B135" s="9" t="s">
        <v>173</v>
      </c>
      <c r="C135" s="72">
        <v>10000</v>
      </c>
      <c r="D135" s="40" t="s">
        <v>38</v>
      </c>
      <c r="M135" s="97"/>
      <c r="P135" s="95">
        <v>3160</v>
      </c>
      <c r="Q135" s="94">
        <f t="shared" si="13"/>
        <v>66.59744259410556</v>
      </c>
      <c r="R135" s="94">
        <f t="shared" si="14"/>
        <v>-46.36309773332767</v>
      </c>
      <c r="S135" s="94" t="str">
        <f t="shared" si="10"/>
        <v>N</v>
      </c>
    </row>
    <row r="136" spans="2:19" ht="16.5">
      <c r="B136" s="78" t="s">
        <v>185</v>
      </c>
      <c r="C136" s="16">
        <f>VLS.off*RLS.high/(C132-VLS.off)</f>
        <v>272.57741963767273</v>
      </c>
      <c r="D136" s="14" t="s">
        <v>39</v>
      </c>
      <c r="M136" s="97"/>
      <c r="P136" s="94">
        <v>3170</v>
      </c>
      <c r="Q136" s="94">
        <f t="shared" si="13"/>
        <v>66.5396724322439</v>
      </c>
      <c r="R136" s="94">
        <f t="shared" si="14"/>
        <v>-46.13960696571398</v>
      </c>
      <c r="S136" s="94" t="str">
        <f t="shared" si="10"/>
        <v>N</v>
      </c>
    </row>
    <row r="137" spans="2:19" ht="15">
      <c r="B137" s="78" t="s">
        <v>172</v>
      </c>
      <c r="C137" s="16">
        <f>1/(C136*2*fL)*10^6</f>
        <v>36.68682465808296</v>
      </c>
      <c r="D137" s="14" t="s">
        <v>171</v>
      </c>
      <c r="M137" s="97"/>
      <c r="P137" s="94">
        <v>3180</v>
      </c>
      <c r="Q137" s="94">
        <f t="shared" si="13"/>
        <v>66.48190227038226</v>
      </c>
      <c r="R137" s="94">
        <f t="shared" si="14"/>
        <v>-45.91566081874204</v>
      </c>
      <c r="S137" s="94" t="str">
        <f t="shared" si="10"/>
        <v>N</v>
      </c>
    </row>
    <row r="138" spans="2:19" ht="15">
      <c r="B138" s="78" t="s">
        <v>174</v>
      </c>
      <c r="C138" s="16">
        <f>VLS.on*(RLS.high+RLS.low)/RLS.low/SQRT(2)</f>
        <v>53.29721855423771</v>
      </c>
      <c r="D138" s="14" t="s">
        <v>165</v>
      </c>
      <c r="M138" s="97"/>
      <c r="P138" s="95">
        <v>3190</v>
      </c>
      <c r="Q138" s="94">
        <f t="shared" si="13"/>
        <v>66.42413210852062</v>
      </c>
      <c r="R138" s="94">
        <f t="shared" si="14"/>
        <v>-45.691261502799584</v>
      </c>
      <c r="S138" s="94" t="str">
        <f t="shared" si="10"/>
        <v>N</v>
      </c>
    </row>
    <row r="139" spans="2:19" ht="15">
      <c r="B139" s="78" t="s">
        <v>176</v>
      </c>
      <c r="C139" s="16">
        <f>Vdc_max^2/(RLS.high+RLS.low)</f>
        <v>13.569330685552188</v>
      </c>
      <c r="D139" s="14" t="s">
        <v>177</v>
      </c>
      <c r="M139" s="97"/>
      <c r="P139" s="94">
        <v>3200</v>
      </c>
      <c r="Q139" s="94">
        <f t="shared" si="13"/>
        <v>66.36636194665897</v>
      </c>
      <c r="R139" s="94">
        <f t="shared" si="14"/>
        <v>-45.4664112325525</v>
      </c>
      <c r="S139" s="94" t="str">
        <f t="shared" si="10"/>
        <v>N</v>
      </c>
    </row>
    <row r="140" spans="4:19" ht="15">
      <c r="D140" s="14"/>
      <c r="M140" s="97"/>
      <c r="P140" s="94">
        <v>3210</v>
      </c>
      <c r="Q140" s="94">
        <f t="shared" si="13"/>
        <v>66.30859178479733</v>
      </c>
      <c r="R140" s="94">
        <f t="shared" si="14"/>
        <v>-45.24111222718218</v>
      </c>
      <c r="S140" s="94" t="str">
        <f t="shared" si="10"/>
        <v>N</v>
      </c>
    </row>
    <row r="141" spans="1:19" ht="15">
      <c r="A141" s="7" t="s">
        <v>175</v>
      </c>
      <c r="B141" s="7"/>
      <c r="C141" s="7"/>
      <c r="D141" s="7"/>
      <c r="E141" s="7"/>
      <c r="F141" s="7"/>
      <c r="G141" s="7"/>
      <c r="H141" s="7"/>
      <c r="I141" s="7"/>
      <c r="M141" s="97"/>
      <c r="P141" s="95">
        <v>3220</v>
      </c>
      <c r="Q141" s="94">
        <f t="shared" si="13"/>
        <v>66.25082162293567</v>
      </c>
      <c r="R141" s="94">
        <f t="shared" si="14"/>
        <v>-45.01536671023343</v>
      </c>
      <c r="S141" s="94" t="str">
        <f t="shared" si="10"/>
        <v>N</v>
      </c>
    </row>
    <row r="142" spans="11:19" ht="14.25">
      <c r="K142" s="54"/>
      <c r="M142" s="97"/>
      <c r="P142" s="94">
        <v>3230</v>
      </c>
      <c r="Q142" s="94">
        <f t="shared" si="13"/>
        <v>66.19305146107403</v>
      </c>
      <c r="R142" s="94">
        <f t="shared" si="14"/>
        <v>-44.789176909854056</v>
      </c>
      <c r="S142" s="94" t="str">
        <f t="shared" si="10"/>
        <v>N</v>
      </c>
    </row>
    <row r="143" spans="2:19" ht="15">
      <c r="B143" s="80" t="s">
        <v>128</v>
      </c>
      <c r="C143" s="75" t="str">
        <f>IF(Vdc_min&lt;C47,"CCM","DCM")</f>
        <v>DCM</v>
      </c>
      <c r="K143" s="54"/>
      <c r="L143" s="53"/>
      <c r="M143" s="53"/>
      <c r="P143" s="94">
        <v>3240</v>
      </c>
      <c r="Q143" s="94">
        <f t="shared" si="13"/>
        <v>66.13528129921238</v>
      </c>
      <c r="R143" s="94">
        <f t="shared" si="14"/>
        <v>-44.56254505831513</v>
      </c>
      <c r="S143" s="94" t="str">
        <f t="shared" si="10"/>
        <v>N</v>
      </c>
    </row>
    <row r="144" spans="2:19" ht="15">
      <c r="B144" s="55" t="s">
        <v>84</v>
      </c>
      <c r="C144" s="13">
        <f>IF(Vdc_min&lt;C48,Ilim/2.4*(Vo1^2/Po)/3*VRO/(Vo1+VF1)*Vdc_min/(Vdc_min+2*VRO),Vo1/(SQRT(2*Pin/fs/Lm)/Ilim*2.4))</f>
        <v>3.0480978880761223</v>
      </c>
      <c r="D144" s="51"/>
      <c r="G144" s="52"/>
      <c r="H144" s="52"/>
      <c r="I144" s="52"/>
      <c r="J144" s="52"/>
      <c r="K144" s="31"/>
      <c r="M144" s="53"/>
      <c r="P144" s="95">
        <v>3250</v>
      </c>
      <c r="Q144" s="94">
        <f t="shared" si="13"/>
        <v>66.07751113735074</v>
      </c>
      <c r="R144" s="94">
        <f t="shared" si="14"/>
        <v>-44.33547339251274</v>
      </c>
      <c r="S144" s="94" t="str">
        <f t="shared" si="10"/>
        <v>N</v>
      </c>
    </row>
    <row r="145" spans="2:19" ht="18.75">
      <c r="B145" s="55" t="s">
        <v>85</v>
      </c>
      <c r="C145" s="13">
        <f>1/(Rc_1*Co_1)*10^9</f>
        <v>10000</v>
      </c>
      <c r="D145" s="14" t="s">
        <v>33</v>
      </c>
      <c r="E145" s="14"/>
      <c r="F145" s="57" t="s">
        <v>86</v>
      </c>
      <c r="G145" s="85">
        <f>C145/2/3.14</f>
        <v>1592.3566878980891</v>
      </c>
      <c r="H145" s="85"/>
      <c r="I145" s="14" t="s">
        <v>2</v>
      </c>
      <c r="K145" s="31"/>
      <c r="M145" s="53"/>
      <c r="P145" s="94">
        <v>3260</v>
      </c>
      <c r="Q145" s="94">
        <f t="shared" si="13"/>
        <v>66.0197409754891</v>
      </c>
      <c r="R145" s="94">
        <f t="shared" si="14"/>
        <v>-44.10796415342109</v>
      </c>
      <c r="S145" s="94" t="str">
        <f t="shared" si="10"/>
        <v>N</v>
      </c>
    </row>
    <row r="146" spans="2:19" ht="18.75">
      <c r="B146" s="55" t="s">
        <v>87</v>
      </c>
      <c r="C146" s="13">
        <f>IF(Vdc_min&lt;C48,Vo1^2/Po/Lm/Dmax*(1-Dmax)^2*(VRO/(Vo1+VF1))^2,10^100)</f>
        <v>1E+100</v>
      </c>
      <c r="D146" s="14" t="s">
        <v>33</v>
      </c>
      <c r="F146" s="57" t="s">
        <v>88</v>
      </c>
      <c r="G146" s="85">
        <f>C146/2/3.14</f>
        <v>1.5923566878980892E+99</v>
      </c>
      <c r="H146" s="85"/>
      <c r="I146" s="14" t="s">
        <v>2</v>
      </c>
      <c r="K146" s="31"/>
      <c r="L146" s="56"/>
      <c r="M146" s="53"/>
      <c r="P146" s="94">
        <v>3270</v>
      </c>
      <c r="Q146" s="94">
        <f t="shared" si="13"/>
        <v>65.96197081362746</v>
      </c>
      <c r="R146" s="94">
        <f t="shared" si="14"/>
        <v>-43.88001958659624</v>
      </c>
      <c r="S146" s="94" t="str">
        <f t="shared" si="10"/>
        <v>N</v>
      </c>
    </row>
    <row r="147" spans="2:19" ht="18.75">
      <c r="B147" s="55" t="s">
        <v>89</v>
      </c>
      <c r="C147" s="13">
        <f>IF(Vdc_min&lt;C48,(1+Dmax)/(Vo1^2/Po*Co_1)*10^6,2/(Vo1^2/Po*Co_1)*10^6)</f>
        <v>200</v>
      </c>
      <c r="D147" s="14" t="s">
        <v>33</v>
      </c>
      <c r="F147" s="57" t="s">
        <v>90</v>
      </c>
      <c r="G147" s="85">
        <f>C147/2/3.14</f>
        <v>31.84713375796178</v>
      </c>
      <c r="H147" s="85"/>
      <c r="I147" s="14" t="s">
        <v>2</v>
      </c>
      <c r="K147" s="31"/>
      <c r="L147" s="58"/>
      <c r="M147" s="97"/>
      <c r="P147" s="95">
        <v>3280</v>
      </c>
      <c r="Q147" s="94">
        <f t="shared" si="13"/>
        <v>65.9042006517658</v>
      </c>
      <c r="R147" s="94">
        <f t="shared" si="14"/>
        <v>-43.651641941693235</v>
      </c>
      <c r="S147" s="94" t="str">
        <f t="shared" si="10"/>
        <v>N</v>
      </c>
    </row>
    <row r="148" spans="11:19" ht="14.25">
      <c r="K148" s="31"/>
      <c r="L148" s="56"/>
      <c r="M148" s="53"/>
      <c r="P148" s="94">
        <v>3290</v>
      </c>
      <c r="Q148" s="94">
        <f t="shared" si="13"/>
        <v>65.84643048990415</v>
      </c>
      <c r="R148" s="94">
        <f t="shared" si="14"/>
        <v>-43.42283347270724</v>
      </c>
      <c r="S148" s="94" t="str">
        <f aca="true" t="shared" si="15" ref="S148:S211">IF(Q148-R148&lt;0.3,R148,"N")</f>
        <v>N</v>
      </c>
    </row>
    <row r="149" spans="2:19" ht="18.75">
      <c r="B149" s="9" t="s">
        <v>91</v>
      </c>
      <c r="C149" s="72">
        <v>10</v>
      </c>
      <c r="D149" s="40" t="s">
        <v>38</v>
      </c>
      <c r="K149" s="31"/>
      <c r="L149" s="56"/>
      <c r="M149" s="50"/>
      <c r="P149" s="94">
        <v>3300</v>
      </c>
      <c r="Q149" s="94">
        <f t="shared" si="13"/>
        <v>65.78866032804251</v>
      </c>
      <c r="R149" s="94">
        <f t="shared" si="14"/>
        <v>-43.193596437819046</v>
      </c>
      <c r="S149" s="94" t="str">
        <f t="shared" si="15"/>
        <v>N</v>
      </c>
    </row>
    <row r="150" spans="2:19" ht="18.75">
      <c r="B150" s="55" t="s">
        <v>92</v>
      </c>
      <c r="C150" s="16">
        <f>2.5*R_1/(Vo1-2.5)</f>
        <v>10</v>
      </c>
      <c r="D150" s="14" t="s">
        <v>39</v>
      </c>
      <c r="K150" s="31"/>
      <c r="L150" s="56"/>
      <c r="M150" s="50"/>
      <c r="P150" s="95">
        <v>3310</v>
      </c>
      <c r="Q150" s="94">
        <f t="shared" si="13"/>
        <v>65.73089016618087</v>
      </c>
      <c r="R150" s="94">
        <f t="shared" si="14"/>
        <v>-42.96393309963835</v>
      </c>
      <c r="S150" s="94" t="str">
        <f t="shared" si="15"/>
        <v>N</v>
      </c>
    </row>
    <row r="151" spans="2:19" ht="18.75">
      <c r="B151" s="9" t="s">
        <v>93</v>
      </c>
      <c r="C151" s="10">
        <v>0.51</v>
      </c>
      <c r="D151" s="40" t="s">
        <v>38</v>
      </c>
      <c r="E151" s="59"/>
      <c r="K151" s="31"/>
      <c r="L151" s="58"/>
      <c r="M151" s="50"/>
      <c r="P151" s="94">
        <v>3320</v>
      </c>
      <c r="Q151" s="94">
        <f t="shared" si="13"/>
        <v>65.67312000431922</v>
      </c>
      <c r="R151" s="94">
        <f t="shared" si="14"/>
        <v>-42.73384572478329</v>
      </c>
      <c r="S151" s="94" t="str">
        <f t="shared" si="15"/>
        <v>N</v>
      </c>
    </row>
    <row r="152" spans="2:19" ht="18.75">
      <c r="B152" s="9" t="s">
        <v>94</v>
      </c>
      <c r="C152" s="10">
        <v>2.7</v>
      </c>
      <c r="D152" s="40" t="s">
        <v>38</v>
      </c>
      <c r="E152" s="59"/>
      <c r="K152" s="31"/>
      <c r="L152" s="56"/>
      <c r="M152" s="50"/>
      <c r="P152" s="94">
        <v>3330</v>
      </c>
      <c r="Q152" s="94">
        <f t="shared" si="13"/>
        <v>65.61534984245758</v>
      </c>
      <c r="R152" s="94">
        <f t="shared" si="14"/>
        <v>-42.503336584123375</v>
      </c>
      <c r="S152" s="94" t="str">
        <f t="shared" si="15"/>
        <v>N</v>
      </c>
    </row>
    <row r="153" spans="2:19" ht="18.75">
      <c r="B153" s="40" t="s">
        <v>95</v>
      </c>
      <c r="C153" s="10">
        <v>10</v>
      </c>
      <c r="D153" s="40" t="s">
        <v>17</v>
      </c>
      <c r="K153" s="31"/>
      <c r="L153" s="60"/>
      <c r="M153" s="50"/>
      <c r="P153" s="95">
        <v>3340</v>
      </c>
      <c r="Q153" s="94">
        <f t="shared" si="13"/>
        <v>65.55757968059592</v>
      </c>
      <c r="R153" s="94">
        <f t="shared" si="14"/>
        <v>-42.27240795255692</v>
      </c>
      <c r="S153" s="94" t="str">
        <f t="shared" si="15"/>
        <v>N</v>
      </c>
    </row>
    <row r="154" spans="2:19" ht="18.75">
      <c r="B154" s="40" t="s">
        <v>96</v>
      </c>
      <c r="C154" s="10">
        <v>100</v>
      </c>
      <c r="D154" s="40" t="s">
        <v>17</v>
      </c>
      <c r="K154" s="31"/>
      <c r="L154" s="61"/>
      <c r="M154" s="50"/>
      <c r="P154" s="94">
        <v>3350</v>
      </c>
      <c r="Q154" s="94">
        <f t="shared" si="13"/>
        <v>65.49980951873428</v>
      </c>
      <c r="R154" s="94">
        <f t="shared" si="14"/>
        <v>-42.04106210952371</v>
      </c>
      <c r="S154" s="94" t="str">
        <f t="shared" si="15"/>
        <v>N</v>
      </c>
    </row>
    <row r="155" spans="2:19" ht="18.75">
      <c r="B155" s="40" t="s">
        <v>97</v>
      </c>
      <c r="C155" s="10">
        <v>30</v>
      </c>
      <c r="D155" s="40" t="s">
        <v>38</v>
      </c>
      <c r="K155" s="31"/>
      <c r="L155" s="61"/>
      <c r="M155" s="50"/>
      <c r="P155" s="94">
        <v>3360</v>
      </c>
      <c r="Q155" s="94">
        <f t="shared" si="13"/>
        <v>65.44203935687264</v>
      </c>
      <c r="R155" s="94">
        <f t="shared" si="14"/>
        <v>-41.80930133818022</v>
      </c>
      <c r="S155" s="94" t="str">
        <f t="shared" si="15"/>
        <v>N</v>
      </c>
    </row>
    <row r="156" spans="12:19" ht="20.25" customHeight="1">
      <c r="L156" s="61"/>
      <c r="M156" s="50"/>
      <c r="P156" s="95">
        <v>3370</v>
      </c>
      <c r="Q156" s="94">
        <f t="shared" si="13"/>
        <v>65.38426919501099</v>
      </c>
      <c r="R156" s="94">
        <f t="shared" si="14"/>
        <v>-41.57712792591171</v>
      </c>
      <c r="S156" s="94" t="str">
        <f t="shared" si="15"/>
        <v>N</v>
      </c>
    </row>
    <row r="157" spans="2:19" ht="18.75">
      <c r="B157" s="14" t="s">
        <v>98</v>
      </c>
      <c r="C157" s="62">
        <f>27/(C149*C151*C154)*10^6</f>
        <v>52941.17647058824</v>
      </c>
      <c r="D157" s="14" t="s">
        <v>33</v>
      </c>
      <c r="F157" s="57" t="s">
        <v>99</v>
      </c>
      <c r="G157" s="83">
        <f>C157/(2*3.14)</f>
        <v>8430.123641813414</v>
      </c>
      <c r="H157" s="83"/>
      <c r="I157" s="14" t="s">
        <v>2</v>
      </c>
      <c r="K157" s="31"/>
      <c r="L157" s="61"/>
      <c r="M157" s="50"/>
      <c r="P157" s="94">
        <v>3380</v>
      </c>
      <c r="Q157" s="94">
        <f t="shared" si="13"/>
        <v>65.32649903314935</v>
      </c>
      <c r="R157" s="94">
        <f t="shared" si="14"/>
        <v>-41.34454416410863</v>
      </c>
      <c r="S157" s="94" t="str">
        <f t="shared" si="15"/>
        <v>N</v>
      </c>
    </row>
    <row r="158" spans="2:19" ht="18.75">
      <c r="B158" s="55" t="s">
        <v>100</v>
      </c>
      <c r="C158" s="63">
        <f>1/(C154*(C155+C149))*10^6</f>
        <v>250</v>
      </c>
      <c r="D158" s="14" t="s">
        <v>33</v>
      </c>
      <c r="F158" s="57" t="s">
        <v>101</v>
      </c>
      <c r="G158" s="83">
        <f>C158/(2*3.14)</f>
        <v>39.808917197452224</v>
      </c>
      <c r="H158" s="83"/>
      <c r="I158" s="14" t="s">
        <v>2</v>
      </c>
      <c r="K158" s="31"/>
      <c r="L158" s="61"/>
      <c r="M158" s="50"/>
      <c r="P158" s="94">
        <v>3390</v>
      </c>
      <c r="Q158" s="94">
        <f t="shared" si="13"/>
        <v>65.26872887128769</v>
      </c>
      <c r="R158" s="94">
        <f t="shared" si="14"/>
        <v>-41.111552348413475</v>
      </c>
      <c r="S158" s="94" t="str">
        <f t="shared" si="15"/>
        <v>N</v>
      </c>
    </row>
    <row r="159" spans="2:19" ht="16.5">
      <c r="B159" s="55" t="s">
        <v>102</v>
      </c>
      <c r="C159" s="63">
        <f>1/(27*C153)*1000000</f>
        <v>3703.703703703704</v>
      </c>
      <c r="D159" s="14" t="s">
        <v>33</v>
      </c>
      <c r="F159" s="57" t="s">
        <v>103</v>
      </c>
      <c r="G159" s="83">
        <f>C159/(2*3.14)</f>
        <v>589.7617362585515</v>
      </c>
      <c r="H159" s="83"/>
      <c r="I159" s="14" t="s">
        <v>2</v>
      </c>
      <c r="K159" s="31"/>
      <c r="L159" s="61"/>
      <c r="M159" s="50"/>
      <c r="P159" s="95">
        <v>3400</v>
      </c>
      <c r="Q159" s="94">
        <f t="shared" si="13"/>
        <v>65.21095870942605</v>
      </c>
      <c r="R159" s="94">
        <f t="shared" si="14"/>
        <v>-40.87815477829413</v>
      </c>
      <c r="S159" s="94" t="str">
        <f t="shared" si="15"/>
        <v>N</v>
      </c>
    </row>
    <row r="160" spans="2:19" ht="14.25">
      <c r="B160" s="31"/>
      <c r="C160" s="31"/>
      <c r="D160" s="31"/>
      <c r="E160" s="64"/>
      <c r="F160" s="31"/>
      <c r="G160" s="31"/>
      <c r="H160" s="31"/>
      <c r="I160" s="31"/>
      <c r="J160" s="31"/>
      <c r="K160" s="31"/>
      <c r="L160" s="61"/>
      <c r="M160" s="50"/>
      <c r="P160" s="94">
        <v>3410</v>
      </c>
      <c r="Q160" s="94">
        <f t="shared" si="13"/>
        <v>65.15318854756441</v>
      </c>
      <c r="R160" s="94">
        <f t="shared" si="14"/>
        <v>-40.64435375729039</v>
      </c>
      <c r="S160" s="94" t="str">
        <f t="shared" si="15"/>
        <v>N</v>
      </c>
    </row>
    <row r="161" spans="2:19" ht="14.25">
      <c r="B161" s="54"/>
      <c r="C161" s="54"/>
      <c r="D161" s="54"/>
      <c r="E161" s="54"/>
      <c r="F161" s="54"/>
      <c r="G161" s="54"/>
      <c r="H161" s="54"/>
      <c r="I161" s="54"/>
      <c r="J161" s="54"/>
      <c r="K161" s="64"/>
      <c r="L161" s="61"/>
      <c r="M161" s="50"/>
      <c r="P161" s="94">
        <v>3420</v>
      </c>
      <c r="Q161" s="94">
        <f t="shared" si="13"/>
        <v>65.09541838570276</v>
      </c>
      <c r="R161" s="94">
        <f t="shared" si="14"/>
        <v>-40.41015159285608</v>
      </c>
      <c r="S161" s="94" t="str">
        <f t="shared" si="15"/>
        <v>N</v>
      </c>
    </row>
    <row r="162" spans="2:19" ht="14.25">
      <c r="B162" s="54">
        <v>16</v>
      </c>
      <c r="C162" s="54">
        <f aca="true" t="shared" si="16" ref="C162:C181">20*LOG(k_1*SQRT(1+B162^2/fz_1^2)*SQRT(1+B162^2/fzr^2)/SQRT(1+B162^2/fp_1^2))</f>
        <v>8.703566088891524</v>
      </c>
      <c r="D162" s="54">
        <f aca="true" t="shared" si="17" ref="D162:D181">20*LOG(fi/B162*SQRT(1+B162^2/fz^2)/SQRT(1+B162^2/fp^2))</f>
        <v>55.081424465293445</v>
      </c>
      <c r="E162" s="54">
        <f aca="true" t="shared" si="18" ref="E162:E181">SUM(C162:D162)</f>
        <v>63.78499055418497</v>
      </c>
      <c r="F162" s="54"/>
      <c r="G162" s="54">
        <v>16</v>
      </c>
      <c r="H162" s="54">
        <f aca="true" t="shared" si="19" ref="H162:H181">180/3.14*(ATAN(G162/fz_1)-ATAN(G162/fzr)-ATAN(G162/fp_1))</f>
        <v>-26.112502739923514</v>
      </c>
      <c r="I162" s="54">
        <f aca="true" t="shared" si="20" ref="I162:I181">180/3.14*(ATAN(G162/fz)-ATAN(G162/fp))-90</f>
        <v>-69.64753150895984</v>
      </c>
      <c r="J162" s="54">
        <f aca="true" t="shared" si="21" ref="J162:J181">SUM(H162:I162)</f>
        <v>-95.76003424888336</v>
      </c>
      <c r="K162" s="64"/>
      <c r="L162" s="61"/>
      <c r="M162" s="50"/>
      <c r="P162" s="95">
        <v>3430</v>
      </c>
      <c r="Q162" s="94">
        <f t="shared" si="13"/>
        <v>65.0376482238411</v>
      </c>
      <c r="R162" s="94">
        <f t="shared" si="14"/>
        <v>-40.17555059653963</v>
      </c>
      <c r="S162" s="94" t="str">
        <f t="shared" si="15"/>
        <v>N</v>
      </c>
    </row>
    <row r="163" spans="2:19" ht="14.25">
      <c r="B163" s="54">
        <v>25</v>
      </c>
      <c r="C163" s="54">
        <f t="shared" si="16"/>
        <v>7.596630359098507</v>
      </c>
      <c r="D163" s="54">
        <f t="shared" si="17"/>
        <v>51.9939057337521</v>
      </c>
      <c r="E163" s="54">
        <f t="shared" si="18"/>
        <v>59.590536092850606</v>
      </c>
      <c r="F163" s="54"/>
      <c r="G163" s="54">
        <v>25</v>
      </c>
      <c r="H163" s="54">
        <f t="shared" si="19"/>
        <v>-37.25132867192246</v>
      </c>
      <c r="I163" s="54">
        <f t="shared" si="20"/>
        <v>-60.28342890175925</v>
      </c>
      <c r="J163" s="54">
        <f t="shared" si="21"/>
        <v>-97.5347575736817</v>
      </c>
      <c r="K163" s="64"/>
      <c r="L163" s="61"/>
      <c r="M163" s="50"/>
      <c r="P163" s="94">
        <v>3440</v>
      </c>
      <c r="Q163" s="94">
        <f t="shared" si="13"/>
        <v>64.97987806197946</v>
      </c>
      <c r="R163" s="94">
        <f t="shared" si="14"/>
        <v>-39.94055308382626</v>
      </c>
      <c r="S163" s="94" t="str">
        <f t="shared" si="15"/>
        <v>N</v>
      </c>
    </row>
    <row r="164" spans="2:19" ht="14.25">
      <c r="B164" s="54">
        <v>40</v>
      </c>
      <c r="C164" s="54">
        <f t="shared" si="16"/>
        <v>5.571270399960798</v>
      </c>
      <c r="D164" s="54">
        <f t="shared" si="17"/>
        <v>49.48669292310537</v>
      </c>
      <c r="E164" s="54">
        <f t="shared" si="18"/>
        <v>55.05796332306617</v>
      </c>
      <c r="F164" s="54"/>
      <c r="G164" s="54">
        <v>40</v>
      </c>
      <c r="H164" s="54">
        <f t="shared" si="19"/>
        <v>-50.060367078780224</v>
      </c>
      <c r="I164" s="54">
        <f t="shared" si="20"/>
        <v>-48.721980069322136</v>
      </c>
      <c r="J164" s="54">
        <f t="shared" si="21"/>
        <v>-98.78234714810236</v>
      </c>
      <c r="K164" s="64"/>
      <c r="L164" s="61"/>
      <c r="M164" s="50"/>
      <c r="P164" s="94">
        <v>3450</v>
      </c>
      <c r="Q164" s="94">
        <f t="shared" si="13"/>
        <v>64.92210790011782</v>
      </c>
      <c r="R164" s="94">
        <f t="shared" si="14"/>
        <v>-39.7051613739787</v>
      </c>
      <c r="S164" s="94" t="str">
        <f t="shared" si="15"/>
        <v>N</v>
      </c>
    </row>
    <row r="165" spans="2:19" ht="14.25">
      <c r="B165" s="54">
        <v>63</v>
      </c>
      <c r="C165" s="54">
        <f t="shared" si="16"/>
        <v>2.7736600025894513</v>
      </c>
      <c r="D165" s="54">
        <f t="shared" si="17"/>
        <v>47.92684657241032</v>
      </c>
      <c r="E165" s="54">
        <f t="shared" si="18"/>
        <v>50.70050657499977</v>
      </c>
      <c r="F165" s="54"/>
      <c r="G165" s="54">
        <v>63</v>
      </c>
      <c r="H165" s="54">
        <f t="shared" si="19"/>
        <v>-60.948172917864525</v>
      </c>
      <c r="I165" s="54">
        <f t="shared" si="20"/>
        <v>-38.359476904570684</v>
      </c>
      <c r="J165" s="54">
        <f t="shared" si="21"/>
        <v>-99.30764982243521</v>
      </c>
      <c r="K165" s="64"/>
      <c r="L165" s="61"/>
      <c r="M165" s="50"/>
      <c r="P165" s="95">
        <v>3460</v>
      </c>
      <c r="Q165" s="94">
        <f t="shared" si="13"/>
        <v>64.86433773825618</v>
      </c>
      <c r="R165" s="94">
        <f t="shared" si="14"/>
        <v>-39.46937779014976</v>
      </c>
      <c r="S165" s="94" t="str">
        <f t="shared" si="15"/>
        <v>N</v>
      </c>
    </row>
    <row r="166" spans="2:19" ht="14.25">
      <c r="B166" s="54">
        <v>100</v>
      </c>
      <c r="C166" s="54">
        <f t="shared" si="16"/>
        <v>-0.6604658945682227</v>
      </c>
      <c r="D166" s="54">
        <f t="shared" si="17"/>
        <v>47.03283721893804</v>
      </c>
      <c r="E166" s="54">
        <f t="shared" si="18"/>
        <v>46.372371324369816</v>
      </c>
      <c r="F166" s="54"/>
      <c r="G166" s="54">
        <v>100</v>
      </c>
      <c r="H166" s="54">
        <f t="shared" si="19"/>
        <v>-68.77622450687316</v>
      </c>
      <c r="I166" s="54">
        <f t="shared" si="20"/>
        <v>-31.300749462845538</v>
      </c>
      <c r="J166" s="54">
        <f t="shared" si="21"/>
        <v>-100.0769739697187</v>
      </c>
      <c r="K166" s="64"/>
      <c r="L166" s="61"/>
      <c r="M166" s="50"/>
      <c r="P166" s="94">
        <v>3470</v>
      </c>
      <c r="Q166" s="94">
        <f t="shared" si="13"/>
        <v>64.80656757639453</v>
      </c>
      <c r="R166" s="94">
        <f t="shared" si="14"/>
        <v>-39.23320465956474</v>
      </c>
      <c r="S166" s="94" t="str">
        <f t="shared" si="15"/>
        <v>N</v>
      </c>
    </row>
    <row r="167" spans="2:19" ht="14.25">
      <c r="B167" s="54">
        <v>160</v>
      </c>
      <c r="C167" s="54">
        <f t="shared" si="16"/>
        <v>-4.465527934694816</v>
      </c>
      <c r="D167" s="54">
        <f t="shared" si="17"/>
        <v>46.469494175813566</v>
      </c>
      <c r="E167" s="54">
        <f t="shared" si="18"/>
        <v>42.003966241118746</v>
      </c>
      <c r="F167" s="54"/>
      <c r="G167" s="54">
        <v>160</v>
      </c>
      <c r="H167" s="54">
        <f t="shared" si="19"/>
        <v>-73.04192056617325</v>
      </c>
      <c r="I167" s="54">
        <f t="shared" si="20"/>
        <v>-29.119722736429075</v>
      </c>
      <c r="J167" s="54">
        <f t="shared" si="21"/>
        <v>-102.16164330260233</v>
      </c>
      <c r="K167" s="64"/>
      <c r="L167" s="61"/>
      <c r="M167" s="50"/>
      <c r="P167" s="94">
        <v>3480</v>
      </c>
      <c r="Q167" s="94">
        <f t="shared" si="13"/>
        <v>64.74879741453289</v>
      </c>
      <c r="R167" s="94">
        <f t="shared" si="14"/>
        <v>-38.9966443130889</v>
      </c>
      <c r="S167" s="94" t="str">
        <f t="shared" si="15"/>
        <v>N</v>
      </c>
    </row>
    <row r="168" spans="2:19" ht="14.25">
      <c r="B168" s="54">
        <v>250</v>
      </c>
      <c r="C168" s="54">
        <f t="shared" si="16"/>
        <v>-8.180974608153367</v>
      </c>
      <c r="D168" s="54">
        <f t="shared" si="17"/>
        <v>45.90813491657697</v>
      </c>
      <c r="E168" s="54">
        <f t="shared" si="18"/>
        <v>37.727160308423606</v>
      </c>
      <c r="F168" s="54"/>
      <c r="G168" s="54">
        <v>250</v>
      </c>
      <c r="H168" s="54">
        <f t="shared" si="19"/>
        <v>-73.85511528434867</v>
      </c>
      <c r="I168" s="54">
        <f t="shared" si="20"/>
        <v>-31.990251361758702</v>
      </c>
      <c r="J168" s="54">
        <f t="shared" si="21"/>
        <v>-105.84536664610738</v>
      </c>
      <c r="K168" s="64"/>
      <c r="L168" s="61"/>
      <c r="M168" s="50"/>
      <c r="P168" s="95">
        <v>3490</v>
      </c>
      <c r="Q168" s="94">
        <f t="shared" si="13"/>
        <v>64.69102725267123</v>
      </c>
      <c r="R168" s="94">
        <f t="shared" si="14"/>
        <v>-38.75969908547735</v>
      </c>
      <c r="S168" s="94" t="str">
        <f t="shared" si="15"/>
        <v>N</v>
      </c>
    </row>
    <row r="169" spans="2:19" ht="14.25">
      <c r="B169" s="54">
        <v>400</v>
      </c>
      <c r="C169" s="54">
        <f t="shared" si="16"/>
        <v>-12.06091055940406</v>
      </c>
      <c r="D169" s="54">
        <f t="shared" si="17"/>
        <v>44.916318655225346</v>
      </c>
      <c r="E169" s="54">
        <f t="shared" si="18"/>
        <v>32.85540809582129</v>
      </c>
      <c r="F169" s="54"/>
      <c r="G169" s="54">
        <v>400</v>
      </c>
      <c r="H169" s="54">
        <f t="shared" si="19"/>
        <v>-71.38308911221174</v>
      </c>
      <c r="I169" s="54">
        <f t="shared" si="20"/>
        <v>-39.80473555287637</v>
      </c>
      <c r="J169" s="54">
        <f t="shared" si="21"/>
        <v>-111.1878246650881</v>
      </c>
      <c r="K169" s="64"/>
      <c r="L169" s="61"/>
      <c r="M169" s="50"/>
      <c r="P169" s="94">
        <v>3500</v>
      </c>
      <c r="Q169" s="94">
        <f t="shared" si="13"/>
        <v>64.6332570908096</v>
      </c>
      <c r="R169" s="94">
        <f t="shared" si="14"/>
        <v>-38.52237131521507</v>
      </c>
      <c r="S169" s="94" t="str">
        <f t="shared" si="15"/>
        <v>N</v>
      </c>
    </row>
    <row r="170" spans="2:19" ht="14.25">
      <c r="B170" s="54">
        <v>630</v>
      </c>
      <c r="C170" s="54">
        <f t="shared" si="16"/>
        <v>-15.624336755274197</v>
      </c>
      <c r="D170" s="54">
        <f t="shared" si="17"/>
        <v>43.227985705163015</v>
      </c>
      <c r="E170" s="54">
        <f t="shared" si="18"/>
        <v>27.603648949888818</v>
      </c>
      <c r="F170" s="54"/>
      <c r="G170" s="54">
        <v>630</v>
      </c>
      <c r="H170" s="54">
        <f t="shared" si="19"/>
        <v>-65.55360379560102</v>
      </c>
      <c r="I170" s="54">
        <f t="shared" si="20"/>
        <v>-50.48503347560848</v>
      </c>
      <c r="J170" s="54">
        <f t="shared" si="21"/>
        <v>-116.0386372712095</v>
      </c>
      <c r="K170" s="64"/>
      <c r="L170" s="61"/>
      <c r="M170" s="50"/>
      <c r="P170" s="94">
        <v>3510</v>
      </c>
      <c r="Q170" s="94">
        <f t="shared" si="13"/>
        <v>64.57548692894794</v>
      </c>
      <c r="R170" s="94">
        <f t="shared" si="14"/>
        <v>-38.28466334476875</v>
      </c>
      <c r="S170" s="94" t="str">
        <f t="shared" si="15"/>
        <v>N</v>
      </c>
    </row>
    <row r="171" spans="2:19" ht="14.25">
      <c r="B171" s="54">
        <v>1000</v>
      </c>
      <c r="C171" s="54">
        <f t="shared" si="16"/>
        <v>-18.818593408862068</v>
      </c>
      <c r="D171" s="54">
        <f t="shared" si="17"/>
        <v>40.64116502512218</v>
      </c>
      <c r="E171" s="54">
        <f t="shared" si="18"/>
        <v>21.82257161626011</v>
      </c>
      <c r="F171" s="54"/>
      <c r="G171" s="54">
        <v>1000</v>
      </c>
      <c r="H171" s="54">
        <f t="shared" si="19"/>
        <v>-56.07551710282022</v>
      </c>
      <c r="I171" s="54">
        <f t="shared" si="20"/>
        <v>-61.73487268107748</v>
      </c>
      <c r="J171" s="54">
        <f t="shared" si="21"/>
        <v>-117.8103897838977</v>
      </c>
      <c r="K171" s="64"/>
      <c r="L171" s="61"/>
      <c r="P171" s="95">
        <v>3520</v>
      </c>
      <c r="Q171" s="94">
        <f t="shared" si="13"/>
        <v>64.5177167670863</v>
      </c>
      <c r="R171" s="94">
        <f t="shared" si="14"/>
        <v>-38.04657752008246</v>
      </c>
      <c r="S171" s="94" t="str">
        <f t="shared" si="15"/>
        <v>N</v>
      </c>
    </row>
    <row r="172" spans="2:19" ht="14.25">
      <c r="B172" s="54">
        <v>1600</v>
      </c>
      <c r="C172" s="54">
        <f t="shared" si="16"/>
        <v>-21.310988681496184</v>
      </c>
      <c r="D172" s="54">
        <f t="shared" si="17"/>
        <v>37.2976175088919</v>
      </c>
      <c r="E172" s="54">
        <f t="shared" si="18"/>
        <v>15.98662882739572</v>
      </c>
      <c r="F172" s="54"/>
      <c r="G172" s="54">
        <v>1600</v>
      </c>
      <c r="H172" s="54">
        <f t="shared" si="19"/>
        <v>-43.744705428753754</v>
      </c>
      <c r="I172" s="54">
        <f t="shared" si="20"/>
        <v>-71.1817765275136</v>
      </c>
      <c r="J172" s="54">
        <f t="shared" si="21"/>
        <v>-114.92648195626737</v>
      </c>
      <c r="K172" s="64"/>
      <c r="L172" s="61"/>
      <c r="P172" s="94">
        <v>3530</v>
      </c>
      <c r="Q172" s="94">
        <f t="shared" si="13"/>
        <v>64.45994660522466</v>
      </c>
      <c r="R172" s="94">
        <f t="shared" si="14"/>
        <v>-37.80811619103593</v>
      </c>
      <c r="S172" s="94" t="str">
        <f t="shared" si="15"/>
        <v>N</v>
      </c>
    </row>
    <row r="173" spans="2:19" ht="14.25">
      <c r="B173" s="54">
        <v>2500</v>
      </c>
      <c r="C173" s="54">
        <f t="shared" si="16"/>
        <v>-22.82061259300498</v>
      </c>
      <c r="D173" s="54">
        <f t="shared" si="17"/>
        <v>33.73770057706377</v>
      </c>
      <c r="E173" s="54">
        <f t="shared" si="18"/>
        <v>10.917087984058789</v>
      </c>
      <c r="F173" s="54"/>
      <c r="G173" s="54">
        <v>2500</v>
      </c>
      <c r="H173" s="54">
        <f t="shared" si="19"/>
        <v>-31.78106852815633</v>
      </c>
      <c r="I173" s="54">
        <f t="shared" si="20"/>
        <v>-77.63234252351423</v>
      </c>
      <c r="J173" s="54">
        <f t="shared" si="21"/>
        <v>-109.41341105167055</v>
      </c>
      <c r="K173" s="64"/>
      <c r="L173" s="61"/>
      <c r="P173" s="94">
        <v>3540</v>
      </c>
      <c r="Q173" s="94">
        <f t="shared" si="13"/>
        <v>64.402176443363</v>
      </c>
      <c r="R173" s="94">
        <f t="shared" si="14"/>
        <v>-37.5692817112154</v>
      </c>
      <c r="S173" s="94" t="str">
        <f t="shared" si="15"/>
        <v>N</v>
      </c>
    </row>
    <row r="174" spans="2:19" ht="14.25">
      <c r="B174" s="54">
        <v>4000</v>
      </c>
      <c r="C174" s="54">
        <f t="shared" si="16"/>
        <v>-23.66023055730864</v>
      </c>
      <c r="D174" s="54">
        <f t="shared" si="17"/>
        <v>29.796435382340334</v>
      </c>
      <c r="E174" s="54">
        <f t="shared" si="18"/>
        <v>6.136204825031694</v>
      </c>
      <c r="F174" s="54"/>
      <c r="G174" s="54">
        <v>4000</v>
      </c>
      <c r="H174" s="54">
        <f t="shared" si="19"/>
        <v>-21.261577743257174</v>
      </c>
      <c r="I174" s="54">
        <f t="shared" si="20"/>
        <v>-82.17895019338545</v>
      </c>
      <c r="J174" s="54">
        <f t="shared" si="21"/>
        <v>-103.44052793664262</v>
      </c>
      <c r="K174" s="64"/>
      <c r="L174" s="61"/>
      <c r="P174" s="95">
        <v>3550</v>
      </c>
      <c r="Q174" s="94">
        <f t="shared" si="13"/>
        <v>64.34440628150136</v>
      </c>
      <c r="R174" s="94">
        <f t="shared" si="14"/>
        <v>-37.3300764377518</v>
      </c>
      <c r="S174" s="94" t="str">
        <f t="shared" si="15"/>
        <v>N</v>
      </c>
    </row>
    <row r="175" spans="2:19" ht="14.25">
      <c r="B175" s="54">
        <v>6300</v>
      </c>
      <c r="C175" s="54">
        <f t="shared" si="16"/>
        <v>-24.029985578412155</v>
      </c>
      <c r="D175" s="54">
        <f t="shared" si="17"/>
        <v>25.90607272344229</v>
      </c>
      <c r="E175" s="54">
        <f t="shared" si="18"/>
        <v>1.8760871450301337</v>
      </c>
      <c r="F175" s="54"/>
      <c r="G175" s="54">
        <v>6300</v>
      </c>
      <c r="H175" s="54">
        <f t="shared" si="19"/>
        <v>-13.9021274093983</v>
      </c>
      <c r="I175" s="54">
        <f t="shared" si="20"/>
        <v>-85.01146878559624</v>
      </c>
      <c r="J175" s="54">
        <f t="shared" si="21"/>
        <v>-98.91359619499454</v>
      </c>
      <c r="K175" s="64"/>
      <c r="L175" s="31"/>
      <c r="P175" s="94">
        <v>3560</v>
      </c>
      <c r="Q175" s="94">
        <f t="shared" si="13"/>
        <v>64.28663611963971</v>
      </c>
      <c r="R175" s="94">
        <f t="shared" si="14"/>
        <v>-37.09050273150459</v>
      </c>
      <c r="S175" s="94" t="str">
        <f t="shared" si="15"/>
        <v>N</v>
      </c>
    </row>
    <row r="176" spans="2:19" ht="14.25">
      <c r="B176" s="54">
        <v>10000</v>
      </c>
      <c r="C176" s="54">
        <f t="shared" si="16"/>
        <v>-24.19011917036694</v>
      </c>
      <c r="D176" s="54">
        <f t="shared" si="17"/>
        <v>21.915592880266693</v>
      </c>
      <c r="E176" s="54">
        <f t="shared" si="18"/>
        <v>-2.2745262901002476</v>
      </c>
      <c r="F176" s="54"/>
      <c r="G176" s="54">
        <v>10000</v>
      </c>
      <c r="H176" s="54">
        <f t="shared" si="19"/>
        <v>-8.869598489839404</v>
      </c>
      <c r="I176" s="54">
        <f t="shared" si="20"/>
        <v>-86.85131454359772</v>
      </c>
      <c r="J176" s="54">
        <f t="shared" si="21"/>
        <v>-95.72091303343713</v>
      </c>
      <c r="K176" s="64"/>
      <c r="L176" s="31"/>
      <c r="P176" s="94">
        <v>3570</v>
      </c>
      <c r="Q176" s="94">
        <f t="shared" si="13"/>
        <v>64.22886595777807</v>
      </c>
      <c r="R176" s="94">
        <f t="shared" si="14"/>
        <v>-36.85056295696954</v>
      </c>
      <c r="S176" s="94" t="str">
        <f t="shared" si="15"/>
        <v>N</v>
      </c>
    </row>
    <row r="177" spans="2:19" ht="14.25">
      <c r="B177" s="54">
        <v>16000</v>
      </c>
      <c r="C177" s="54">
        <f t="shared" si="16"/>
        <v>-24.25603521529137</v>
      </c>
      <c r="D177" s="54">
        <f t="shared" si="17"/>
        <v>17.842334047796516</v>
      </c>
      <c r="E177" s="54">
        <f t="shared" si="18"/>
        <v>-6.413701167494853</v>
      </c>
      <c r="F177" s="54"/>
      <c r="G177" s="54">
        <v>16000</v>
      </c>
      <c r="H177" s="54">
        <f t="shared" si="19"/>
        <v>-5.5722731669057755</v>
      </c>
      <c r="I177" s="54">
        <f t="shared" si="20"/>
        <v>-88.03058351986513</v>
      </c>
      <c r="J177" s="54">
        <f t="shared" si="21"/>
        <v>-93.6028566867709</v>
      </c>
      <c r="K177" s="64"/>
      <c r="L177" s="31"/>
      <c r="P177" s="95">
        <v>3580</v>
      </c>
      <c r="Q177" s="94">
        <f t="shared" si="13"/>
        <v>64.17109579591641</v>
      </c>
      <c r="R177" s="94">
        <f t="shared" si="14"/>
        <v>-36.61025948218573</v>
      </c>
      <c r="S177" s="94" t="str">
        <f t="shared" si="15"/>
        <v>N</v>
      </c>
    </row>
    <row r="178" spans="2:19" ht="14.25">
      <c r="B178" s="54">
        <v>25000</v>
      </c>
      <c r="C178" s="54">
        <f t="shared" si="16"/>
        <v>-24.28124542527504</v>
      </c>
      <c r="D178" s="54">
        <f t="shared" si="17"/>
        <v>13.969398047333392</v>
      </c>
      <c r="E178" s="54">
        <f t="shared" si="18"/>
        <v>-10.311847377941646</v>
      </c>
      <c r="F178" s="54"/>
      <c r="G178" s="54">
        <v>25000</v>
      </c>
      <c r="H178" s="54">
        <f t="shared" si="19"/>
        <v>-3.573312815409287</v>
      </c>
      <c r="I178" s="54">
        <f t="shared" si="20"/>
        <v>-88.73921238785788</v>
      </c>
      <c r="J178" s="54">
        <f t="shared" si="21"/>
        <v>-92.31252520326716</v>
      </c>
      <c r="K178" s="64"/>
      <c r="L178" s="31"/>
      <c r="P178" s="94">
        <v>3590</v>
      </c>
      <c r="Q178" s="94">
        <f t="shared" si="13"/>
        <v>64.11332563405477</v>
      </c>
      <c r="R178" s="94">
        <f t="shared" si="14"/>
        <v>-36.36959467899059</v>
      </c>
      <c r="S178" s="94" t="str">
        <f t="shared" si="15"/>
        <v>N</v>
      </c>
    </row>
    <row r="179" spans="2:19" ht="14.25">
      <c r="B179" s="54">
        <v>40000</v>
      </c>
      <c r="C179" s="54">
        <f t="shared" si="16"/>
        <v>-24.29194760549333</v>
      </c>
      <c r="D179" s="54">
        <f t="shared" si="17"/>
        <v>9.888463908502358</v>
      </c>
      <c r="E179" s="54">
        <f t="shared" si="18"/>
        <v>-14.403483696990973</v>
      </c>
      <c r="F179" s="54"/>
      <c r="G179" s="54">
        <v>40000</v>
      </c>
      <c r="H179" s="54">
        <f t="shared" si="19"/>
        <v>-2.235194709682903</v>
      </c>
      <c r="I179" s="54">
        <f t="shared" si="20"/>
        <v>-89.21191227377084</v>
      </c>
      <c r="J179" s="54">
        <f t="shared" si="21"/>
        <v>-91.44710698345374</v>
      </c>
      <c r="K179" s="64"/>
      <c r="L179" s="31"/>
      <c r="P179" s="94">
        <v>3600</v>
      </c>
      <c r="Q179" s="94">
        <f t="shared" si="13"/>
        <v>64.05555547219313</v>
      </c>
      <c r="R179" s="94">
        <f t="shared" si="14"/>
        <v>-36.12857092257904</v>
      </c>
      <c r="S179" s="94" t="str">
        <f t="shared" si="15"/>
        <v>N</v>
      </c>
    </row>
    <row r="180" spans="2:19" ht="14.25">
      <c r="B180" s="54">
        <v>63000</v>
      </c>
      <c r="C180" s="54">
        <f t="shared" si="16"/>
        <v>-24.296049386871008</v>
      </c>
      <c r="D180" s="54">
        <f t="shared" si="17"/>
        <v>5.943413602374857</v>
      </c>
      <c r="E180" s="54">
        <f t="shared" si="18"/>
        <v>-18.35263578449615</v>
      </c>
      <c r="F180" s="54"/>
      <c r="G180" s="54">
        <v>63000</v>
      </c>
      <c r="H180" s="54">
        <f t="shared" si="19"/>
        <v>-1.4196274739371726</v>
      </c>
      <c r="I180" s="54">
        <f t="shared" si="20"/>
        <v>-89.4996036418923</v>
      </c>
      <c r="J180" s="54">
        <f t="shared" si="21"/>
        <v>-90.91923111582948</v>
      </c>
      <c r="K180" s="64"/>
      <c r="L180" s="31"/>
      <c r="P180" s="95">
        <v>3610</v>
      </c>
      <c r="Q180" s="94">
        <f t="shared" si="13"/>
        <v>63.99778531033149</v>
      </c>
      <c r="R180" s="94">
        <f t="shared" si="14"/>
        <v>-35.88719059175824</v>
      </c>
      <c r="S180" s="94" t="str">
        <f t="shared" si="15"/>
        <v>N</v>
      </c>
    </row>
    <row r="181" spans="2:19" ht="14.25">
      <c r="B181" s="54">
        <v>100000</v>
      </c>
      <c r="C181" s="54">
        <f t="shared" si="16"/>
        <v>-24.297721269122295</v>
      </c>
      <c r="D181" s="54">
        <f t="shared" si="17"/>
        <v>1.930453064900236</v>
      </c>
      <c r="E181" s="54">
        <f t="shared" si="18"/>
        <v>-22.36726820422206</v>
      </c>
      <c r="F181" s="54"/>
      <c r="G181" s="54">
        <v>100000</v>
      </c>
      <c r="H181" s="54">
        <f t="shared" si="19"/>
        <v>-0.8944824781781019</v>
      </c>
      <c r="I181" s="54">
        <f t="shared" si="20"/>
        <v>-89.6847443405939</v>
      </c>
      <c r="J181" s="54">
        <f t="shared" si="21"/>
        <v>-90.579226818772</v>
      </c>
      <c r="K181" s="64"/>
      <c r="L181" s="31"/>
      <c r="P181" s="94">
        <v>3620</v>
      </c>
      <c r="Q181" s="94">
        <f t="shared" si="13"/>
        <v>63.94001514846984</v>
      </c>
      <c r="R181" s="94">
        <f t="shared" si="14"/>
        <v>-35.645456068714566</v>
      </c>
      <c r="S181" s="94" t="str">
        <f t="shared" si="15"/>
        <v>N</v>
      </c>
    </row>
    <row r="182" spans="2:19" ht="14.25">
      <c r="B182" s="54"/>
      <c r="C182" s="54"/>
      <c r="D182" s="54"/>
      <c r="E182" s="54"/>
      <c r="F182" s="54"/>
      <c r="G182" s="54"/>
      <c r="H182" s="54"/>
      <c r="I182" s="54"/>
      <c r="J182" s="54"/>
      <c r="K182" s="64"/>
      <c r="L182" s="31"/>
      <c r="P182" s="94">
        <v>3630</v>
      </c>
      <c r="Q182" s="94">
        <f t="shared" si="13"/>
        <v>63.88224498660819</v>
      </c>
      <c r="R182" s="94">
        <f t="shared" si="14"/>
        <v>-35.40336973955007</v>
      </c>
      <c r="S182" s="94" t="str">
        <f t="shared" si="15"/>
        <v>N</v>
      </c>
    </row>
    <row r="183" spans="2:19" ht="14.25"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P183" s="95">
        <v>3640</v>
      </c>
      <c r="Q183" s="94">
        <f t="shared" si="13"/>
        <v>63.824474824746545</v>
      </c>
      <c r="R183" s="94">
        <f t="shared" si="14"/>
        <v>-35.16093399341924</v>
      </c>
      <c r="S183" s="94" t="str">
        <f t="shared" si="15"/>
        <v>N</v>
      </c>
    </row>
    <row r="184" spans="11:19" ht="14.25">
      <c r="K184" s="31"/>
      <c r="L184" s="31"/>
      <c r="P184" s="94">
        <v>3650</v>
      </c>
      <c r="Q184" s="94">
        <f t="shared" si="13"/>
        <v>63.766704662884905</v>
      </c>
      <c r="R184" s="94">
        <f t="shared" si="14"/>
        <v>-34.91815122306502</v>
      </c>
      <c r="S184" s="94" t="str">
        <f t="shared" si="15"/>
        <v>N</v>
      </c>
    </row>
    <row r="185" spans="11:19" ht="14.25">
      <c r="K185" s="31"/>
      <c r="L185" s="31"/>
      <c r="P185" s="94">
        <v>3660</v>
      </c>
      <c r="Q185" s="94">
        <f t="shared" si="13"/>
        <v>63.70893450102325</v>
      </c>
      <c r="R185" s="94">
        <f t="shared" si="14"/>
        <v>-34.675023824584876</v>
      </c>
      <c r="S185" s="94" t="str">
        <f t="shared" si="15"/>
        <v>N</v>
      </c>
    </row>
    <row r="186" spans="7:19" ht="14.25">
      <c r="G186" s="31"/>
      <c r="H186" s="31"/>
      <c r="I186" s="31"/>
      <c r="J186" s="31"/>
      <c r="K186" s="31"/>
      <c r="L186" s="31"/>
      <c r="P186" s="95">
        <v>3670</v>
      </c>
      <c r="Q186" s="94">
        <f t="shared" si="13"/>
        <v>63.65116433916161</v>
      </c>
      <c r="R186" s="94">
        <f t="shared" si="14"/>
        <v>-34.431554197688875</v>
      </c>
      <c r="S186" s="94" t="str">
        <f t="shared" si="15"/>
        <v>N</v>
      </c>
    </row>
    <row r="187" spans="6:19" ht="14.25">
      <c r="F187" s="20"/>
      <c r="G187" s="20"/>
      <c r="H187" s="20"/>
      <c r="I187" s="20"/>
      <c r="J187" s="20"/>
      <c r="L187" s="31"/>
      <c r="P187" s="94">
        <v>3680</v>
      </c>
      <c r="Q187" s="94">
        <f t="shared" si="13"/>
        <v>63.593394177299956</v>
      </c>
      <c r="R187" s="94">
        <f t="shared" si="14"/>
        <v>-34.18774474525359</v>
      </c>
      <c r="S187" s="94" t="str">
        <f t="shared" si="15"/>
        <v>N</v>
      </c>
    </row>
    <row r="188" spans="6:19" ht="15">
      <c r="F188" s="43"/>
      <c r="G188" s="43"/>
      <c r="H188" s="43"/>
      <c r="I188" s="43"/>
      <c r="J188" s="54"/>
      <c r="P188" s="94">
        <v>3690</v>
      </c>
      <c r="Q188" s="94">
        <f t="shared" si="13"/>
        <v>63.535624015438316</v>
      </c>
      <c r="R188" s="94">
        <f t="shared" si="14"/>
        <v>-33.94359787357989</v>
      </c>
      <c r="S188" s="94" t="str">
        <f t="shared" si="15"/>
        <v>N</v>
      </c>
    </row>
    <row r="189" spans="1:19" ht="14.25">
      <c r="A189" s="20"/>
      <c r="P189" s="95">
        <v>3700</v>
      </c>
      <c r="Q189" s="94">
        <f t="shared" si="13"/>
        <v>63.477853853576676</v>
      </c>
      <c r="R189" s="94">
        <f t="shared" si="14"/>
        <v>-33.69911599222801</v>
      </c>
      <c r="S189" s="94" t="str">
        <f t="shared" si="15"/>
        <v>N</v>
      </c>
    </row>
    <row r="190" spans="1:19" ht="15">
      <c r="A190" s="43"/>
      <c r="P190" s="94">
        <v>3710</v>
      </c>
      <c r="Q190" s="94">
        <f t="shared" si="13"/>
        <v>63.42008369171502</v>
      </c>
      <c r="R190" s="94">
        <f t="shared" si="14"/>
        <v>-33.454301514206044</v>
      </c>
      <c r="S190" s="94" t="str">
        <f t="shared" si="15"/>
        <v>N</v>
      </c>
    </row>
    <row r="191" spans="16:19" ht="14.25">
      <c r="P191" s="94">
        <v>3720</v>
      </c>
      <c r="Q191" s="94">
        <f t="shared" si="13"/>
        <v>63.36231352985338</v>
      </c>
      <c r="R191" s="94">
        <f t="shared" si="14"/>
        <v>-33.20915685580507</v>
      </c>
      <c r="S191" s="94" t="str">
        <f t="shared" si="15"/>
        <v>N</v>
      </c>
    </row>
    <row r="192" spans="16:19" ht="14.25">
      <c r="P192" s="95">
        <v>3730</v>
      </c>
      <c r="Q192" s="94">
        <f t="shared" si="13"/>
        <v>63.30454336799173</v>
      </c>
      <c r="R192" s="94">
        <f t="shared" si="14"/>
        <v>-32.963684436361966</v>
      </c>
      <c r="S192" s="94" t="str">
        <f t="shared" si="15"/>
        <v>N</v>
      </c>
    </row>
    <row r="193" spans="16:19" ht="14.25">
      <c r="P193" s="94">
        <v>3740</v>
      </c>
      <c r="Q193" s="94">
        <f t="shared" si="13"/>
        <v>63.24677320613009</v>
      </c>
      <c r="R193" s="94">
        <f t="shared" si="14"/>
        <v>-32.71788667873254</v>
      </c>
      <c r="S193" s="94" t="str">
        <f t="shared" si="15"/>
        <v>N</v>
      </c>
    </row>
    <row r="194" spans="16:19" ht="14.25">
      <c r="P194" s="94">
        <v>3750</v>
      </c>
      <c r="Q194" s="94">
        <f t="shared" si="13"/>
        <v>63.18900304426844</v>
      </c>
      <c r="R194" s="94">
        <f t="shared" si="14"/>
        <v>-32.47176600877041</v>
      </c>
      <c r="S194" s="94" t="str">
        <f t="shared" si="15"/>
        <v>N</v>
      </c>
    </row>
    <row r="195" spans="16:19" ht="14.25">
      <c r="P195" s="95">
        <v>3760</v>
      </c>
      <c r="Q195" s="94">
        <f t="shared" si="13"/>
        <v>63.13123288240679</v>
      </c>
      <c r="R195" s="94">
        <f t="shared" si="14"/>
        <v>-32.22532485558722</v>
      </c>
      <c r="S195" s="94" t="str">
        <f t="shared" si="15"/>
        <v>N</v>
      </c>
    </row>
    <row r="196" spans="16:19" ht="14.25">
      <c r="P196" s="94">
        <v>3770</v>
      </c>
      <c r="Q196" s="94">
        <f aca="true" t="shared" si="22" ref="Q196:Q259">Vbr_out*SQRT(2)-Pin/(Cdc*Vbr_out*SQRT(2))*P196*10^-6</f>
        <v>63.073462720545145</v>
      </c>
      <c r="R196" s="94">
        <f aca="true" t="shared" si="23" ref="R196:R259">-Vbr_out*SQRT(2)*COS(2*PI()*fL*(P196*10^-6-0.5*fL))</f>
        <v>-31.978565651457657</v>
      </c>
      <c r="S196" s="94" t="str">
        <f t="shared" si="15"/>
        <v>N</v>
      </c>
    </row>
    <row r="197" spans="16:19" ht="14.25">
      <c r="P197" s="94">
        <v>3780</v>
      </c>
      <c r="Q197" s="94">
        <f t="shared" si="22"/>
        <v>63.015692558683504</v>
      </c>
      <c r="R197" s="94">
        <f t="shared" si="23"/>
        <v>-31.731490831723875</v>
      </c>
      <c r="S197" s="94" t="str">
        <f t="shared" si="15"/>
        <v>N</v>
      </c>
    </row>
    <row r="198" spans="16:19" ht="14.25">
      <c r="P198" s="95">
        <v>3790</v>
      </c>
      <c r="Q198" s="94">
        <f t="shared" si="22"/>
        <v>62.95792239682186</v>
      </c>
      <c r="R198" s="94">
        <f t="shared" si="23"/>
        <v>-31.48410283505766</v>
      </c>
      <c r="S198" s="94" t="str">
        <f t="shared" si="15"/>
        <v>N</v>
      </c>
    </row>
    <row r="199" spans="16:19" ht="14.25">
      <c r="P199" s="94">
        <v>3800</v>
      </c>
      <c r="Q199" s="94">
        <f t="shared" si="22"/>
        <v>62.90015223496021</v>
      </c>
      <c r="R199" s="94">
        <f t="shared" si="23"/>
        <v>-31.236404103007168</v>
      </c>
      <c r="S199" s="94" t="str">
        <f t="shared" si="15"/>
        <v>N</v>
      </c>
    </row>
    <row r="200" spans="16:19" ht="14.25">
      <c r="P200" s="94">
        <v>3810</v>
      </c>
      <c r="Q200" s="94">
        <f t="shared" si="22"/>
        <v>62.84238207309856</v>
      </c>
      <c r="R200" s="94">
        <f t="shared" si="23"/>
        <v>-30.988397080115202</v>
      </c>
      <c r="S200" s="94" t="str">
        <f t="shared" si="15"/>
        <v>N</v>
      </c>
    </row>
    <row r="201" spans="16:19" ht="14.25">
      <c r="P201" s="95">
        <v>3820</v>
      </c>
      <c r="Q201" s="94">
        <f t="shared" si="22"/>
        <v>62.78461191123692</v>
      </c>
      <c r="R201" s="94">
        <f t="shared" si="23"/>
        <v>-30.740084214398156</v>
      </c>
      <c r="S201" s="94" t="str">
        <f t="shared" si="15"/>
        <v>N</v>
      </c>
    </row>
    <row r="202" spans="16:19" ht="14.25">
      <c r="P202" s="94">
        <v>3830</v>
      </c>
      <c r="Q202" s="94">
        <f t="shared" si="22"/>
        <v>62.72684174937527</v>
      </c>
      <c r="R202" s="94">
        <f t="shared" si="23"/>
        <v>-30.491467956460244</v>
      </c>
      <c r="S202" s="94" t="str">
        <f t="shared" si="15"/>
        <v>N</v>
      </c>
    </row>
    <row r="203" spans="16:19" ht="14.25">
      <c r="P203" s="94">
        <v>3840</v>
      </c>
      <c r="Q203" s="94">
        <f t="shared" si="22"/>
        <v>62.66907158751363</v>
      </c>
      <c r="R203" s="94">
        <f t="shared" si="23"/>
        <v>-30.242550760043567</v>
      </c>
      <c r="S203" s="94" t="str">
        <f t="shared" si="15"/>
        <v>N</v>
      </c>
    </row>
    <row r="204" spans="16:19" ht="14.25">
      <c r="P204" s="95">
        <v>3850</v>
      </c>
      <c r="Q204" s="94">
        <f t="shared" si="22"/>
        <v>62.61130142565197</v>
      </c>
      <c r="R204" s="94">
        <f t="shared" si="23"/>
        <v>-29.99333508186037</v>
      </c>
      <c r="S204" s="94" t="str">
        <f t="shared" si="15"/>
        <v>N</v>
      </c>
    </row>
    <row r="205" spans="16:19" ht="14.25">
      <c r="P205" s="94">
        <v>3860</v>
      </c>
      <c r="Q205" s="94">
        <f t="shared" si="22"/>
        <v>62.55353126379033</v>
      </c>
      <c r="R205" s="94">
        <f t="shared" si="23"/>
        <v>-29.74382338149649</v>
      </c>
      <c r="S205" s="94" t="str">
        <f t="shared" si="15"/>
        <v>N</v>
      </c>
    </row>
    <row r="206" spans="16:19" ht="14.25">
      <c r="P206" s="94">
        <v>3870</v>
      </c>
      <c r="Q206" s="94">
        <f t="shared" si="22"/>
        <v>62.49576110192869</v>
      </c>
      <c r="R206" s="94">
        <f t="shared" si="23"/>
        <v>-29.49401812167616</v>
      </c>
      <c r="S206" s="94" t="str">
        <f t="shared" si="15"/>
        <v>N</v>
      </c>
    </row>
    <row r="207" spans="16:19" ht="14.25">
      <c r="P207" s="95">
        <v>3880</v>
      </c>
      <c r="Q207" s="94">
        <f t="shared" si="22"/>
        <v>62.43799094006704</v>
      </c>
      <c r="R207" s="94">
        <f t="shared" si="23"/>
        <v>-29.243921767804242</v>
      </c>
      <c r="S207" s="94" t="str">
        <f t="shared" si="15"/>
        <v>N</v>
      </c>
    </row>
    <row r="208" spans="16:19" ht="14.25">
      <c r="P208" s="94">
        <v>3890</v>
      </c>
      <c r="Q208" s="94">
        <f t="shared" si="22"/>
        <v>62.3802207782054</v>
      </c>
      <c r="R208" s="94">
        <f t="shared" si="23"/>
        <v>-28.993536788230788</v>
      </c>
      <c r="S208" s="94" t="str">
        <f t="shared" si="15"/>
        <v>N</v>
      </c>
    </row>
    <row r="209" spans="16:19" ht="14.25">
      <c r="P209" s="94">
        <v>3900</v>
      </c>
      <c r="Q209" s="94">
        <f t="shared" si="22"/>
        <v>62.322450616343744</v>
      </c>
      <c r="R209" s="94">
        <f t="shared" si="23"/>
        <v>-28.742865654009233</v>
      </c>
      <c r="S209" s="94" t="str">
        <f t="shared" si="15"/>
        <v>N</v>
      </c>
    </row>
    <row r="210" spans="2:19" ht="14.25">
      <c r="B210" s="20"/>
      <c r="C210" s="20"/>
      <c r="D210" s="20"/>
      <c r="E210" s="20"/>
      <c r="F210" s="20"/>
      <c r="G210" s="20"/>
      <c r="H210" s="20"/>
      <c r="I210" s="20"/>
      <c r="P210" s="95">
        <v>3910</v>
      </c>
      <c r="Q210" s="94">
        <f t="shared" si="22"/>
        <v>62.264680454482104</v>
      </c>
      <c r="R210" s="94">
        <f t="shared" si="23"/>
        <v>-28.491910839452757</v>
      </c>
      <c r="S210" s="94" t="str">
        <f t="shared" si="15"/>
        <v>N</v>
      </c>
    </row>
    <row r="211" spans="2:19" ht="14.25">
      <c r="B211" s="20"/>
      <c r="C211" s="20"/>
      <c r="D211" s="20"/>
      <c r="E211" s="20"/>
      <c r="F211" s="20"/>
      <c r="G211" s="20"/>
      <c r="H211" s="20"/>
      <c r="I211" s="20"/>
      <c r="P211" s="94">
        <v>3920</v>
      </c>
      <c r="Q211" s="94">
        <f t="shared" si="22"/>
        <v>62.20691029262046</v>
      </c>
      <c r="R211" s="94">
        <f t="shared" si="23"/>
        <v>-28.240674821238997</v>
      </c>
      <c r="S211" s="94" t="str">
        <f t="shared" si="15"/>
        <v>N</v>
      </c>
    </row>
    <row r="212" spans="1:19" ht="14.25">
      <c r="A212" s="20"/>
      <c r="B212" s="20"/>
      <c r="C212" s="20"/>
      <c r="D212" s="20"/>
      <c r="E212" s="20"/>
      <c r="F212" s="20"/>
      <c r="G212" s="20"/>
      <c r="H212" s="20"/>
      <c r="I212" s="20"/>
      <c r="P212" s="94">
        <v>3930</v>
      </c>
      <c r="Q212" s="94">
        <f t="shared" si="22"/>
        <v>62.14914013075881</v>
      </c>
      <c r="R212" s="94">
        <f t="shared" si="23"/>
        <v>-27.989160078893182</v>
      </c>
      <c r="S212" s="94" t="str">
        <f aca="true" t="shared" si="24" ref="S212:S275">IF(Q212-R212&lt;0.3,R212,"N")</f>
        <v>N</v>
      </c>
    </row>
    <row r="213" spans="1:19" ht="14.25">
      <c r="A213" s="20"/>
      <c r="B213" s="20"/>
      <c r="C213" s="20"/>
      <c r="D213" s="20"/>
      <c r="E213" s="20"/>
      <c r="F213" s="20"/>
      <c r="G213" s="20"/>
      <c r="H213" s="20"/>
      <c r="I213" s="20"/>
      <c r="P213" s="95">
        <v>3940</v>
      </c>
      <c r="Q213" s="94">
        <f t="shared" si="22"/>
        <v>62.09136996889716</v>
      </c>
      <c r="R213" s="94">
        <f t="shared" si="23"/>
        <v>-27.7373690949099</v>
      </c>
      <c r="S213" s="94" t="str">
        <f t="shared" si="24"/>
        <v>N</v>
      </c>
    </row>
    <row r="214" spans="1:19" ht="14.25">
      <c r="A214" s="20"/>
      <c r="B214" s="20"/>
      <c r="C214" s="20"/>
      <c r="D214" s="20"/>
      <c r="E214" s="20"/>
      <c r="F214" s="20"/>
      <c r="G214" s="20"/>
      <c r="H214" s="20"/>
      <c r="I214" s="20"/>
      <c r="P214" s="94">
        <v>3950</v>
      </c>
      <c r="Q214" s="94">
        <f t="shared" si="22"/>
        <v>62.03359980703552</v>
      </c>
      <c r="R214" s="94">
        <f t="shared" si="23"/>
        <v>-27.48530435429174</v>
      </c>
      <c r="S214" s="94" t="str">
        <f t="shared" si="24"/>
        <v>N</v>
      </c>
    </row>
    <row r="215" spans="1:19" ht="15">
      <c r="A215" s="20"/>
      <c r="B215" s="43"/>
      <c r="C215" s="43"/>
      <c r="D215" s="43"/>
      <c r="E215" s="43"/>
      <c r="F215" s="43"/>
      <c r="G215" s="43"/>
      <c r="H215" s="43"/>
      <c r="I215" s="43"/>
      <c r="P215" s="94">
        <v>3960</v>
      </c>
      <c r="Q215" s="94">
        <f t="shared" si="22"/>
        <v>61.975829645173874</v>
      </c>
      <c r="R215" s="94">
        <f t="shared" si="23"/>
        <v>-27.232968344815916</v>
      </c>
      <c r="S215" s="94" t="str">
        <f t="shared" si="24"/>
        <v>N</v>
      </c>
    </row>
    <row r="216" spans="1:19" ht="14.25">
      <c r="A216" s="20"/>
      <c r="B216" s="34"/>
      <c r="C216" s="34"/>
      <c r="D216" s="40"/>
      <c r="E216" s="20"/>
      <c r="F216" s="20"/>
      <c r="G216" s="20"/>
      <c r="H216" s="20"/>
      <c r="I216" s="20"/>
      <c r="P216" s="95">
        <v>3970</v>
      </c>
      <c r="Q216" s="94">
        <f t="shared" si="22"/>
        <v>61.91805948331223</v>
      </c>
      <c r="R216" s="94">
        <f t="shared" si="23"/>
        <v>-26.980363556936982</v>
      </c>
      <c r="S216" s="94" t="str">
        <f t="shared" si="24"/>
        <v>N</v>
      </c>
    </row>
    <row r="217" spans="1:19" ht="15">
      <c r="A217" s="43"/>
      <c r="B217" s="34"/>
      <c r="C217" s="34"/>
      <c r="D217" s="40"/>
      <c r="E217" s="20"/>
      <c r="F217" s="20"/>
      <c r="G217" s="20"/>
      <c r="H217" s="20"/>
      <c r="I217" s="20"/>
      <c r="P217" s="94">
        <v>3980</v>
      </c>
      <c r="Q217" s="94">
        <f t="shared" si="22"/>
        <v>61.86028932145058</v>
      </c>
      <c r="R217" s="94">
        <f t="shared" si="23"/>
        <v>-26.72749248368897</v>
      </c>
      <c r="S217" s="94" t="str">
        <f t="shared" si="24"/>
        <v>N</v>
      </c>
    </row>
    <row r="218" spans="1:19" ht="14.25">
      <c r="A218" s="20"/>
      <c r="B218" s="34"/>
      <c r="C218" s="34"/>
      <c r="D218" s="40"/>
      <c r="E218" s="20"/>
      <c r="F218" s="20"/>
      <c r="G218" s="20"/>
      <c r="H218" s="20"/>
      <c r="I218" s="20"/>
      <c r="P218" s="94">
        <v>3990</v>
      </c>
      <c r="Q218" s="94">
        <f t="shared" si="22"/>
        <v>61.80251915958894</v>
      </c>
      <c r="R218" s="94">
        <f t="shared" si="23"/>
        <v>-26.47435762088037</v>
      </c>
      <c r="S218" s="94" t="str">
        <f t="shared" si="24"/>
        <v>N</v>
      </c>
    </row>
    <row r="219" spans="1:19" ht="14.25">
      <c r="A219" s="20"/>
      <c r="B219" s="34"/>
      <c r="C219" s="34"/>
      <c r="D219" s="40"/>
      <c r="E219" s="20"/>
      <c r="F219" s="20"/>
      <c r="G219" s="20"/>
      <c r="H219" s="20"/>
      <c r="I219" s="20"/>
      <c r="P219" s="95">
        <v>4000</v>
      </c>
      <c r="Q219" s="94">
        <f t="shared" si="22"/>
        <v>61.744748997727285</v>
      </c>
      <c r="R219" s="94">
        <f t="shared" si="23"/>
        <v>-26.220961466923473</v>
      </c>
      <c r="S219" s="94" t="str">
        <f t="shared" si="24"/>
        <v>N</v>
      </c>
    </row>
    <row r="220" spans="1:19" ht="14.25">
      <c r="A220" s="20"/>
      <c r="B220" s="34"/>
      <c r="C220" s="34"/>
      <c r="D220" s="40"/>
      <c r="E220" s="20"/>
      <c r="F220" s="20"/>
      <c r="G220" s="20"/>
      <c r="H220" s="20"/>
      <c r="I220" s="20"/>
      <c r="P220" s="94">
        <v>4010</v>
      </c>
      <c r="Q220" s="94">
        <f t="shared" si="22"/>
        <v>61.686978835865645</v>
      </c>
      <c r="R220" s="94">
        <f t="shared" si="23"/>
        <v>-25.96730652258932</v>
      </c>
      <c r="S220" s="94" t="str">
        <f t="shared" si="24"/>
        <v>N</v>
      </c>
    </row>
    <row r="221" spans="1:19" ht="14.25">
      <c r="A221" s="20"/>
      <c r="B221" s="34"/>
      <c r="C221" s="34"/>
      <c r="D221" s="40"/>
      <c r="E221" s="20"/>
      <c r="F221" s="20"/>
      <c r="G221" s="20"/>
      <c r="H221" s="20"/>
      <c r="I221" s="20"/>
      <c r="P221" s="94">
        <v>4020</v>
      </c>
      <c r="Q221" s="94">
        <f t="shared" si="22"/>
        <v>61.62920867400399</v>
      </c>
      <c r="R221" s="94">
        <f t="shared" si="23"/>
        <v>-25.71339529149666</v>
      </c>
      <c r="S221" s="94" t="str">
        <f t="shared" si="24"/>
        <v>N</v>
      </c>
    </row>
    <row r="222" spans="1:19" ht="14.25">
      <c r="A222" s="20"/>
      <c r="B222" s="34"/>
      <c r="C222" s="34"/>
      <c r="D222" s="40"/>
      <c r="E222" s="20"/>
      <c r="F222" s="20"/>
      <c r="G222" s="20"/>
      <c r="H222" s="20"/>
      <c r="I222" s="20"/>
      <c r="P222" s="95">
        <v>4030</v>
      </c>
      <c r="Q222" s="94">
        <f t="shared" si="22"/>
        <v>61.57143851214235</v>
      </c>
      <c r="R222" s="94">
        <f t="shared" si="23"/>
        <v>-25.45923027957344</v>
      </c>
      <c r="S222" s="94" t="str">
        <f t="shared" si="24"/>
        <v>N</v>
      </c>
    </row>
    <row r="223" spans="1:19" ht="14.25">
      <c r="A223" s="20"/>
      <c r="B223" s="20"/>
      <c r="C223" s="20"/>
      <c r="D223" s="20"/>
      <c r="E223" s="20"/>
      <c r="F223" s="20"/>
      <c r="G223" s="20"/>
      <c r="H223" s="20"/>
      <c r="I223" s="20"/>
      <c r="P223" s="94">
        <v>4040</v>
      </c>
      <c r="Q223" s="94">
        <f t="shared" si="22"/>
        <v>61.51366835028071</v>
      </c>
      <c r="R223" s="94">
        <f t="shared" si="23"/>
        <v>-25.204813995325726</v>
      </c>
      <c r="S223" s="94" t="str">
        <f t="shared" si="24"/>
        <v>N</v>
      </c>
    </row>
    <row r="224" spans="1:19" ht="15">
      <c r="A224" s="20"/>
      <c r="B224" s="44"/>
      <c r="C224" s="99"/>
      <c r="D224" s="39"/>
      <c r="E224" s="20"/>
      <c r="F224" s="20"/>
      <c r="G224" s="20"/>
      <c r="H224" s="20"/>
      <c r="I224" s="20"/>
      <c r="P224" s="94">
        <v>4050</v>
      </c>
      <c r="Q224" s="94">
        <f t="shared" si="22"/>
        <v>61.455898188419056</v>
      </c>
      <c r="R224" s="94">
        <f t="shared" si="23"/>
        <v>-24.95014894973952</v>
      </c>
      <c r="S224" s="94" t="str">
        <f t="shared" si="24"/>
        <v>N</v>
      </c>
    </row>
    <row r="225" spans="1:19" ht="15">
      <c r="A225" s="20"/>
      <c r="B225" s="44"/>
      <c r="C225" s="44"/>
      <c r="D225" s="39"/>
      <c r="E225" s="20"/>
      <c r="F225" s="20"/>
      <c r="G225" s="20"/>
      <c r="H225" s="20"/>
      <c r="I225" s="20"/>
      <c r="P225" s="95">
        <v>4060</v>
      </c>
      <c r="Q225" s="94">
        <f t="shared" si="22"/>
        <v>61.398128026557416</v>
      </c>
      <c r="R225" s="94">
        <f t="shared" si="23"/>
        <v>-24.695237656182183</v>
      </c>
      <c r="S225" s="94" t="str">
        <f t="shared" si="24"/>
        <v>N</v>
      </c>
    </row>
    <row r="226" spans="1:19" ht="15">
      <c r="A226" s="20"/>
      <c r="B226" s="44"/>
      <c r="C226" s="44"/>
      <c r="D226" s="39"/>
      <c r="E226" s="20"/>
      <c r="F226" s="20"/>
      <c r="G226" s="20"/>
      <c r="H226" s="20"/>
      <c r="I226" s="20"/>
      <c r="P226" s="94">
        <v>4070</v>
      </c>
      <c r="Q226" s="94">
        <f t="shared" si="22"/>
        <v>61.34035786469576</v>
      </c>
      <c r="R226" s="94">
        <f t="shared" si="23"/>
        <v>-24.440082630672865</v>
      </c>
      <c r="S226" s="94" t="str">
        <f t="shared" si="24"/>
        <v>N</v>
      </c>
    </row>
    <row r="227" spans="1:19" ht="14.25">
      <c r="A227" s="20"/>
      <c r="B227" s="20"/>
      <c r="C227" s="20"/>
      <c r="D227" s="20"/>
      <c r="E227" s="20"/>
      <c r="F227" s="20"/>
      <c r="G227" s="20"/>
      <c r="H227" s="20"/>
      <c r="I227" s="20"/>
      <c r="P227" s="94">
        <v>4080</v>
      </c>
      <c r="Q227" s="94">
        <f t="shared" si="22"/>
        <v>61.28258770283412</v>
      </c>
      <c r="R227" s="94">
        <f t="shared" si="23"/>
        <v>-24.18468639141489</v>
      </c>
      <c r="S227" s="94" t="str">
        <f t="shared" si="24"/>
        <v>N</v>
      </c>
    </row>
    <row r="228" spans="1:19" ht="14.25">
      <c r="A228" s="20"/>
      <c r="B228" s="40"/>
      <c r="C228" s="40"/>
      <c r="D228" s="40"/>
      <c r="E228" s="40"/>
      <c r="F228" s="40"/>
      <c r="G228" s="40"/>
      <c r="H228" s="40"/>
      <c r="I228" s="40"/>
      <c r="J228" s="9"/>
      <c r="P228" s="95">
        <v>4090</v>
      </c>
      <c r="Q228" s="94">
        <f t="shared" si="22"/>
        <v>61.224817540972474</v>
      </c>
      <c r="R228" s="94">
        <f t="shared" si="23"/>
        <v>-23.929051458917954</v>
      </c>
      <c r="S228" s="94" t="str">
        <f t="shared" si="24"/>
        <v>N</v>
      </c>
    </row>
    <row r="229" spans="1:19" ht="14.25">
      <c r="A229" s="20"/>
      <c r="B229" s="54"/>
      <c r="C229" s="54"/>
      <c r="D229" s="54"/>
      <c r="E229" s="54"/>
      <c r="F229" s="54"/>
      <c r="G229" s="54"/>
      <c r="H229" s="54"/>
      <c r="I229" s="54"/>
      <c r="J229" s="9"/>
      <c r="P229" s="94">
        <v>4100</v>
      </c>
      <c r="Q229" s="94">
        <f t="shared" si="22"/>
        <v>61.16704737911083</v>
      </c>
      <c r="R229" s="94">
        <f t="shared" si="23"/>
        <v>-23.673180356491656</v>
      </c>
      <c r="S229" s="94" t="str">
        <f t="shared" si="24"/>
        <v>N</v>
      </c>
    </row>
    <row r="230" spans="1:19" ht="14.25">
      <c r="A230" s="20"/>
      <c r="B230" s="54"/>
      <c r="C230" s="54"/>
      <c r="D230" s="54"/>
      <c r="E230" s="54"/>
      <c r="F230" s="54"/>
      <c r="G230" s="54"/>
      <c r="H230" s="54"/>
      <c r="I230" s="54"/>
      <c r="J230" s="9"/>
      <c r="P230" s="94">
        <v>4110</v>
      </c>
      <c r="Q230" s="94">
        <f t="shared" si="22"/>
        <v>61.10927721724918</v>
      </c>
      <c r="R230" s="94">
        <f t="shared" si="23"/>
        <v>-23.417075609332542</v>
      </c>
      <c r="S230" s="94" t="str">
        <f t="shared" si="24"/>
        <v>N</v>
      </c>
    </row>
    <row r="231" spans="1:19" ht="14.25">
      <c r="A231" s="54"/>
      <c r="B231" s="52"/>
      <c r="C231" s="52"/>
      <c r="D231" s="54"/>
      <c r="E231" s="52"/>
      <c r="F231" s="52"/>
      <c r="G231" s="52"/>
      <c r="H231" s="52"/>
      <c r="I231" s="54"/>
      <c r="J231" s="9"/>
      <c r="P231" s="95">
        <v>4120</v>
      </c>
      <c r="Q231" s="94">
        <f t="shared" si="22"/>
        <v>61.05150705538754</v>
      </c>
      <c r="R231" s="94">
        <f t="shared" si="23"/>
        <v>-23.160739745091067</v>
      </c>
      <c r="S231" s="94" t="str">
        <f t="shared" si="24"/>
        <v>N</v>
      </c>
    </row>
    <row r="232" spans="1:19" ht="14.25">
      <c r="A232" s="54"/>
      <c r="B232" s="52"/>
      <c r="C232" s="52"/>
      <c r="D232" s="54"/>
      <c r="E232" s="52"/>
      <c r="F232" s="52"/>
      <c r="G232" s="52"/>
      <c r="H232" s="52"/>
      <c r="I232" s="54"/>
      <c r="J232" s="9"/>
      <c r="P232" s="94">
        <v>4130</v>
      </c>
      <c r="Q232" s="94">
        <f t="shared" si="22"/>
        <v>60.99373689352589</v>
      </c>
      <c r="R232" s="94">
        <f t="shared" si="23"/>
        <v>-22.904175293624416</v>
      </c>
      <c r="S232" s="94" t="str">
        <f t="shared" si="24"/>
        <v>N</v>
      </c>
    </row>
    <row r="233" spans="1:19" ht="14.25">
      <c r="A233" s="52"/>
      <c r="B233" s="52"/>
      <c r="C233" s="52"/>
      <c r="D233" s="54"/>
      <c r="E233" s="52"/>
      <c r="F233" s="52"/>
      <c r="G233" s="52"/>
      <c r="H233" s="52"/>
      <c r="I233" s="54"/>
      <c r="J233" s="9"/>
      <c r="P233" s="94">
        <v>4140</v>
      </c>
      <c r="Q233" s="94">
        <f t="shared" si="22"/>
        <v>60.935966731664244</v>
      </c>
      <c r="R233" s="94">
        <f t="shared" si="23"/>
        <v>-22.64738478726869</v>
      </c>
      <c r="S233" s="94" t="str">
        <f t="shared" si="24"/>
        <v>N</v>
      </c>
    </row>
    <row r="234" spans="1:19" ht="14.25">
      <c r="A234" s="52"/>
      <c r="B234" s="52"/>
      <c r="C234" s="52"/>
      <c r="D234" s="54"/>
      <c r="E234" s="52"/>
      <c r="F234" s="52"/>
      <c r="G234" s="52"/>
      <c r="H234" s="52"/>
      <c r="I234" s="54"/>
      <c r="J234" s="9"/>
      <c r="P234" s="95">
        <v>4150</v>
      </c>
      <c r="Q234" s="94">
        <f t="shared" si="22"/>
        <v>60.8781965698026</v>
      </c>
      <c r="R234" s="94">
        <f t="shared" si="23"/>
        <v>-22.390370760368288</v>
      </c>
      <c r="S234" s="94" t="str">
        <f t="shared" si="24"/>
        <v>N</v>
      </c>
    </row>
    <row r="235" spans="1:19" ht="14.25">
      <c r="A235" s="52"/>
      <c r="B235" s="52"/>
      <c r="C235" s="52"/>
      <c r="D235" s="54"/>
      <c r="E235" s="52"/>
      <c r="F235" s="52"/>
      <c r="G235" s="52"/>
      <c r="H235" s="52"/>
      <c r="I235" s="54"/>
      <c r="J235" s="9"/>
      <c r="P235" s="94">
        <v>4160</v>
      </c>
      <c r="Q235" s="94">
        <f t="shared" si="22"/>
        <v>60.82042640794096</v>
      </c>
      <c r="R235" s="94">
        <f t="shared" si="23"/>
        <v>-22.133135749547883</v>
      </c>
      <c r="S235" s="94" t="str">
        <f t="shared" si="24"/>
        <v>N</v>
      </c>
    </row>
    <row r="236" spans="1:19" ht="14.25">
      <c r="A236" s="52"/>
      <c r="B236" s="52"/>
      <c r="C236" s="52"/>
      <c r="D236" s="54"/>
      <c r="E236" s="52"/>
      <c r="F236" s="52"/>
      <c r="G236" s="52"/>
      <c r="H236" s="52"/>
      <c r="I236" s="54"/>
      <c r="J236" s="9"/>
      <c r="P236" s="94">
        <v>4170</v>
      </c>
      <c r="Q236" s="94">
        <f t="shared" si="22"/>
        <v>60.7626562460793</v>
      </c>
      <c r="R236" s="94">
        <f t="shared" si="23"/>
        <v>-21.875682293613178</v>
      </c>
      <c r="S236" s="94" t="str">
        <f t="shared" si="24"/>
        <v>N</v>
      </c>
    </row>
    <row r="237" spans="1:19" ht="14.25">
      <c r="A237" s="52"/>
      <c r="B237" s="52"/>
      <c r="C237" s="52"/>
      <c r="D237" s="54"/>
      <c r="E237" s="52"/>
      <c r="F237" s="52"/>
      <c r="G237" s="52"/>
      <c r="H237" s="52"/>
      <c r="I237" s="54"/>
      <c r="J237" s="9"/>
      <c r="P237" s="95">
        <v>4180</v>
      </c>
      <c r="Q237" s="94">
        <f t="shared" si="22"/>
        <v>60.70488608421766</v>
      </c>
      <c r="R237" s="94">
        <f t="shared" si="23"/>
        <v>-21.6180129333766</v>
      </c>
      <c r="S237" s="94" t="str">
        <f t="shared" si="24"/>
        <v>N</v>
      </c>
    </row>
    <row r="238" spans="1:19" ht="14.25">
      <c r="A238" s="52"/>
      <c r="B238" s="52"/>
      <c r="C238" s="52"/>
      <c r="D238" s="54"/>
      <c r="E238" s="52"/>
      <c r="F238" s="52"/>
      <c r="G238" s="52"/>
      <c r="H238" s="52"/>
      <c r="I238" s="54"/>
      <c r="J238" s="9"/>
      <c r="P238" s="94">
        <v>4190</v>
      </c>
      <c r="Q238" s="94">
        <f t="shared" si="22"/>
        <v>60.64711592235601</v>
      </c>
      <c r="R238" s="94">
        <f t="shared" si="23"/>
        <v>-21.360130212229087</v>
      </c>
      <c r="S238" s="94" t="str">
        <f t="shared" si="24"/>
        <v>N</v>
      </c>
    </row>
    <row r="239" spans="1:19" ht="14.25">
      <c r="A239" s="52"/>
      <c r="B239" s="52"/>
      <c r="C239" s="52"/>
      <c r="D239" s="54"/>
      <c r="E239" s="52"/>
      <c r="F239" s="52"/>
      <c r="G239" s="52"/>
      <c r="H239" s="52"/>
      <c r="I239" s="54"/>
      <c r="J239" s="9"/>
      <c r="P239" s="94">
        <v>4200</v>
      </c>
      <c r="Q239" s="94">
        <f t="shared" si="22"/>
        <v>60.58934576049437</v>
      </c>
      <c r="R239" s="94">
        <f t="shared" si="23"/>
        <v>-21.10203667521986</v>
      </c>
      <c r="S239" s="94" t="str">
        <f t="shared" si="24"/>
        <v>N</v>
      </c>
    </row>
    <row r="240" spans="1:19" ht="14.25">
      <c r="A240" s="52"/>
      <c r="B240" s="52"/>
      <c r="C240" s="52"/>
      <c r="D240" s="54"/>
      <c r="E240" s="52"/>
      <c r="F240" s="52"/>
      <c r="G240" s="52"/>
      <c r="H240" s="52"/>
      <c r="I240" s="54"/>
      <c r="J240" s="9"/>
      <c r="P240" s="95">
        <v>4210</v>
      </c>
      <c r="Q240" s="94">
        <f t="shared" si="22"/>
        <v>60.53157559863273</v>
      </c>
      <c r="R240" s="94">
        <f t="shared" si="23"/>
        <v>-20.843734869553117</v>
      </c>
      <c r="S240" s="94" t="str">
        <f t="shared" si="24"/>
        <v>N</v>
      </c>
    </row>
    <row r="241" spans="1:19" ht="14.25">
      <c r="A241" s="52"/>
      <c r="B241" s="52"/>
      <c r="C241" s="52"/>
      <c r="D241" s="54"/>
      <c r="E241" s="52"/>
      <c r="F241" s="52"/>
      <c r="G241" s="52"/>
      <c r="H241" s="52"/>
      <c r="I241" s="54"/>
      <c r="J241" s="9"/>
      <c r="P241" s="94">
        <v>4220</v>
      </c>
      <c r="Q241" s="94">
        <f t="shared" si="22"/>
        <v>60.47380543677107</v>
      </c>
      <c r="R241" s="94">
        <f t="shared" si="23"/>
        <v>-20.585227344712962</v>
      </c>
      <c r="S241" s="94" t="str">
        <f t="shared" si="24"/>
        <v>N</v>
      </c>
    </row>
    <row r="242" spans="1:19" ht="14.25">
      <c r="A242" s="52"/>
      <c r="B242" s="52"/>
      <c r="C242" s="52"/>
      <c r="D242" s="54"/>
      <c r="E242" s="52"/>
      <c r="F242" s="52"/>
      <c r="G242" s="52"/>
      <c r="H242" s="52"/>
      <c r="I242" s="54"/>
      <c r="J242" s="9"/>
      <c r="P242" s="94">
        <v>4230</v>
      </c>
      <c r="Q242" s="94">
        <f t="shared" si="22"/>
        <v>60.41603527490943</v>
      </c>
      <c r="R242" s="94">
        <f t="shared" si="23"/>
        <v>-20.326516651989543</v>
      </c>
      <c r="S242" s="94" t="str">
        <f t="shared" si="24"/>
        <v>N</v>
      </c>
    </row>
    <row r="243" spans="1:19" ht="14.25">
      <c r="A243" s="52"/>
      <c r="B243" s="52"/>
      <c r="C243" s="52"/>
      <c r="D243" s="54"/>
      <c r="E243" s="52"/>
      <c r="F243" s="52"/>
      <c r="G243" s="52"/>
      <c r="H243" s="52"/>
      <c r="I243" s="54"/>
      <c r="J243" s="9"/>
      <c r="P243" s="95">
        <v>4240</v>
      </c>
      <c r="Q243" s="94">
        <f t="shared" si="22"/>
        <v>60.35826511304778</v>
      </c>
      <c r="R243" s="94">
        <f t="shared" si="23"/>
        <v>-20.067605344752963</v>
      </c>
      <c r="S243" s="94" t="str">
        <f t="shared" si="24"/>
        <v>N</v>
      </c>
    </row>
    <row r="244" spans="1:19" ht="14.25">
      <c r="A244" s="52"/>
      <c r="B244" s="52"/>
      <c r="C244" s="52"/>
      <c r="D244" s="54"/>
      <c r="E244" s="52"/>
      <c r="F244" s="52"/>
      <c r="G244" s="52"/>
      <c r="H244" s="52"/>
      <c r="I244" s="54"/>
      <c r="J244" s="9"/>
      <c r="P244" s="94">
        <v>4250</v>
      </c>
      <c r="Q244" s="94">
        <f t="shared" si="22"/>
        <v>60.30049495118614</v>
      </c>
      <c r="R244" s="94">
        <f t="shared" si="23"/>
        <v>-19.80849597835329</v>
      </c>
      <c r="S244" s="94" t="str">
        <f t="shared" si="24"/>
        <v>N</v>
      </c>
    </row>
    <row r="245" spans="1:19" ht="14.25">
      <c r="A245" s="52"/>
      <c r="B245" s="52"/>
      <c r="C245" s="52"/>
      <c r="D245" s="54"/>
      <c r="E245" s="52"/>
      <c r="F245" s="52"/>
      <c r="G245" s="52"/>
      <c r="H245" s="52"/>
      <c r="I245" s="54"/>
      <c r="J245" s="9"/>
      <c r="P245" s="94">
        <v>4260</v>
      </c>
      <c r="Q245" s="94">
        <f t="shared" si="22"/>
        <v>60.24272478932449</v>
      </c>
      <c r="R245" s="94">
        <f t="shared" si="23"/>
        <v>-19.549191110020267</v>
      </c>
      <c r="S245" s="94" t="str">
        <f t="shared" si="24"/>
        <v>N</v>
      </c>
    </row>
    <row r="246" spans="1:19" ht="14.25">
      <c r="A246" s="52"/>
      <c r="B246" s="52"/>
      <c r="C246" s="52"/>
      <c r="D246" s="54"/>
      <c r="E246" s="52"/>
      <c r="F246" s="52"/>
      <c r="G246" s="52"/>
      <c r="H246" s="52"/>
      <c r="I246" s="54"/>
      <c r="J246" s="9"/>
      <c r="P246" s="95">
        <v>4270</v>
      </c>
      <c r="Q246" s="94">
        <f t="shared" si="22"/>
        <v>60.184954627462844</v>
      </c>
      <c r="R246" s="94">
        <f t="shared" si="23"/>
        <v>-19.28969329906324</v>
      </c>
      <c r="S246" s="94" t="str">
        <f t="shared" si="24"/>
        <v>N</v>
      </c>
    </row>
    <row r="247" spans="1:19" ht="14.25">
      <c r="A247" s="52"/>
      <c r="B247" s="52"/>
      <c r="C247" s="52"/>
      <c r="D247" s="54"/>
      <c r="E247" s="52"/>
      <c r="F247" s="52"/>
      <c r="G247" s="52"/>
      <c r="H247" s="52"/>
      <c r="I247" s="54"/>
      <c r="J247" s="9"/>
      <c r="P247" s="94">
        <v>4280</v>
      </c>
      <c r="Q247" s="94">
        <f t="shared" si="22"/>
        <v>60.1271844656012</v>
      </c>
      <c r="R247" s="94">
        <f t="shared" si="23"/>
        <v>-19.03000510669606</v>
      </c>
      <c r="S247" s="94" t="str">
        <f t="shared" si="24"/>
        <v>N</v>
      </c>
    </row>
    <row r="248" spans="1:19" ht="14.25">
      <c r="A248" s="52"/>
      <c r="B248" s="52"/>
      <c r="C248" s="52"/>
      <c r="D248" s="54"/>
      <c r="E248" s="52"/>
      <c r="F248" s="52"/>
      <c r="G248" s="52"/>
      <c r="H248" s="52"/>
      <c r="I248" s="54"/>
      <c r="J248" s="9"/>
      <c r="P248" s="94">
        <v>4290</v>
      </c>
      <c r="Q248" s="94">
        <f t="shared" si="22"/>
        <v>60.069414303739556</v>
      </c>
      <c r="R248" s="94">
        <f t="shared" si="23"/>
        <v>-18.770129095785972</v>
      </c>
      <c r="S248" s="94" t="str">
        <f t="shared" si="24"/>
        <v>N</v>
      </c>
    </row>
    <row r="249" spans="1:19" ht="14.25">
      <c r="A249" s="52"/>
      <c r="B249" s="52"/>
      <c r="C249" s="52"/>
      <c r="D249" s="54"/>
      <c r="E249" s="52"/>
      <c r="F249" s="52"/>
      <c r="G249" s="52"/>
      <c r="H249" s="52"/>
      <c r="I249" s="54"/>
      <c r="J249" s="9"/>
      <c r="P249" s="95">
        <v>4300</v>
      </c>
      <c r="Q249" s="94">
        <f t="shared" si="22"/>
        <v>60.01164414187791</v>
      </c>
      <c r="R249" s="94">
        <f t="shared" si="23"/>
        <v>-18.510067831354764</v>
      </c>
      <c r="S249" s="94" t="str">
        <f t="shared" si="24"/>
        <v>N</v>
      </c>
    </row>
    <row r="250" spans="1:19" ht="14.25">
      <c r="A250" s="52"/>
      <c r="B250" s="52"/>
      <c r="C250" s="52"/>
      <c r="D250" s="54"/>
      <c r="E250" s="52"/>
      <c r="F250" s="52"/>
      <c r="G250" s="52"/>
      <c r="H250" s="52"/>
      <c r="I250" s="54"/>
      <c r="J250" s="9"/>
      <c r="P250" s="94">
        <v>4310</v>
      </c>
      <c r="Q250" s="94">
        <f t="shared" si="22"/>
        <v>59.95387398001626</v>
      </c>
      <c r="R250" s="94">
        <f t="shared" si="23"/>
        <v>-18.249823880026913</v>
      </c>
      <c r="S250" s="94" t="str">
        <f t="shared" si="24"/>
        <v>N</v>
      </c>
    </row>
    <row r="251" spans="1:19" ht="14.25">
      <c r="A251" s="52"/>
      <c r="B251" s="9"/>
      <c r="C251" s="9"/>
      <c r="D251" s="9"/>
      <c r="E251" s="9"/>
      <c r="F251" s="9"/>
      <c r="G251" s="9"/>
      <c r="H251" s="9"/>
      <c r="I251" s="9"/>
      <c r="J251" s="9"/>
      <c r="P251" s="94">
        <v>4320</v>
      </c>
      <c r="Q251" s="94">
        <f t="shared" si="22"/>
        <v>59.896103818154614</v>
      </c>
      <c r="R251" s="94">
        <f t="shared" si="23"/>
        <v>-17.98939981030516</v>
      </c>
      <c r="S251" s="94" t="str">
        <f t="shared" si="24"/>
        <v>N</v>
      </c>
    </row>
    <row r="252" spans="1:19" ht="14.25">
      <c r="A252" s="52"/>
      <c r="B252" s="9"/>
      <c r="C252" s="9"/>
      <c r="D252" s="9"/>
      <c r="E252" s="9"/>
      <c r="F252" s="9"/>
      <c r="G252" s="9"/>
      <c r="H252" s="9"/>
      <c r="I252" s="9"/>
      <c r="J252" s="9"/>
      <c r="P252" s="95">
        <v>4330</v>
      </c>
      <c r="Q252" s="94">
        <f t="shared" si="22"/>
        <v>59.83833365629297</v>
      </c>
      <c r="R252" s="94">
        <f t="shared" si="23"/>
        <v>-17.728798192469927</v>
      </c>
      <c r="S252" s="94" t="str">
        <f t="shared" si="24"/>
        <v>N</v>
      </c>
    </row>
    <row r="253" spans="1:19" ht="14.25">
      <c r="A253" s="9"/>
      <c r="C253" s="9"/>
      <c r="D253" s="9"/>
      <c r="E253" s="9"/>
      <c r="F253" s="9"/>
      <c r="G253" s="9"/>
      <c r="H253" s="9"/>
      <c r="I253" s="9"/>
      <c r="P253" s="94">
        <v>4340</v>
      </c>
      <c r="Q253" s="94">
        <f t="shared" si="22"/>
        <v>59.78056349443132</v>
      </c>
      <c r="R253" s="94">
        <f t="shared" si="23"/>
        <v>-17.468021598478455</v>
      </c>
      <c r="S253" s="94" t="str">
        <f t="shared" si="24"/>
        <v>N</v>
      </c>
    </row>
    <row r="254" spans="3:19" ht="14.25">
      <c r="C254" s="9"/>
      <c r="D254" s="9"/>
      <c r="E254" s="9"/>
      <c r="F254" s="9"/>
      <c r="G254" s="9"/>
      <c r="H254" s="9"/>
      <c r="I254" s="9"/>
      <c r="P254" s="94">
        <v>4350</v>
      </c>
      <c r="Q254" s="94">
        <f t="shared" si="22"/>
        <v>59.72279333256968</v>
      </c>
      <c r="R254" s="94">
        <f t="shared" si="23"/>
        <v>-17.20707260224144</v>
      </c>
      <c r="S254" s="94" t="str">
        <f t="shared" si="24"/>
        <v>N</v>
      </c>
    </row>
    <row r="255" spans="3:19" ht="14.25">
      <c r="C255" s="9"/>
      <c r="D255" s="9"/>
      <c r="E255" s="9"/>
      <c r="F255" s="9"/>
      <c r="G255" s="9"/>
      <c r="H255" s="40"/>
      <c r="I255" s="9"/>
      <c r="P255" s="95">
        <v>4360</v>
      </c>
      <c r="Q255" s="94">
        <f t="shared" si="22"/>
        <v>59.665023170708025</v>
      </c>
      <c r="R255" s="94">
        <f t="shared" si="23"/>
        <v>-16.945953779144652</v>
      </c>
      <c r="S255" s="94" t="str">
        <f t="shared" si="24"/>
        <v>N</v>
      </c>
    </row>
    <row r="256" spans="3:19" ht="15">
      <c r="C256" s="9"/>
      <c r="D256" s="100"/>
      <c r="E256" s="100"/>
      <c r="F256" s="100"/>
      <c r="G256" s="100"/>
      <c r="H256" s="40"/>
      <c r="I256" s="9"/>
      <c r="P256" s="94">
        <v>4370</v>
      </c>
      <c r="Q256" s="94">
        <f t="shared" si="22"/>
        <v>59.607253008846385</v>
      </c>
      <c r="R256" s="94">
        <f t="shared" si="23"/>
        <v>-16.68466770617412</v>
      </c>
      <c r="S256" s="94" t="str">
        <f t="shared" si="24"/>
        <v>N</v>
      </c>
    </row>
    <row r="257" spans="3:19" ht="14.25">
      <c r="C257" s="9"/>
      <c r="D257" s="9"/>
      <c r="E257" s="9"/>
      <c r="F257" s="9"/>
      <c r="G257" s="9"/>
      <c r="H257" s="9"/>
      <c r="I257" s="9"/>
      <c r="P257" s="94">
        <v>4380</v>
      </c>
      <c r="Q257" s="94">
        <f t="shared" si="22"/>
        <v>59.549482846984745</v>
      </c>
      <c r="R257" s="94">
        <f t="shared" si="23"/>
        <v>-16.423216962420476</v>
      </c>
      <c r="S257" s="94" t="str">
        <f t="shared" si="24"/>
        <v>N</v>
      </c>
    </row>
    <row r="258" spans="3:19" ht="14.25">
      <c r="C258" s="9"/>
      <c r="D258" s="9"/>
      <c r="E258" s="9"/>
      <c r="F258" s="9"/>
      <c r="G258" s="9"/>
      <c r="H258" s="9"/>
      <c r="I258" s="9"/>
      <c r="P258" s="95">
        <v>4390</v>
      </c>
      <c r="Q258" s="94">
        <f t="shared" si="22"/>
        <v>59.49171268512309</v>
      </c>
      <c r="R258" s="94">
        <f t="shared" si="23"/>
        <v>-16.16160412814577</v>
      </c>
      <c r="S258" s="94" t="str">
        <f t="shared" si="24"/>
        <v>N</v>
      </c>
    </row>
    <row r="259" spans="3:19" ht="14.25">
      <c r="C259" s="9"/>
      <c r="D259" s="9"/>
      <c r="E259" s="9"/>
      <c r="F259" s="9"/>
      <c r="G259" s="9"/>
      <c r="H259" s="9"/>
      <c r="I259" s="9"/>
      <c r="P259" s="94">
        <v>4400</v>
      </c>
      <c r="Q259" s="94">
        <f t="shared" si="22"/>
        <v>59.43394252326145</v>
      </c>
      <c r="R259" s="94">
        <f t="shared" si="23"/>
        <v>-15.89983178536305</v>
      </c>
      <c r="S259" s="94" t="str">
        <f t="shared" si="24"/>
        <v>N</v>
      </c>
    </row>
    <row r="260" spans="16:19" ht="14.25">
      <c r="P260" s="94">
        <v>4410</v>
      </c>
      <c r="Q260" s="94">
        <f aca="true" t="shared" si="25" ref="Q260:Q323">Vbr_out*SQRT(2)-Pin/(Cdc*Vbr_out*SQRT(2))*P260*10^-6</f>
        <v>59.376172361399796</v>
      </c>
      <c r="R260" s="94">
        <f aca="true" t="shared" si="26" ref="R260:R323">-Vbr_out*SQRT(2)*COS(2*PI()*fL*(P260*10^-6-0.5*fL))</f>
        <v>-15.637902517583813</v>
      </c>
      <c r="S260" s="94" t="str">
        <f t="shared" si="24"/>
        <v>N</v>
      </c>
    </row>
    <row r="261" spans="16:19" ht="14.25">
      <c r="P261" s="95">
        <v>4420</v>
      </c>
      <c r="Q261" s="94">
        <f t="shared" si="25"/>
        <v>59.318402199538156</v>
      </c>
      <c r="R261" s="94">
        <f t="shared" si="26"/>
        <v>-15.375818910095843</v>
      </c>
      <c r="S261" s="94" t="str">
        <f t="shared" si="24"/>
        <v>N</v>
      </c>
    </row>
    <row r="262" spans="16:19" ht="14.25">
      <c r="P262" s="94">
        <v>4430</v>
      </c>
      <c r="Q262" s="94">
        <f t="shared" si="25"/>
        <v>59.26063203767651</v>
      </c>
      <c r="R262" s="94">
        <f t="shared" si="26"/>
        <v>-15.11358354948273</v>
      </c>
      <c r="S262" s="94" t="str">
        <f t="shared" si="24"/>
        <v>N</v>
      </c>
    </row>
    <row r="263" spans="16:19" ht="14.25">
      <c r="P263" s="94">
        <v>4440</v>
      </c>
      <c r="Q263" s="94">
        <f t="shared" si="25"/>
        <v>59.20286187581486</v>
      </c>
      <c r="R263" s="94">
        <f t="shared" si="26"/>
        <v>-14.851199023901618</v>
      </c>
      <c r="S263" s="94" t="str">
        <f t="shared" si="24"/>
        <v>N</v>
      </c>
    </row>
    <row r="264" spans="16:19" ht="14.25">
      <c r="P264" s="95">
        <v>4450</v>
      </c>
      <c r="Q264" s="94">
        <f t="shared" si="25"/>
        <v>59.145091713953214</v>
      </c>
      <c r="R264" s="94">
        <f t="shared" si="26"/>
        <v>-14.588667922981838</v>
      </c>
      <c r="S264" s="94" t="str">
        <f t="shared" si="24"/>
        <v>N</v>
      </c>
    </row>
    <row r="265" spans="16:19" ht="14.25">
      <c r="P265" s="94">
        <v>4460</v>
      </c>
      <c r="Q265" s="94">
        <f t="shared" si="25"/>
        <v>59.08732155209157</v>
      </c>
      <c r="R265" s="94">
        <f t="shared" si="26"/>
        <v>-14.325992837647243</v>
      </c>
      <c r="S265" s="94" t="str">
        <f t="shared" si="24"/>
        <v>N</v>
      </c>
    </row>
    <row r="266" spans="16:19" ht="14.25">
      <c r="P266" s="94">
        <v>4470</v>
      </c>
      <c r="Q266" s="94">
        <f t="shared" si="25"/>
        <v>59.029551390229926</v>
      </c>
      <c r="R266" s="94">
        <f t="shared" si="26"/>
        <v>-14.063176360699055</v>
      </c>
      <c r="S266" s="94" t="str">
        <f t="shared" si="24"/>
        <v>N</v>
      </c>
    </row>
    <row r="267" spans="16:19" ht="14.25">
      <c r="P267" s="95">
        <v>4480</v>
      </c>
      <c r="Q267" s="94">
        <f t="shared" si="25"/>
        <v>58.97178122836828</v>
      </c>
      <c r="R267" s="94">
        <f t="shared" si="26"/>
        <v>-13.800221085877748</v>
      </c>
      <c r="S267" s="94" t="str">
        <f t="shared" si="24"/>
        <v>N</v>
      </c>
    </row>
    <row r="268" spans="16:19" ht="14.25">
      <c r="P268" s="94">
        <v>4490</v>
      </c>
      <c r="Q268" s="94">
        <f t="shared" si="25"/>
        <v>58.91401106650663</v>
      </c>
      <c r="R268" s="94">
        <f t="shared" si="26"/>
        <v>-13.537129608369545</v>
      </c>
      <c r="S268" s="94" t="str">
        <f t="shared" si="24"/>
        <v>N</v>
      </c>
    </row>
    <row r="269" spans="16:19" ht="14.25">
      <c r="P269" s="94">
        <v>4500</v>
      </c>
      <c r="Q269" s="94">
        <f t="shared" si="25"/>
        <v>58.856240904644984</v>
      </c>
      <c r="R269" s="94">
        <f t="shared" si="26"/>
        <v>-13.273904524933437</v>
      </c>
      <c r="S269" s="94" t="str">
        <f t="shared" si="24"/>
        <v>N</v>
      </c>
    </row>
    <row r="270" spans="16:19" ht="14.25">
      <c r="P270" s="95">
        <v>4510</v>
      </c>
      <c r="Q270" s="94">
        <f t="shared" si="25"/>
        <v>58.79847074278334</v>
      </c>
      <c r="R270" s="94">
        <f t="shared" si="26"/>
        <v>-13.01054843341859</v>
      </c>
      <c r="S270" s="94" t="str">
        <f t="shared" si="24"/>
        <v>N</v>
      </c>
    </row>
    <row r="271" spans="16:19" ht="14.25">
      <c r="P271" s="94">
        <v>4520</v>
      </c>
      <c r="Q271" s="94">
        <f t="shared" si="25"/>
        <v>58.7407005809217</v>
      </c>
      <c r="R271" s="94">
        <f t="shared" si="26"/>
        <v>-12.747063933043302</v>
      </c>
      <c r="S271" s="94" t="str">
        <f t="shared" si="24"/>
        <v>N</v>
      </c>
    </row>
    <row r="272" spans="16:19" ht="14.25">
      <c r="P272" s="94">
        <v>4530</v>
      </c>
      <c r="Q272" s="94">
        <f t="shared" si="25"/>
        <v>58.68293041906004</v>
      </c>
      <c r="R272" s="94">
        <f t="shared" si="26"/>
        <v>-12.483453624293219</v>
      </c>
      <c r="S272" s="94" t="str">
        <f t="shared" si="24"/>
        <v>N</v>
      </c>
    </row>
    <row r="273" spans="16:19" ht="14.25">
      <c r="P273" s="95">
        <v>4540</v>
      </c>
      <c r="Q273" s="94">
        <f t="shared" si="25"/>
        <v>58.6251602571984</v>
      </c>
      <c r="R273" s="94">
        <f t="shared" si="26"/>
        <v>-12.219720108819294</v>
      </c>
      <c r="S273" s="94" t="str">
        <f t="shared" si="24"/>
        <v>N</v>
      </c>
    </row>
    <row r="274" spans="16:19" ht="14.25">
      <c r="P274" s="94">
        <v>4550</v>
      </c>
      <c r="Q274" s="94">
        <f t="shared" si="25"/>
        <v>58.56739009533676</v>
      </c>
      <c r="R274" s="94">
        <f t="shared" si="26"/>
        <v>-11.955865989717555</v>
      </c>
      <c r="S274" s="94" t="str">
        <f t="shared" si="24"/>
        <v>N</v>
      </c>
    </row>
    <row r="275" spans="16:19" ht="14.25">
      <c r="P275" s="94">
        <v>4560</v>
      </c>
      <c r="Q275" s="94">
        <f t="shared" si="25"/>
        <v>58.50961993347511</v>
      </c>
      <c r="R275" s="94">
        <f t="shared" si="26"/>
        <v>-11.691893870968862</v>
      </c>
      <c r="S275" s="94" t="str">
        <f t="shared" si="24"/>
        <v>N</v>
      </c>
    </row>
    <row r="276" spans="16:19" ht="14.25">
      <c r="P276" s="95">
        <v>4570</v>
      </c>
      <c r="Q276" s="94">
        <f t="shared" si="25"/>
        <v>58.45184977161347</v>
      </c>
      <c r="R276" s="94">
        <f t="shared" si="26"/>
        <v>-11.427806357947828</v>
      </c>
      <c r="S276" s="94" t="str">
        <f aca="true" t="shared" si="27" ref="S276:S339">IF(Q276-R276&lt;0.3,R276,"N")</f>
        <v>N</v>
      </c>
    </row>
    <row r="277" spans="16:19" ht="14.25">
      <c r="P277" s="94">
        <v>4580</v>
      </c>
      <c r="Q277" s="94">
        <f t="shared" si="25"/>
        <v>58.39407960975181</v>
      </c>
      <c r="R277" s="94">
        <f t="shared" si="26"/>
        <v>-11.163606057168096</v>
      </c>
      <c r="S277" s="94" t="str">
        <f t="shared" si="27"/>
        <v>N</v>
      </c>
    </row>
    <row r="278" spans="16:19" ht="14.25">
      <c r="P278" s="94">
        <v>4590</v>
      </c>
      <c r="Q278" s="94">
        <f t="shared" si="25"/>
        <v>58.33630944789017</v>
      </c>
      <c r="R278" s="94">
        <f t="shared" si="26"/>
        <v>-10.89929557610353</v>
      </c>
      <c r="S278" s="94" t="str">
        <f t="shared" si="27"/>
        <v>N</v>
      </c>
    </row>
    <row r="279" spans="16:19" ht="14.25">
      <c r="P279" s="95">
        <v>4600</v>
      </c>
      <c r="Q279" s="94">
        <f t="shared" si="25"/>
        <v>58.278539286028526</v>
      </c>
      <c r="R279" s="94">
        <f t="shared" si="26"/>
        <v>-10.634877523391875</v>
      </c>
      <c r="S279" s="94" t="str">
        <f t="shared" si="27"/>
        <v>N</v>
      </c>
    </row>
    <row r="280" spans="16:19" ht="14.25">
      <c r="P280" s="94">
        <v>4610</v>
      </c>
      <c r="Q280" s="94">
        <f t="shared" si="25"/>
        <v>58.22076912416688</v>
      </c>
      <c r="R280" s="94">
        <f t="shared" si="26"/>
        <v>-10.370354508655964</v>
      </c>
      <c r="S280" s="94" t="str">
        <f t="shared" si="27"/>
        <v>N</v>
      </c>
    </row>
    <row r="281" spans="16:19" ht="14.25">
      <c r="P281" s="94">
        <v>4620</v>
      </c>
      <c r="Q281" s="94">
        <f t="shared" si="25"/>
        <v>58.16299896230523</v>
      </c>
      <c r="R281" s="94">
        <f t="shared" si="26"/>
        <v>-10.105729142784321</v>
      </c>
      <c r="S281" s="94" t="str">
        <f t="shared" si="27"/>
        <v>N</v>
      </c>
    </row>
    <row r="282" spans="16:19" ht="14.25">
      <c r="P282" s="95">
        <v>4630</v>
      </c>
      <c r="Q282" s="94">
        <f t="shared" si="25"/>
        <v>58.10522880044359</v>
      </c>
      <c r="R282" s="94">
        <f t="shared" si="26"/>
        <v>-9.841004037445906</v>
      </c>
      <c r="S282" s="94" t="str">
        <f t="shared" si="27"/>
        <v>N</v>
      </c>
    </row>
    <row r="283" spans="16:19" ht="14.25">
      <c r="P283" s="94">
        <v>4640</v>
      </c>
      <c r="Q283" s="94">
        <f t="shared" si="25"/>
        <v>58.04745863858194</v>
      </c>
      <c r="R283" s="94">
        <f t="shared" si="26"/>
        <v>-9.576181805370638</v>
      </c>
      <c r="S283" s="94" t="str">
        <f t="shared" si="27"/>
        <v>N</v>
      </c>
    </row>
    <row r="284" spans="16:19" ht="14.25">
      <c r="P284" s="94">
        <v>4650</v>
      </c>
      <c r="Q284" s="94">
        <f t="shared" si="25"/>
        <v>57.989688476720296</v>
      </c>
      <c r="R284" s="94">
        <f t="shared" si="26"/>
        <v>-9.311265060093614</v>
      </c>
      <c r="S284" s="94" t="str">
        <f t="shared" si="27"/>
        <v>N</v>
      </c>
    </row>
    <row r="285" spans="16:19" ht="14.25">
      <c r="P285" s="95">
        <v>4660</v>
      </c>
      <c r="Q285" s="94">
        <f t="shared" si="25"/>
        <v>57.93191831485865</v>
      </c>
      <c r="R285" s="94">
        <f t="shared" si="26"/>
        <v>-9.04625641654294</v>
      </c>
      <c r="S285" s="94" t="str">
        <f t="shared" si="27"/>
        <v>N</v>
      </c>
    </row>
    <row r="286" spans="16:19" ht="14.25">
      <c r="P286" s="94">
        <v>4670</v>
      </c>
      <c r="Q286" s="94">
        <f t="shared" si="25"/>
        <v>57.874148152997</v>
      </c>
      <c r="R286" s="94">
        <f t="shared" si="26"/>
        <v>-8.78115849009357</v>
      </c>
      <c r="S286" s="94" t="str">
        <f t="shared" si="27"/>
        <v>N</v>
      </c>
    </row>
    <row r="287" spans="16:19" ht="14.25">
      <c r="P287" s="94">
        <v>4680</v>
      </c>
      <c r="Q287" s="94">
        <f t="shared" si="25"/>
        <v>57.816377991135354</v>
      </c>
      <c r="R287" s="94">
        <f t="shared" si="26"/>
        <v>-8.515973897155021</v>
      </c>
      <c r="S287" s="94" t="str">
        <f t="shared" si="27"/>
        <v>N</v>
      </c>
    </row>
    <row r="288" spans="16:19" ht="14.25">
      <c r="P288" s="95">
        <v>4690</v>
      </c>
      <c r="Q288" s="94">
        <f t="shared" si="25"/>
        <v>57.758607829273714</v>
      </c>
      <c r="R288" s="94">
        <f t="shared" si="26"/>
        <v>-8.250705254915355</v>
      </c>
      <c r="S288" s="94" t="str">
        <f t="shared" si="27"/>
        <v>N</v>
      </c>
    </row>
    <row r="289" spans="16:19" ht="14.25">
      <c r="P289" s="94">
        <v>4700</v>
      </c>
      <c r="Q289" s="94">
        <f t="shared" si="25"/>
        <v>57.70083766741206</v>
      </c>
      <c r="R289" s="94">
        <f t="shared" si="26"/>
        <v>-7.985355181622567</v>
      </c>
      <c r="S289" s="94" t="str">
        <f t="shared" si="27"/>
        <v>N</v>
      </c>
    </row>
    <row r="290" spans="16:19" ht="14.25">
      <c r="P290" s="94">
        <v>4710</v>
      </c>
      <c r="Q290" s="94">
        <f t="shared" si="25"/>
        <v>57.64306750555042</v>
      </c>
      <c r="R290" s="94">
        <f t="shared" si="26"/>
        <v>-7.71992629609797</v>
      </c>
      <c r="S290" s="94" t="str">
        <f t="shared" si="27"/>
        <v>N</v>
      </c>
    </row>
    <row r="291" spans="16:19" ht="14.25">
      <c r="P291" s="95">
        <v>4720</v>
      </c>
      <c r="Q291" s="94">
        <f t="shared" si="25"/>
        <v>57.58529734368878</v>
      </c>
      <c r="R291" s="94">
        <f t="shared" si="26"/>
        <v>-7.454421218017507</v>
      </c>
      <c r="S291" s="94" t="str">
        <f t="shared" si="27"/>
        <v>N</v>
      </c>
    </row>
    <row r="292" spans="16:19" ht="14.25">
      <c r="P292" s="94">
        <v>4730</v>
      </c>
      <c r="Q292" s="94">
        <f t="shared" si="25"/>
        <v>57.527527181827125</v>
      </c>
      <c r="R292" s="94">
        <f t="shared" si="26"/>
        <v>-7.18884256780911</v>
      </c>
      <c r="S292" s="94" t="str">
        <f t="shared" si="27"/>
        <v>N</v>
      </c>
    </row>
    <row r="293" spans="16:19" ht="14.25">
      <c r="P293" s="94">
        <v>4740</v>
      </c>
      <c r="Q293" s="94">
        <f t="shared" si="25"/>
        <v>57.469757019965485</v>
      </c>
      <c r="R293" s="94">
        <f t="shared" si="26"/>
        <v>-6.923192966473005</v>
      </c>
      <c r="S293" s="94" t="str">
        <f t="shared" si="27"/>
        <v>N</v>
      </c>
    </row>
    <row r="294" spans="16:19" ht="14.25">
      <c r="P294" s="95">
        <v>4750</v>
      </c>
      <c r="Q294" s="94">
        <f t="shared" si="25"/>
        <v>57.41198685810383</v>
      </c>
      <c r="R294" s="94">
        <f t="shared" si="26"/>
        <v>-6.657475036171132</v>
      </c>
      <c r="S294" s="94" t="str">
        <f t="shared" si="27"/>
        <v>N</v>
      </c>
    </row>
    <row r="295" spans="16:19" ht="14.25">
      <c r="P295" s="94">
        <v>4760</v>
      </c>
      <c r="Q295" s="94">
        <f t="shared" si="25"/>
        <v>57.35421669624219</v>
      </c>
      <c r="R295" s="94">
        <f t="shared" si="26"/>
        <v>-6.391691399278396</v>
      </c>
      <c r="S295" s="94" t="str">
        <f t="shared" si="27"/>
        <v>N</v>
      </c>
    </row>
    <row r="296" spans="16:19" ht="14.25">
      <c r="P296" s="94">
        <v>4770</v>
      </c>
      <c r="Q296" s="94">
        <f t="shared" si="25"/>
        <v>57.29644653438054</v>
      </c>
      <c r="R296" s="94">
        <f t="shared" si="26"/>
        <v>-6.125844678895022</v>
      </c>
      <c r="S296" s="94" t="str">
        <f t="shared" si="27"/>
        <v>N</v>
      </c>
    </row>
    <row r="297" spans="16:19" ht="14.25">
      <c r="P297" s="95">
        <v>4780</v>
      </c>
      <c r="Q297" s="94">
        <f t="shared" si="25"/>
        <v>57.238676372518896</v>
      </c>
      <c r="R297" s="94">
        <f t="shared" si="26"/>
        <v>-5.859937498974737</v>
      </c>
      <c r="S297" s="94" t="str">
        <f t="shared" si="27"/>
        <v>N</v>
      </c>
    </row>
    <row r="298" spans="16:19" ht="14.25">
      <c r="P298" s="94">
        <v>4790</v>
      </c>
      <c r="Q298" s="94">
        <f t="shared" si="25"/>
        <v>57.18090621065725</v>
      </c>
      <c r="R298" s="94">
        <f t="shared" si="26"/>
        <v>-5.593972483837101</v>
      </c>
      <c r="S298" s="94" t="str">
        <f t="shared" si="27"/>
        <v>N</v>
      </c>
    </row>
    <row r="299" spans="16:19" ht="14.25">
      <c r="P299" s="94">
        <v>4800</v>
      </c>
      <c r="Q299" s="94">
        <f t="shared" si="25"/>
        <v>57.1231360487956</v>
      </c>
      <c r="R299" s="94">
        <f t="shared" si="26"/>
        <v>-5.327952258449439</v>
      </c>
      <c r="S299" s="94" t="str">
        <f t="shared" si="27"/>
        <v>N</v>
      </c>
    </row>
    <row r="300" spans="16:19" ht="14.25">
      <c r="P300" s="95">
        <v>4810</v>
      </c>
      <c r="Q300" s="94">
        <f t="shared" si="25"/>
        <v>57.06536588693396</v>
      </c>
      <c r="R300" s="94">
        <f t="shared" si="26"/>
        <v>-5.061879448246943</v>
      </c>
      <c r="S300" s="94" t="str">
        <f t="shared" si="27"/>
        <v>N</v>
      </c>
    </row>
    <row r="301" spans="16:19" ht="14.25">
      <c r="P301" s="94">
        <v>4820</v>
      </c>
      <c r="Q301" s="94">
        <f t="shared" si="25"/>
        <v>57.00759572507231</v>
      </c>
      <c r="R301" s="94">
        <f t="shared" si="26"/>
        <v>-4.795756679414887</v>
      </c>
      <c r="S301" s="94" t="str">
        <f t="shared" si="27"/>
        <v>N</v>
      </c>
    </row>
    <row r="302" spans="16:19" ht="14.25">
      <c r="P302" s="94">
        <v>4830</v>
      </c>
      <c r="Q302" s="94">
        <f t="shared" si="25"/>
        <v>56.949825563210666</v>
      </c>
      <c r="R302" s="94">
        <f t="shared" si="26"/>
        <v>-4.529586578400541</v>
      </c>
      <c r="S302" s="94" t="str">
        <f t="shared" si="27"/>
        <v>N</v>
      </c>
    </row>
    <row r="303" spans="16:19" ht="14.25">
      <c r="P303" s="95">
        <v>4840</v>
      </c>
      <c r="Q303" s="94">
        <f t="shared" si="25"/>
        <v>56.89205540134902</v>
      </c>
      <c r="R303" s="94">
        <f t="shared" si="26"/>
        <v>-4.263371772118267</v>
      </c>
      <c r="S303" s="94" t="str">
        <f t="shared" si="27"/>
        <v>N</v>
      </c>
    </row>
    <row r="304" spans="16:19" ht="14.25">
      <c r="P304" s="94">
        <v>4850</v>
      </c>
      <c r="Q304" s="94">
        <f t="shared" si="25"/>
        <v>56.83428523948737</v>
      </c>
      <c r="R304" s="94">
        <f t="shared" si="26"/>
        <v>-3.99711488807778</v>
      </c>
      <c r="S304" s="94" t="str">
        <f t="shared" si="27"/>
        <v>N</v>
      </c>
    </row>
    <row r="305" spans="16:19" ht="14.25">
      <c r="P305" s="94">
        <v>4860</v>
      </c>
      <c r="Q305" s="94">
        <f t="shared" si="25"/>
        <v>56.77651507762573</v>
      </c>
      <c r="R305" s="94">
        <f t="shared" si="26"/>
        <v>-3.730818554204132</v>
      </c>
      <c r="S305" s="94" t="str">
        <f t="shared" si="27"/>
        <v>N</v>
      </c>
    </row>
    <row r="306" spans="16:19" ht="14.25">
      <c r="P306" s="95">
        <v>4870</v>
      </c>
      <c r="Q306" s="94">
        <f t="shared" si="25"/>
        <v>56.71874491576408</v>
      </c>
      <c r="R306" s="94">
        <f t="shared" si="26"/>
        <v>-3.464485398657554</v>
      </c>
      <c r="S306" s="94" t="str">
        <f t="shared" si="27"/>
        <v>N</v>
      </c>
    </row>
    <row r="307" spans="16:19" ht="14.25">
      <c r="P307" s="94">
        <v>4880</v>
      </c>
      <c r="Q307" s="94">
        <f t="shared" si="25"/>
        <v>56.66097475390244</v>
      </c>
      <c r="R307" s="94">
        <f t="shared" si="26"/>
        <v>-3.1981180500387674</v>
      </c>
      <c r="S307" s="94" t="str">
        <f t="shared" si="27"/>
        <v>N</v>
      </c>
    </row>
    <row r="308" spans="16:19" ht="14.25">
      <c r="P308" s="94">
        <v>4890</v>
      </c>
      <c r="Q308" s="94">
        <f t="shared" si="25"/>
        <v>56.6032045920408</v>
      </c>
      <c r="R308" s="94">
        <f t="shared" si="26"/>
        <v>-2.931719137208839</v>
      </c>
      <c r="S308" s="94" t="str">
        <f t="shared" si="27"/>
        <v>N</v>
      </c>
    </row>
    <row r="309" spans="16:19" ht="14.25">
      <c r="P309" s="95">
        <v>4900</v>
      </c>
      <c r="Q309" s="94">
        <f t="shared" si="25"/>
        <v>56.54543443017914</v>
      </c>
      <c r="R309" s="94">
        <f t="shared" si="26"/>
        <v>-2.665291289571734</v>
      </c>
      <c r="S309" s="94" t="str">
        <f t="shared" si="27"/>
        <v>N</v>
      </c>
    </row>
    <row r="310" spans="16:19" ht="14.25">
      <c r="P310" s="94">
        <v>4910</v>
      </c>
      <c r="Q310" s="94">
        <f t="shared" si="25"/>
        <v>56.4876642683175</v>
      </c>
      <c r="R310" s="94">
        <f t="shared" si="26"/>
        <v>-2.3988371365856276</v>
      </c>
      <c r="S310" s="94" t="str">
        <f t="shared" si="27"/>
        <v>N</v>
      </c>
    </row>
    <row r="311" spans="16:19" ht="14.25">
      <c r="P311" s="94">
        <v>4920</v>
      </c>
      <c r="Q311" s="94">
        <f t="shared" si="25"/>
        <v>56.42989410645585</v>
      </c>
      <c r="R311" s="94">
        <f t="shared" si="26"/>
        <v>-2.1323593080454377</v>
      </c>
      <c r="S311" s="94" t="str">
        <f t="shared" si="27"/>
        <v>N</v>
      </c>
    </row>
    <row r="312" spans="16:19" ht="14.25">
      <c r="P312" s="95">
        <v>4930</v>
      </c>
      <c r="Q312" s="94">
        <f t="shared" si="25"/>
        <v>56.37212394459421</v>
      </c>
      <c r="R312" s="94">
        <f t="shared" si="26"/>
        <v>-1.865860433825441</v>
      </c>
      <c r="S312" s="94" t="str">
        <f t="shared" si="27"/>
        <v>N</v>
      </c>
    </row>
    <row r="313" spans="16:19" ht="14.25">
      <c r="P313" s="94">
        <v>4940</v>
      </c>
      <c r="Q313" s="94">
        <f t="shared" si="25"/>
        <v>56.31435378273256</v>
      </c>
      <c r="R313" s="94">
        <f t="shared" si="26"/>
        <v>-1.5993431444705422</v>
      </c>
      <c r="S313" s="94" t="str">
        <f t="shared" si="27"/>
        <v>N</v>
      </c>
    </row>
    <row r="314" spans="16:19" ht="14.25">
      <c r="P314" s="94">
        <v>4950</v>
      </c>
      <c r="Q314" s="94">
        <f t="shared" si="25"/>
        <v>56.25658362087091</v>
      </c>
      <c r="R314" s="94">
        <f t="shared" si="26"/>
        <v>-1.3328100702444916</v>
      </c>
      <c r="S314" s="94" t="str">
        <f t="shared" si="27"/>
        <v>N</v>
      </c>
    </row>
    <row r="315" spans="16:19" ht="14.25">
      <c r="P315" s="95">
        <v>4960</v>
      </c>
      <c r="Q315" s="94">
        <f t="shared" si="25"/>
        <v>56.198813459009266</v>
      </c>
      <c r="R315" s="94">
        <f t="shared" si="26"/>
        <v>-1.0662638417211279</v>
      </c>
      <c r="S315" s="94" t="str">
        <f t="shared" si="27"/>
        <v>N</v>
      </c>
    </row>
    <row r="316" spans="16:19" ht="14.25">
      <c r="P316" s="94">
        <v>4970</v>
      </c>
      <c r="Q316" s="94">
        <f t="shared" si="25"/>
        <v>56.14104329714762</v>
      </c>
      <c r="R316" s="94">
        <f t="shared" si="26"/>
        <v>-0.7997070895269467</v>
      </c>
      <c r="S316" s="94" t="str">
        <f t="shared" si="27"/>
        <v>N</v>
      </c>
    </row>
    <row r="317" spans="16:19" ht="14.25">
      <c r="P317" s="94">
        <v>4980</v>
      </c>
      <c r="Q317" s="94">
        <f t="shared" si="25"/>
        <v>56.08327313528598</v>
      </c>
      <c r="R317" s="94">
        <f t="shared" si="26"/>
        <v>-0.5331424446238155</v>
      </c>
      <c r="S317" s="94" t="str">
        <f t="shared" si="27"/>
        <v>N</v>
      </c>
    </row>
    <row r="318" spans="16:19" ht="14.25">
      <c r="P318" s="95">
        <v>4990</v>
      </c>
      <c r="Q318" s="94">
        <f t="shared" si="25"/>
        <v>56.02550297342433</v>
      </c>
      <c r="R318" s="94">
        <f t="shared" si="26"/>
        <v>-0.26657253781999535</v>
      </c>
      <c r="S318" s="94" t="str">
        <f t="shared" si="27"/>
        <v>N</v>
      </c>
    </row>
    <row r="319" spans="16:19" ht="14.25">
      <c r="P319" s="94">
        <v>5000</v>
      </c>
      <c r="Q319" s="94">
        <f t="shared" si="25"/>
        <v>55.96773281156268</v>
      </c>
      <c r="R319" s="94">
        <f t="shared" si="26"/>
        <v>-5.284707661749435E-11</v>
      </c>
      <c r="S319" s="94" t="str">
        <f t="shared" si="27"/>
        <v>N</v>
      </c>
    </row>
    <row r="320" spans="16:19" ht="14.25">
      <c r="P320" s="94">
        <v>5010</v>
      </c>
      <c r="Q320" s="94">
        <f t="shared" si="25"/>
        <v>55.909962649701036</v>
      </c>
      <c r="R320" s="94">
        <f t="shared" si="26"/>
        <v>0.26657253779147455</v>
      </c>
      <c r="S320" s="94" t="str">
        <f t="shared" si="27"/>
        <v>N</v>
      </c>
    </row>
    <row r="321" spans="16:19" ht="14.25">
      <c r="P321" s="95">
        <v>5020</v>
      </c>
      <c r="Q321" s="94">
        <f t="shared" si="25"/>
        <v>55.85219248783939</v>
      </c>
      <c r="R321" s="94">
        <f t="shared" si="26"/>
        <v>0.5331424445952951</v>
      </c>
      <c r="S321" s="94" t="str">
        <f t="shared" si="27"/>
        <v>N</v>
      </c>
    </row>
    <row r="322" spans="16:19" ht="14.25">
      <c r="P322" s="94">
        <v>5030</v>
      </c>
      <c r="Q322" s="94">
        <f t="shared" si="25"/>
        <v>55.79442232597775</v>
      </c>
      <c r="R322" s="94">
        <f t="shared" si="26"/>
        <v>0.7997070895755968</v>
      </c>
      <c r="S322" s="94" t="str">
        <f t="shared" si="27"/>
        <v>N</v>
      </c>
    </row>
    <row r="323" spans="16:19" ht="14.25">
      <c r="P323" s="94">
        <v>5040</v>
      </c>
      <c r="Q323" s="94">
        <f t="shared" si="25"/>
        <v>55.736652164116094</v>
      </c>
      <c r="R323" s="94">
        <f t="shared" si="26"/>
        <v>1.0662638416926091</v>
      </c>
      <c r="S323" s="94" t="str">
        <f t="shared" si="27"/>
        <v>N</v>
      </c>
    </row>
    <row r="324" spans="16:19" ht="14.25">
      <c r="P324" s="95">
        <v>5050</v>
      </c>
      <c r="Q324" s="94">
        <f aca="true" t="shared" si="28" ref="Q324:Q387">Vbr_out*SQRT(2)-Pin/(Cdc*Vbr_out*SQRT(2))*P324*10^-6</f>
        <v>55.678882002254454</v>
      </c>
      <c r="R324" s="94">
        <f aca="true" t="shared" si="29" ref="R324:R387">-Vbr_out*SQRT(2)*COS(2*PI()*fL*(P324*10^-6-0.5*fL))</f>
        <v>1.332810070293138</v>
      </c>
      <c r="S324" s="94" t="str">
        <f t="shared" si="27"/>
        <v>N</v>
      </c>
    </row>
    <row r="325" spans="16:19" ht="14.25">
      <c r="P325" s="94">
        <v>5060</v>
      </c>
      <c r="Q325" s="94">
        <f t="shared" si="28"/>
        <v>55.621111840392814</v>
      </c>
      <c r="R325" s="94">
        <f t="shared" si="29"/>
        <v>1.5993431445191857</v>
      </c>
      <c r="S325" s="94" t="str">
        <f t="shared" si="27"/>
        <v>N</v>
      </c>
    </row>
    <row r="326" spans="16:19" ht="14.25">
      <c r="P326" s="94">
        <v>5070</v>
      </c>
      <c r="Q326" s="94">
        <f t="shared" si="28"/>
        <v>55.56334167853116</v>
      </c>
      <c r="R326" s="94">
        <f t="shared" si="29"/>
        <v>1.8658604338740814</v>
      </c>
      <c r="S326" s="94" t="str">
        <f t="shared" si="27"/>
        <v>N</v>
      </c>
    </row>
    <row r="327" spans="16:19" ht="14.25">
      <c r="P327" s="95">
        <v>5080</v>
      </c>
      <c r="Q327" s="94">
        <f t="shared" si="28"/>
        <v>55.50557151666952</v>
      </c>
      <c r="R327" s="94">
        <f t="shared" si="29"/>
        <v>2.132359307939777</v>
      </c>
      <c r="S327" s="94" t="str">
        <f t="shared" si="27"/>
        <v>N</v>
      </c>
    </row>
    <row r="328" spans="16:19" ht="14.25">
      <c r="P328" s="94">
        <v>5090</v>
      </c>
      <c r="Q328" s="94">
        <f t="shared" si="28"/>
        <v>55.447801354807865</v>
      </c>
      <c r="R328" s="94">
        <f t="shared" si="29"/>
        <v>2.398837136557118</v>
      </c>
      <c r="S328" s="94" t="str">
        <f t="shared" si="27"/>
        <v>N</v>
      </c>
    </row>
    <row r="329" spans="16:19" ht="14.25">
      <c r="P329" s="94">
        <v>5100</v>
      </c>
      <c r="Q329" s="94">
        <f t="shared" si="28"/>
        <v>55.390031192946225</v>
      </c>
      <c r="R329" s="94">
        <f t="shared" si="29"/>
        <v>2.665291289543227</v>
      </c>
      <c r="S329" s="94" t="str">
        <f t="shared" si="27"/>
        <v>N</v>
      </c>
    </row>
    <row r="330" spans="16:19" ht="14.25">
      <c r="P330" s="95">
        <v>5110</v>
      </c>
      <c r="Q330" s="94">
        <f t="shared" si="28"/>
        <v>55.33226103108458</v>
      </c>
      <c r="R330" s="94">
        <f t="shared" si="29"/>
        <v>2.9317191371803353</v>
      </c>
      <c r="S330" s="94" t="str">
        <f t="shared" si="27"/>
        <v>N</v>
      </c>
    </row>
    <row r="331" spans="16:19" ht="14.25">
      <c r="P331" s="94">
        <v>5120</v>
      </c>
      <c r="Q331" s="94">
        <f t="shared" si="28"/>
        <v>55.27449086922293</v>
      </c>
      <c r="R331" s="94">
        <f t="shared" si="29"/>
        <v>3.1981180500102666</v>
      </c>
      <c r="S331" s="94" t="str">
        <f t="shared" si="27"/>
        <v>N</v>
      </c>
    </row>
    <row r="332" spans="16:19" ht="14.25">
      <c r="P332" s="94">
        <v>5130</v>
      </c>
      <c r="Q332" s="94">
        <f t="shared" si="28"/>
        <v>55.21672070736128</v>
      </c>
      <c r="R332" s="94">
        <f t="shared" si="29"/>
        <v>3.4644853987061657</v>
      </c>
      <c r="S332" s="94" t="str">
        <f t="shared" si="27"/>
        <v>N</v>
      </c>
    </row>
    <row r="333" spans="16:19" ht="14.25">
      <c r="P333" s="95">
        <v>5140</v>
      </c>
      <c r="Q333" s="94">
        <f t="shared" si="28"/>
        <v>55.158950545499636</v>
      </c>
      <c r="R333" s="94">
        <f t="shared" si="29"/>
        <v>3.7308185542527372</v>
      </c>
      <c r="S333" s="94" t="str">
        <f t="shared" si="27"/>
        <v>N</v>
      </c>
    </row>
    <row r="334" spans="16:19" ht="14.25">
      <c r="P334" s="94">
        <v>5150</v>
      </c>
      <c r="Q334" s="94">
        <f t="shared" si="28"/>
        <v>55.101180383637995</v>
      </c>
      <c r="R334" s="94">
        <f t="shared" si="29"/>
        <v>3.9971148881263785</v>
      </c>
      <c r="S334" s="94" t="str">
        <f t="shared" si="27"/>
        <v>N</v>
      </c>
    </row>
    <row r="335" spans="16:19" ht="14.25">
      <c r="P335" s="94">
        <v>5160</v>
      </c>
      <c r="Q335" s="94">
        <f t="shared" si="28"/>
        <v>55.04341022177635</v>
      </c>
      <c r="R335" s="94">
        <f t="shared" si="29"/>
        <v>4.263371772089782</v>
      </c>
      <c r="S335" s="94" t="str">
        <f t="shared" si="27"/>
        <v>N</v>
      </c>
    </row>
    <row r="336" spans="16:19" ht="14.25">
      <c r="P336" s="95">
        <v>5170</v>
      </c>
      <c r="Q336" s="94">
        <f t="shared" si="28"/>
        <v>54.9856400599147</v>
      </c>
      <c r="R336" s="94">
        <f t="shared" si="29"/>
        <v>4.529586578372061</v>
      </c>
      <c r="S336" s="94" t="str">
        <f t="shared" si="27"/>
        <v>N</v>
      </c>
    </row>
    <row r="337" spans="16:19" ht="14.25">
      <c r="P337" s="94">
        <v>5180</v>
      </c>
      <c r="Q337" s="94">
        <f t="shared" si="28"/>
        <v>54.92786989805305</v>
      </c>
      <c r="R337" s="94">
        <f t="shared" si="29"/>
        <v>4.795756679386412</v>
      </c>
      <c r="S337" s="94" t="str">
        <f t="shared" si="27"/>
        <v>N</v>
      </c>
    </row>
    <row r="338" spans="16:19" ht="14.25">
      <c r="P338" s="94">
        <v>5190</v>
      </c>
      <c r="Q338" s="94">
        <f t="shared" si="28"/>
        <v>54.870099736191406</v>
      </c>
      <c r="R338" s="94">
        <f t="shared" si="29"/>
        <v>5.061879448218473</v>
      </c>
      <c r="S338" s="94" t="str">
        <f t="shared" si="27"/>
        <v>N</v>
      </c>
    </row>
    <row r="339" spans="16:19" ht="14.25">
      <c r="P339" s="95">
        <v>5200</v>
      </c>
      <c r="Q339" s="94">
        <f t="shared" si="28"/>
        <v>54.812329574329766</v>
      </c>
      <c r="R339" s="94">
        <f t="shared" si="29"/>
        <v>5.327952258343954</v>
      </c>
      <c r="S339" s="94" t="str">
        <f t="shared" si="27"/>
        <v>N</v>
      </c>
    </row>
    <row r="340" spans="16:19" ht="14.25">
      <c r="P340" s="94">
        <v>5210</v>
      </c>
      <c r="Q340" s="94">
        <f t="shared" si="28"/>
        <v>54.75455941246811</v>
      </c>
      <c r="R340" s="94">
        <f t="shared" si="29"/>
        <v>5.593972483885648</v>
      </c>
      <c r="S340" s="94" t="str">
        <f aca="true" t="shared" si="30" ref="S340:S403">IF(Q340-R340&lt;0.3,R340,"N")</f>
        <v>N</v>
      </c>
    </row>
    <row r="341" spans="16:19" ht="14.25">
      <c r="P341" s="94">
        <v>5220</v>
      </c>
      <c r="Q341" s="94">
        <f t="shared" si="28"/>
        <v>54.69678925060647</v>
      </c>
      <c r="R341" s="94">
        <f t="shared" si="29"/>
        <v>5.859937499023272</v>
      </c>
      <c r="S341" s="94" t="str">
        <f t="shared" si="30"/>
        <v>N</v>
      </c>
    </row>
    <row r="342" spans="16:19" ht="14.25">
      <c r="P342" s="95">
        <v>5230</v>
      </c>
      <c r="Q342" s="94">
        <f t="shared" si="28"/>
        <v>54.63901908874483</v>
      </c>
      <c r="R342" s="94">
        <f t="shared" si="29"/>
        <v>6.125844678943547</v>
      </c>
      <c r="S342" s="94" t="str">
        <f t="shared" si="30"/>
        <v>N</v>
      </c>
    </row>
    <row r="343" spans="16:19" ht="14.25">
      <c r="P343" s="94">
        <v>5240</v>
      </c>
      <c r="Q343" s="94">
        <f t="shared" si="28"/>
        <v>54.58124892688318</v>
      </c>
      <c r="R343" s="94">
        <f t="shared" si="29"/>
        <v>6.391691399249956</v>
      </c>
      <c r="S343" s="94" t="str">
        <f t="shared" si="30"/>
        <v>N</v>
      </c>
    </row>
    <row r="344" spans="16:19" ht="14.25">
      <c r="P344" s="94">
        <v>5250</v>
      </c>
      <c r="Q344" s="94">
        <f t="shared" si="28"/>
        <v>54.52347876502154</v>
      </c>
      <c r="R344" s="94">
        <f t="shared" si="29"/>
        <v>6.657475036219633</v>
      </c>
      <c r="S344" s="94" t="str">
        <f t="shared" si="30"/>
        <v>N</v>
      </c>
    </row>
    <row r="345" spans="16:19" ht="14.25">
      <c r="P345" s="95">
        <v>5260</v>
      </c>
      <c r="Q345" s="94">
        <f t="shared" si="28"/>
        <v>54.46570860315988</v>
      </c>
      <c r="R345" s="94">
        <f t="shared" si="29"/>
        <v>6.923192966521495</v>
      </c>
      <c r="S345" s="94" t="str">
        <f t="shared" si="30"/>
        <v>N</v>
      </c>
    </row>
    <row r="346" spans="16:19" ht="14.25">
      <c r="P346" s="94">
        <v>5270</v>
      </c>
      <c r="Q346" s="94">
        <f t="shared" si="28"/>
        <v>54.40793844129824</v>
      </c>
      <c r="R346" s="94">
        <f t="shared" si="29"/>
        <v>7.188842567703795</v>
      </c>
      <c r="S346" s="94" t="str">
        <f t="shared" si="30"/>
        <v>N</v>
      </c>
    </row>
    <row r="347" spans="16:19" ht="14.25">
      <c r="P347" s="94">
        <v>5280</v>
      </c>
      <c r="Q347" s="94">
        <f t="shared" si="28"/>
        <v>54.350168279436595</v>
      </c>
      <c r="R347" s="94">
        <f t="shared" si="29"/>
        <v>7.4544212179122225</v>
      </c>
      <c r="S347" s="94" t="str">
        <f t="shared" si="30"/>
        <v>N</v>
      </c>
    </row>
    <row r="348" spans="16:19" ht="14.25">
      <c r="P348" s="95">
        <v>5290</v>
      </c>
      <c r="Q348" s="94">
        <f t="shared" si="28"/>
        <v>54.29239811757495</v>
      </c>
      <c r="R348" s="94">
        <f t="shared" si="29"/>
        <v>7.719926296069567</v>
      </c>
      <c r="S348" s="94" t="str">
        <f t="shared" si="30"/>
        <v>N</v>
      </c>
    </row>
    <row r="349" spans="16:19" ht="14.25">
      <c r="P349" s="94">
        <v>5300</v>
      </c>
      <c r="Q349" s="94">
        <f t="shared" si="28"/>
        <v>54.2346279557133</v>
      </c>
      <c r="R349" s="94">
        <f t="shared" si="29"/>
        <v>7.985355181594172</v>
      </c>
      <c r="S349" s="94" t="str">
        <f t="shared" si="30"/>
        <v>N</v>
      </c>
    </row>
    <row r="350" spans="16:19" ht="14.25">
      <c r="P350" s="94">
        <v>5310</v>
      </c>
      <c r="Q350" s="94">
        <f t="shared" si="28"/>
        <v>54.17685779385165</v>
      </c>
      <c r="R350" s="94">
        <f t="shared" si="29"/>
        <v>8.250705254963776</v>
      </c>
      <c r="S350" s="94" t="str">
        <f t="shared" si="30"/>
        <v>N</v>
      </c>
    </row>
    <row r="351" spans="16:19" ht="14.25">
      <c r="P351" s="95">
        <v>5320</v>
      </c>
      <c r="Q351" s="94">
        <f t="shared" si="28"/>
        <v>54.11908763199001</v>
      </c>
      <c r="R351" s="94">
        <f t="shared" si="29"/>
        <v>8.515973897126644</v>
      </c>
      <c r="S351" s="94" t="str">
        <f t="shared" si="30"/>
        <v>N</v>
      </c>
    </row>
    <row r="352" spans="16:19" ht="14.25">
      <c r="P352" s="94">
        <v>5330</v>
      </c>
      <c r="Q352" s="94">
        <f t="shared" si="28"/>
        <v>54.061317470128365</v>
      </c>
      <c r="R352" s="94">
        <f t="shared" si="29"/>
        <v>8.781158490141962</v>
      </c>
      <c r="S352" s="94" t="str">
        <f t="shared" si="30"/>
        <v>N</v>
      </c>
    </row>
    <row r="353" spans="16:19" ht="14.25">
      <c r="P353" s="94">
        <v>5340</v>
      </c>
      <c r="Q353" s="94">
        <f t="shared" si="28"/>
        <v>54.00354730826672</v>
      </c>
      <c r="R353" s="94">
        <f t="shared" si="29"/>
        <v>9.046256416591314</v>
      </c>
      <c r="S353" s="94" t="str">
        <f t="shared" si="30"/>
        <v>N</v>
      </c>
    </row>
    <row r="354" spans="16:19" ht="14.25">
      <c r="P354" s="95">
        <v>5350</v>
      </c>
      <c r="Q354" s="94">
        <f t="shared" si="28"/>
        <v>53.94577714640507</v>
      </c>
      <c r="R354" s="94">
        <f t="shared" si="29"/>
        <v>9.311265060141974</v>
      </c>
      <c r="S354" s="94" t="str">
        <f t="shared" si="30"/>
        <v>N</v>
      </c>
    </row>
    <row r="355" spans="16:19" ht="14.25">
      <c r="P355" s="94">
        <v>5360</v>
      </c>
      <c r="Q355" s="94">
        <f t="shared" si="28"/>
        <v>53.88800698454342</v>
      </c>
      <c r="R355" s="94">
        <f t="shared" si="29"/>
        <v>9.57618180526562</v>
      </c>
      <c r="S355" s="94" t="str">
        <f t="shared" si="30"/>
        <v>N</v>
      </c>
    </row>
    <row r="356" spans="16:19" ht="14.25">
      <c r="P356" s="94">
        <v>5370</v>
      </c>
      <c r="Q356" s="94">
        <f t="shared" si="28"/>
        <v>53.83023682268178</v>
      </c>
      <c r="R356" s="94">
        <f t="shared" si="29"/>
        <v>9.841004037417578</v>
      </c>
      <c r="S356" s="94" t="str">
        <f t="shared" si="30"/>
        <v>N</v>
      </c>
    </row>
    <row r="357" spans="16:19" ht="14.25">
      <c r="P357" s="95">
        <v>5380</v>
      </c>
      <c r="Q357" s="94">
        <f t="shared" si="28"/>
        <v>53.77246666082013</v>
      </c>
      <c r="R357" s="94">
        <f t="shared" si="29"/>
        <v>10.105729142756003</v>
      </c>
      <c r="S357" s="94" t="str">
        <f t="shared" si="30"/>
        <v>N</v>
      </c>
    </row>
    <row r="358" spans="16:19" ht="14.25">
      <c r="P358" s="94">
        <v>5390</v>
      </c>
      <c r="Q358" s="94">
        <f t="shared" si="28"/>
        <v>53.71469649895849</v>
      </c>
      <c r="R358" s="94">
        <f t="shared" si="29"/>
        <v>10.370354508627658</v>
      </c>
      <c r="S358" s="94" t="str">
        <f t="shared" si="30"/>
        <v>N</v>
      </c>
    </row>
    <row r="359" spans="16:19" ht="14.25">
      <c r="P359" s="94">
        <v>5400</v>
      </c>
      <c r="Q359" s="94">
        <f t="shared" si="28"/>
        <v>53.65692633709685</v>
      </c>
      <c r="R359" s="94">
        <f t="shared" si="29"/>
        <v>10.634877523363578</v>
      </c>
      <c r="S359" s="94" t="str">
        <f t="shared" si="30"/>
        <v>N</v>
      </c>
    </row>
    <row r="360" spans="16:19" ht="14.25">
      <c r="P360" s="95">
        <v>5410</v>
      </c>
      <c r="Q360" s="94">
        <f t="shared" si="28"/>
        <v>53.599156175235194</v>
      </c>
      <c r="R360" s="94">
        <f t="shared" si="29"/>
        <v>10.89929557615178</v>
      </c>
      <c r="S360" s="94" t="str">
        <f t="shared" si="30"/>
        <v>N</v>
      </c>
    </row>
    <row r="361" spans="16:19" ht="14.25">
      <c r="P361" s="94">
        <v>5420</v>
      </c>
      <c r="Q361" s="94">
        <f t="shared" si="28"/>
        <v>53.541386013373554</v>
      </c>
      <c r="R361" s="94">
        <f t="shared" si="29"/>
        <v>11.163606057216324</v>
      </c>
      <c r="S361" s="94" t="str">
        <f t="shared" si="30"/>
        <v>N</v>
      </c>
    </row>
    <row r="362" spans="16:19" ht="14.25">
      <c r="P362" s="94">
        <v>5430</v>
      </c>
      <c r="Q362" s="94">
        <f t="shared" si="28"/>
        <v>53.4836158515119</v>
      </c>
      <c r="R362" s="94">
        <f t="shared" si="29"/>
        <v>11.427806357996037</v>
      </c>
      <c r="S362" s="94" t="str">
        <f t="shared" si="30"/>
        <v>N</v>
      </c>
    </row>
    <row r="363" spans="16:19" ht="14.25">
      <c r="P363" s="95">
        <v>5440</v>
      </c>
      <c r="Q363" s="94">
        <f t="shared" si="28"/>
        <v>53.42584568965026</v>
      </c>
      <c r="R363" s="94">
        <f t="shared" si="29"/>
        <v>11.691893870940612</v>
      </c>
      <c r="S363" s="94" t="str">
        <f t="shared" si="30"/>
        <v>N</v>
      </c>
    </row>
    <row r="364" spans="16:19" ht="14.25">
      <c r="P364" s="94">
        <v>5450</v>
      </c>
      <c r="Q364" s="94">
        <f t="shared" si="28"/>
        <v>53.36807552778861</v>
      </c>
      <c r="R364" s="94">
        <f t="shared" si="29"/>
        <v>11.955865989689316</v>
      </c>
      <c r="S364" s="94" t="str">
        <f t="shared" si="30"/>
        <v>N</v>
      </c>
    </row>
    <row r="365" spans="16:19" ht="14.25">
      <c r="P365" s="94">
        <v>5460</v>
      </c>
      <c r="Q365" s="94">
        <f t="shared" si="28"/>
        <v>53.310305365926965</v>
      </c>
      <c r="R365" s="94">
        <f t="shared" si="29"/>
        <v>12.21972010879107</v>
      </c>
      <c r="S365" s="94" t="str">
        <f t="shared" si="30"/>
        <v>N</v>
      </c>
    </row>
    <row r="366" spans="16:19" ht="14.25">
      <c r="P366" s="95">
        <v>5470</v>
      </c>
      <c r="Q366" s="94">
        <f t="shared" si="28"/>
        <v>53.25253520406532</v>
      </c>
      <c r="R366" s="94">
        <f t="shared" si="29"/>
        <v>12.483453624188673</v>
      </c>
      <c r="S366" s="94" t="str">
        <f t="shared" si="30"/>
        <v>N</v>
      </c>
    </row>
    <row r="367" spans="16:19" ht="14.25">
      <c r="P367" s="94">
        <v>5480</v>
      </c>
      <c r="Q367" s="94">
        <f t="shared" si="28"/>
        <v>53.19476504220367</v>
      </c>
      <c r="R367" s="94">
        <f t="shared" si="29"/>
        <v>12.747063932938806</v>
      </c>
      <c r="S367" s="94" t="str">
        <f t="shared" si="30"/>
        <v>N</v>
      </c>
    </row>
    <row r="368" spans="16:19" ht="14.25">
      <c r="P368" s="94">
        <v>5490</v>
      </c>
      <c r="Q368" s="94">
        <f t="shared" si="28"/>
        <v>53.13699488034203</v>
      </c>
      <c r="R368" s="94">
        <f t="shared" si="29"/>
        <v>13.010548433466665</v>
      </c>
      <c r="S368" s="94" t="str">
        <f t="shared" si="30"/>
        <v>N</v>
      </c>
    </row>
    <row r="369" spans="16:19" ht="14.25">
      <c r="P369" s="95">
        <v>5500</v>
      </c>
      <c r="Q369" s="94">
        <f t="shared" si="28"/>
        <v>53.07922471848038</v>
      </c>
      <c r="R369" s="94">
        <f t="shared" si="29"/>
        <v>13.273904524981491</v>
      </c>
      <c r="S369" s="94" t="str">
        <f t="shared" si="30"/>
        <v>N</v>
      </c>
    </row>
    <row r="370" spans="16:19" ht="14.25">
      <c r="P370" s="94">
        <v>5510</v>
      </c>
      <c r="Q370" s="94">
        <f t="shared" si="28"/>
        <v>53.021454556618735</v>
      </c>
      <c r="R370" s="94">
        <f t="shared" si="29"/>
        <v>13.537129608417573</v>
      </c>
      <c r="S370" s="94" t="str">
        <f t="shared" si="30"/>
        <v>N</v>
      </c>
    </row>
    <row r="371" spans="16:19" ht="14.25">
      <c r="P371" s="94">
        <v>5520</v>
      </c>
      <c r="Q371" s="94">
        <f t="shared" si="28"/>
        <v>52.96368439475709</v>
      </c>
      <c r="R371" s="94">
        <f t="shared" si="29"/>
        <v>13.800221085849607</v>
      </c>
      <c r="S371" s="94" t="str">
        <f t="shared" si="30"/>
        <v>N</v>
      </c>
    </row>
    <row r="372" spans="16:19" ht="14.25">
      <c r="P372" s="95">
        <v>5530</v>
      </c>
      <c r="Q372" s="94">
        <f t="shared" si="28"/>
        <v>52.90591423289544</v>
      </c>
      <c r="R372" s="94">
        <f t="shared" si="29"/>
        <v>14.063176360747036</v>
      </c>
      <c r="S372" s="94" t="str">
        <f t="shared" si="30"/>
        <v>N</v>
      </c>
    </row>
    <row r="373" spans="16:19" ht="14.25">
      <c r="P373" s="94">
        <v>5540</v>
      </c>
      <c r="Q373" s="94">
        <f t="shared" si="28"/>
        <v>52.8481440710338</v>
      </c>
      <c r="R373" s="94">
        <f t="shared" si="29"/>
        <v>14.325992837695196</v>
      </c>
      <c r="S373" s="94" t="str">
        <f t="shared" si="30"/>
        <v>N</v>
      </c>
    </row>
    <row r="374" spans="16:19" ht="14.25">
      <c r="P374" s="94">
        <v>5550</v>
      </c>
      <c r="Q374" s="94">
        <f t="shared" si="28"/>
        <v>52.79037390917215</v>
      </c>
      <c r="R374" s="94">
        <f t="shared" si="29"/>
        <v>14.588667922877717</v>
      </c>
      <c r="S374" s="94" t="str">
        <f t="shared" si="30"/>
        <v>N</v>
      </c>
    </row>
    <row r="375" spans="16:19" ht="14.25">
      <c r="P375" s="95">
        <v>5560</v>
      </c>
      <c r="Q375" s="94">
        <f t="shared" si="28"/>
        <v>52.732603747310506</v>
      </c>
      <c r="R375" s="94">
        <f t="shared" si="29"/>
        <v>14.851199023797554</v>
      </c>
      <c r="S375" s="94" t="str">
        <f t="shared" si="30"/>
        <v>N</v>
      </c>
    </row>
    <row r="376" spans="16:19" ht="14.25">
      <c r="P376" s="94">
        <v>5570</v>
      </c>
      <c r="Q376" s="94">
        <f t="shared" si="28"/>
        <v>52.67483358544886</v>
      </c>
      <c r="R376" s="94">
        <f t="shared" si="29"/>
        <v>15.113583549454667</v>
      </c>
      <c r="S376" s="94" t="str">
        <f t="shared" si="30"/>
        <v>N</v>
      </c>
    </row>
    <row r="377" spans="16:19" ht="14.25">
      <c r="P377" s="94">
        <v>5580</v>
      </c>
      <c r="Q377" s="94">
        <f t="shared" si="28"/>
        <v>52.61706342358721</v>
      </c>
      <c r="R377" s="94">
        <f t="shared" si="29"/>
        <v>15.375818910067794</v>
      </c>
      <c r="S377" s="94" t="str">
        <f t="shared" si="30"/>
        <v>N</v>
      </c>
    </row>
    <row r="378" spans="16:19" ht="14.25">
      <c r="P378" s="95">
        <v>5590</v>
      </c>
      <c r="Q378" s="94">
        <f t="shared" si="28"/>
        <v>52.559293261725564</v>
      </c>
      <c r="R378" s="94">
        <f t="shared" si="29"/>
        <v>15.637902517631634</v>
      </c>
      <c r="S378" s="94" t="str">
        <f t="shared" si="30"/>
        <v>N</v>
      </c>
    </row>
    <row r="379" spans="16:19" ht="14.25">
      <c r="P379" s="94">
        <v>5600</v>
      </c>
      <c r="Q379" s="94">
        <f t="shared" si="28"/>
        <v>52.50152309986392</v>
      </c>
      <c r="R379" s="94">
        <f t="shared" si="29"/>
        <v>15.899831785335033</v>
      </c>
      <c r="S379" s="94" t="str">
        <f t="shared" si="30"/>
        <v>N</v>
      </c>
    </row>
    <row r="380" spans="16:19" ht="14.25">
      <c r="P380" s="94">
        <v>5610</v>
      </c>
      <c r="Q380" s="94">
        <f t="shared" si="28"/>
        <v>52.44375293800228</v>
      </c>
      <c r="R380" s="94">
        <f t="shared" si="29"/>
        <v>16.16160412819353</v>
      </c>
      <c r="S380" s="94" t="str">
        <f t="shared" si="30"/>
        <v>N</v>
      </c>
    </row>
    <row r="381" spans="16:19" ht="14.25">
      <c r="P381" s="95">
        <v>5620</v>
      </c>
      <c r="Q381" s="94">
        <f t="shared" si="28"/>
        <v>52.38598277614063</v>
      </c>
      <c r="R381" s="94">
        <f t="shared" si="29"/>
        <v>16.42321696246821</v>
      </c>
      <c r="S381" s="94" t="str">
        <f t="shared" si="30"/>
        <v>N</v>
      </c>
    </row>
    <row r="382" spans="16:19" ht="14.25">
      <c r="P382" s="94">
        <v>5630</v>
      </c>
      <c r="Q382" s="94">
        <f t="shared" si="28"/>
        <v>52.32821261427898</v>
      </c>
      <c r="R382" s="94">
        <f t="shared" si="29"/>
        <v>16.684667706221827</v>
      </c>
      <c r="S382" s="94" t="str">
        <f t="shared" si="30"/>
        <v>N</v>
      </c>
    </row>
    <row r="383" spans="16:19" ht="14.25">
      <c r="P383" s="94">
        <v>5640</v>
      </c>
      <c r="Q383" s="94">
        <f t="shared" si="28"/>
        <v>52.270442452417335</v>
      </c>
      <c r="R383" s="94">
        <f t="shared" si="29"/>
        <v>16.945953779041087</v>
      </c>
      <c r="S383" s="94" t="str">
        <f t="shared" si="30"/>
        <v>N</v>
      </c>
    </row>
    <row r="384" spans="16:19" ht="14.25">
      <c r="P384" s="95">
        <v>5650</v>
      </c>
      <c r="Q384" s="94">
        <f t="shared" si="28"/>
        <v>52.21267229055569</v>
      </c>
      <c r="R384" s="94">
        <f t="shared" si="29"/>
        <v>17.20707260221351</v>
      </c>
      <c r="S384" s="94" t="str">
        <f t="shared" si="30"/>
        <v>N</v>
      </c>
    </row>
    <row r="385" spans="16:19" ht="14.25">
      <c r="P385" s="94">
        <v>5660</v>
      </c>
      <c r="Q385" s="94">
        <f t="shared" si="28"/>
        <v>52.15490212869405</v>
      </c>
      <c r="R385" s="94">
        <f t="shared" si="29"/>
        <v>17.468021598450548</v>
      </c>
      <c r="S385" s="94" t="str">
        <f t="shared" si="30"/>
        <v>N</v>
      </c>
    </row>
    <row r="386" spans="16:19" ht="14.25">
      <c r="P386" s="94">
        <v>5670</v>
      </c>
      <c r="Q386" s="94">
        <f t="shared" si="28"/>
        <v>52.0971319668324</v>
      </c>
      <c r="R386" s="94">
        <f t="shared" si="29"/>
        <v>17.72879819236657</v>
      </c>
      <c r="S386" s="94" t="str">
        <f t="shared" si="30"/>
        <v>N</v>
      </c>
    </row>
    <row r="387" spans="16:19" ht="14.25">
      <c r="P387" s="95">
        <v>5680</v>
      </c>
      <c r="Q387" s="94">
        <f t="shared" si="28"/>
        <v>52.03936180497075</v>
      </c>
      <c r="R387" s="94">
        <f t="shared" si="29"/>
        <v>17.989399810352705</v>
      </c>
      <c r="S387" s="94" t="str">
        <f t="shared" si="30"/>
        <v>N</v>
      </c>
    </row>
    <row r="388" spans="16:19" ht="14.25">
      <c r="P388" s="94">
        <v>5690</v>
      </c>
      <c r="Q388" s="94">
        <f aca="true" t="shared" si="31" ref="Q388:Q451">Vbr_out*SQRT(2)-Pin/(Cdc*Vbr_out*SQRT(2))*P388*10^-6</f>
        <v>51.981591643109105</v>
      </c>
      <c r="R388" s="94">
        <f aca="true" t="shared" si="32" ref="R388:R451">-Vbr_out*SQRT(2)*COS(2*PI()*fL*(P388*10^-6-0.5*fL))</f>
        <v>18.24982388007443</v>
      </c>
      <c r="S388" s="94" t="str">
        <f t="shared" si="30"/>
        <v>N</v>
      </c>
    </row>
    <row r="389" spans="16:19" ht="14.25">
      <c r="P389" s="94">
        <v>5700</v>
      </c>
      <c r="Q389" s="94">
        <f t="shared" si="31"/>
        <v>51.923821481247465</v>
      </c>
      <c r="R389" s="94">
        <f t="shared" si="32"/>
        <v>18.510067831402246</v>
      </c>
      <c r="S389" s="94" t="str">
        <f t="shared" si="30"/>
        <v>N</v>
      </c>
    </row>
    <row r="390" spans="16:19" ht="14.25">
      <c r="P390" s="95">
        <v>5710</v>
      </c>
      <c r="Q390" s="94">
        <f t="shared" si="31"/>
        <v>51.86605131938582</v>
      </c>
      <c r="R390" s="94">
        <f t="shared" si="32"/>
        <v>18.77012909583342</v>
      </c>
      <c r="S390" s="94" t="str">
        <f t="shared" si="30"/>
        <v>N</v>
      </c>
    </row>
    <row r="391" spans="16:19" ht="14.25">
      <c r="P391" s="94">
        <v>5720</v>
      </c>
      <c r="Q391" s="94">
        <f t="shared" si="31"/>
        <v>51.80828115752417</v>
      </c>
      <c r="R391" s="94">
        <f t="shared" si="32"/>
        <v>19.030005106668263</v>
      </c>
      <c r="S391" s="94" t="str">
        <f t="shared" si="30"/>
        <v>N</v>
      </c>
    </row>
    <row r="392" spans="16:19" ht="14.25">
      <c r="P392" s="94">
        <v>5730</v>
      </c>
      <c r="Q392" s="94">
        <f t="shared" si="31"/>
        <v>51.75051099566252</v>
      </c>
      <c r="R392" s="94">
        <f t="shared" si="32"/>
        <v>19.28969329911062</v>
      </c>
      <c r="S392" s="94" t="str">
        <f t="shared" si="30"/>
        <v>N</v>
      </c>
    </row>
    <row r="393" spans="16:19" ht="14.25">
      <c r="P393" s="95">
        <v>5740</v>
      </c>
      <c r="Q393" s="94">
        <f t="shared" si="31"/>
        <v>51.692740833800876</v>
      </c>
      <c r="R393" s="94">
        <f t="shared" si="32"/>
        <v>19.54919110999251</v>
      </c>
      <c r="S393" s="94" t="str">
        <f t="shared" si="30"/>
        <v>N</v>
      </c>
    </row>
    <row r="394" spans="16:19" ht="14.25">
      <c r="P394" s="94">
        <v>5750</v>
      </c>
      <c r="Q394" s="94">
        <f t="shared" si="31"/>
        <v>51.63497067193923</v>
      </c>
      <c r="R394" s="94">
        <f t="shared" si="32"/>
        <v>19.808495978250516</v>
      </c>
      <c r="S394" s="94" t="str">
        <f t="shared" si="30"/>
        <v>N</v>
      </c>
    </row>
    <row r="395" spans="16:19" ht="14.25">
      <c r="P395" s="94">
        <v>5760</v>
      </c>
      <c r="Q395" s="94">
        <f t="shared" si="31"/>
        <v>51.57720051007758</v>
      </c>
      <c r="R395" s="94">
        <f t="shared" si="32"/>
        <v>20.067605344650268</v>
      </c>
      <c r="S395" s="94" t="str">
        <f t="shared" si="30"/>
        <v>N</v>
      </c>
    </row>
    <row r="396" spans="16:19" ht="14.25">
      <c r="P396" s="95">
        <v>5770</v>
      </c>
      <c r="Q396" s="94">
        <f t="shared" si="31"/>
        <v>51.519430348215934</v>
      </c>
      <c r="R396" s="94">
        <f t="shared" si="32"/>
        <v>20.326516651961857</v>
      </c>
      <c r="S396" s="94" t="str">
        <f t="shared" si="30"/>
        <v>N</v>
      </c>
    </row>
    <row r="397" spans="16:19" ht="14.25">
      <c r="P397" s="94">
        <v>5780</v>
      </c>
      <c r="Q397" s="94">
        <f t="shared" si="31"/>
        <v>51.461660186354294</v>
      </c>
      <c r="R397" s="94">
        <f t="shared" si="32"/>
        <v>20.58522734476016</v>
      </c>
      <c r="S397" s="94" t="str">
        <f t="shared" si="30"/>
        <v>N</v>
      </c>
    </row>
    <row r="398" spans="16:19" ht="14.25">
      <c r="P398" s="94">
        <v>5790</v>
      </c>
      <c r="Q398" s="94">
        <f t="shared" si="31"/>
        <v>51.40389002449265</v>
      </c>
      <c r="R398" s="94">
        <f t="shared" si="32"/>
        <v>20.84373486960028</v>
      </c>
      <c r="S398" s="94" t="str">
        <f t="shared" si="30"/>
        <v>N</v>
      </c>
    </row>
    <row r="399" spans="16:19" ht="14.25">
      <c r="P399" s="95">
        <v>5800</v>
      </c>
      <c r="Q399" s="94">
        <f t="shared" si="31"/>
        <v>51.346119862631</v>
      </c>
      <c r="R399" s="94">
        <f t="shared" si="32"/>
        <v>21.102036675192235</v>
      </c>
      <c r="S399" s="94" t="str">
        <f t="shared" si="30"/>
        <v>N</v>
      </c>
    </row>
    <row r="400" spans="16:19" ht="14.25">
      <c r="P400" s="94">
        <v>5810</v>
      </c>
      <c r="Q400" s="94">
        <f t="shared" si="31"/>
        <v>51.28834970076936</v>
      </c>
      <c r="R400" s="94">
        <f t="shared" si="32"/>
        <v>21.360130212276175</v>
      </c>
      <c r="S400" s="94" t="str">
        <f t="shared" si="30"/>
        <v>N</v>
      </c>
    </row>
    <row r="401" spans="16:19" ht="14.25">
      <c r="P401" s="94">
        <v>5820</v>
      </c>
      <c r="Q401" s="94">
        <f t="shared" si="31"/>
        <v>51.230579538907705</v>
      </c>
      <c r="R401" s="94">
        <f t="shared" si="32"/>
        <v>21.61801293342365</v>
      </c>
      <c r="S401" s="94" t="str">
        <f t="shared" si="30"/>
        <v>N</v>
      </c>
    </row>
    <row r="402" spans="16:19" ht="14.25">
      <c r="P402" s="95">
        <v>5830</v>
      </c>
      <c r="Q402" s="94">
        <f t="shared" si="31"/>
        <v>51.172809377046065</v>
      </c>
      <c r="R402" s="94">
        <f t="shared" si="32"/>
        <v>21.875682293511055</v>
      </c>
      <c r="S402" s="94" t="str">
        <f t="shared" si="30"/>
        <v>N</v>
      </c>
    </row>
    <row r="403" spans="16:19" ht="14.25">
      <c r="P403" s="94">
        <v>5840</v>
      </c>
      <c r="Q403" s="94">
        <f t="shared" si="31"/>
        <v>51.11503921518441</v>
      </c>
      <c r="R403" s="94">
        <f t="shared" si="32"/>
        <v>22.13313574944584</v>
      </c>
      <c r="S403" s="94" t="str">
        <f t="shared" si="30"/>
        <v>N</v>
      </c>
    </row>
    <row r="404" spans="16:19" ht="14.25">
      <c r="P404" s="94">
        <v>5850</v>
      </c>
      <c r="Q404" s="94">
        <f t="shared" si="31"/>
        <v>51.05726905332277</v>
      </c>
      <c r="R404" s="94">
        <f t="shared" si="32"/>
        <v>22.390370760340776</v>
      </c>
      <c r="S404" s="94" t="str">
        <f aca="true" t="shared" si="33" ref="S404:S467">IF(Q404-R404&lt;0.3,R404,"N")</f>
        <v>N</v>
      </c>
    </row>
    <row r="405" spans="16:19" ht="14.25">
      <c r="P405" s="95">
        <v>5860</v>
      </c>
      <c r="Q405" s="94">
        <f t="shared" si="31"/>
        <v>50.99949889146113</v>
      </c>
      <c r="R405" s="94">
        <f t="shared" si="32"/>
        <v>22.647384787241208</v>
      </c>
      <c r="S405" s="94" t="str">
        <f t="shared" si="33"/>
        <v>N</v>
      </c>
    </row>
    <row r="406" spans="16:19" ht="14.25">
      <c r="P406" s="94">
        <v>5870</v>
      </c>
      <c r="Q406" s="94">
        <f t="shared" si="31"/>
        <v>50.941728729599475</v>
      </c>
      <c r="R406" s="94">
        <f t="shared" si="32"/>
        <v>22.90417529367126</v>
      </c>
      <c r="S406" s="94" t="str">
        <f t="shared" si="33"/>
        <v>N</v>
      </c>
    </row>
    <row r="407" spans="16:19" ht="14.25">
      <c r="P407" s="94">
        <v>5880</v>
      </c>
      <c r="Q407" s="94">
        <f t="shared" si="31"/>
        <v>50.883958567737835</v>
      </c>
      <c r="R407" s="94">
        <f t="shared" si="32"/>
        <v>23.16073974513787</v>
      </c>
      <c r="S407" s="94" t="str">
        <f t="shared" si="33"/>
        <v>N</v>
      </c>
    </row>
    <row r="408" spans="16:19" ht="14.25">
      <c r="P408" s="95">
        <v>5890</v>
      </c>
      <c r="Q408" s="94">
        <f t="shared" si="31"/>
        <v>50.82618840587619</v>
      </c>
      <c r="R408" s="94">
        <f t="shared" si="32"/>
        <v>23.417075609379307</v>
      </c>
      <c r="S408" s="94" t="str">
        <f t="shared" si="33"/>
        <v>N</v>
      </c>
    </row>
    <row r="409" spans="16:19" ht="14.25">
      <c r="P409" s="94">
        <v>5900</v>
      </c>
      <c r="Q409" s="94">
        <f t="shared" si="31"/>
        <v>50.76841824401454</v>
      </c>
      <c r="R409" s="94">
        <f t="shared" si="32"/>
        <v>23.673180356538378</v>
      </c>
      <c r="S409" s="94" t="str">
        <f t="shared" si="33"/>
        <v>N</v>
      </c>
    </row>
    <row r="410" spans="16:19" ht="14.25">
      <c r="P410" s="94">
        <v>5910</v>
      </c>
      <c r="Q410" s="94">
        <f t="shared" si="31"/>
        <v>50.71064808215289</v>
      </c>
      <c r="R410" s="94">
        <f t="shared" si="32"/>
        <v>23.92905145896463</v>
      </c>
      <c r="S410" s="94" t="str">
        <f t="shared" si="33"/>
        <v>N</v>
      </c>
    </row>
    <row r="411" spans="16:19" ht="14.25">
      <c r="P411" s="95">
        <v>5920</v>
      </c>
      <c r="Q411" s="94">
        <f t="shared" si="31"/>
        <v>50.652877920291246</v>
      </c>
      <c r="R411" s="94">
        <f t="shared" si="32"/>
        <v>24.18468639131358</v>
      </c>
      <c r="S411" s="94" t="str">
        <f t="shared" si="33"/>
        <v>N</v>
      </c>
    </row>
    <row r="412" spans="16:19" ht="14.25">
      <c r="P412" s="94">
        <v>5930</v>
      </c>
      <c r="Q412" s="94">
        <f t="shared" si="31"/>
        <v>50.5951077584296</v>
      </c>
      <c r="R412" s="94">
        <f t="shared" si="32"/>
        <v>24.440082630645552</v>
      </c>
      <c r="S412" s="94" t="str">
        <f t="shared" si="33"/>
        <v>N</v>
      </c>
    </row>
    <row r="413" spans="16:19" ht="14.25">
      <c r="P413" s="94">
        <v>5940</v>
      </c>
      <c r="Q413" s="94">
        <f t="shared" si="31"/>
        <v>50.53733759656796</v>
      </c>
      <c r="R413" s="94">
        <f t="shared" si="32"/>
        <v>24.695237656154898</v>
      </c>
      <c r="S413" s="94" t="str">
        <f t="shared" si="33"/>
        <v>N</v>
      </c>
    </row>
    <row r="414" spans="16:19" ht="14.25">
      <c r="P414" s="95">
        <v>5950</v>
      </c>
      <c r="Q414" s="94">
        <f t="shared" si="31"/>
        <v>50.47956743470631</v>
      </c>
      <c r="R414" s="94">
        <f t="shared" si="32"/>
        <v>24.9501489496385</v>
      </c>
      <c r="S414" s="94" t="str">
        <f t="shared" si="33"/>
        <v>N</v>
      </c>
    </row>
    <row r="415" spans="16:19" ht="14.25">
      <c r="P415" s="94">
        <v>5960</v>
      </c>
      <c r="Q415" s="94">
        <f t="shared" si="31"/>
        <v>50.421797272844664</v>
      </c>
      <c r="R415" s="94">
        <f t="shared" si="32"/>
        <v>25.20481399537218</v>
      </c>
      <c r="S415" s="94" t="str">
        <f t="shared" si="33"/>
        <v>N</v>
      </c>
    </row>
    <row r="416" spans="16:19" ht="14.25">
      <c r="P416" s="94">
        <v>5970</v>
      </c>
      <c r="Q416" s="94">
        <f t="shared" si="31"/>
        <v>50.36402711098302</v>
      </c>
      <c r="R416" s="94">
        <f t="shared" si="32"/>
        <v>25.459230279619852</v>
      </c>
      <c r="S416" s="94" t="str">
        <f t="shared" si="33"/>
        <v>N</v>
      </c>
    </row>
    <row r="417" spans="16:19" ht="14.25">
      <c r="P417" s="95">
        <v>5980</v>
      </c>
      <c r="Q417" s="94">
        <f t="shared" si="31"/>
        <v>50.30625694912137</v>
      </c>
      <c r="R417" s="94">
        <f t="shared" si="32"/>
        <v>25.713395291543023</v>
      </c>
      <c r="S417" s="94" t="str">
        <f t="shared" si="33"/>
        <v>N</v>
      </c>
    </row>
    <row r="418" spans="16:19" ht="14.25">
      <c r="P418" s="94">
        <v>5990</v>
      </c>
      <c r="Q418" s="94">
        <f t="shared" si="31"/>
        <v>50.24848678725973</v>
      </c>
      <c r="R418" s="94">
        <f t="shared" si="32"/>
        <v>25.967306522635635</v>
      </c>
      <c r="S418" s="94" t="str">
        <f t="shared" si="33"/>
        <v>N</v>
      </c>
    </row>
    <row r="419" spans="16:19" ht="14.25">
      <c r="P419" s="94">
        <v>6000</v>
      </c>
      <c r="Q419" s="94">
        <f t="shared" si="31"/>
        <v>50.190716625398075</v>
      </c>
      <c r="R419" s="94">
        <f t="shared" si="32"/>
        <v>26.220961466896348</v>
      </c>
      <c r="S419" s="94" t="str">
        <f t="shared" si="33"/>
        <v>N</v>
      </c>
    </row>
    <row r="420" spans="16:19" ht="14.25">
      <c r="P420" s="95">
        <v>6010</v>
      </c>
      <c r="Q420" s="94">
        <f t="shared" si="31"/>
        <v>50.132946463536435</v>
      </c>
      <c r="R420" s="94">
        <f t="shared" si="32"/>
        <v>26.47435762092659</v>
      </c>
      <c r="S420" s="94" t="str">
        <f t="shared" si="33"/>
        <v>N</v>
      </c>
    </row>
    <row r="421" spans="16:19" ht="14.25">
      <c r="P421" s="94">
        <v>6020</v>
      </c>
      <c r="Q421" s="94">
        <f t="shared" si="31"/>
        <v>50.07517630167479</v>
      </c>
      <c r="R421" s="94">
        <f t="shared" si="32"/>
        <v>26.727492483661898</v>
      </c>
      <c r="S421" s="94" t="str">
        <f t="shared" si="33"/>
        <v>N</v>
      </c>
    </row>
    <row r="422" spans="16:19" ht="14.25">
      <c r="P422" s="94">
        <v>6030</v>
      </c>
      <c r="Q422" s="94">
        <f t="shared" si="31"/>
        <v>50.01740613981314</v>
      </c>
      <c r="R422" s="94">
        <f t="shared" si="32"/>
        <v>26.980363556836778</v>
      </c>
      <c r="S422" s="94" t="str">
        <f t="shared" si="33"/>
        <v>N</v>
      </c>
    </row>
    <row r="423" spans="16:19" ht="14.25">
      <c r="P423" s="95">
        <v>6040</v>
      </c>
      <c r="Q423" s="94">
        <f t="shared" si="31"/>
        <v>49.9596359779515</v>
      </c>
      <c r="R423" s="94">
        <f t="shared" si="32"/>
        <v>27.23296834471581</v>
      </c>
      <c r="S423" s="94" t="str">
        <f t="shared" si="33"/>
        <v>N</v>
      </c>
    </row>
    <row r="424" spans="16:19" ht="14.25">
      <c r="P424" s="94">
        <v>6050</v>
      </c>
      <c r="Q424" s="94">
        <f t="shared" si="31"/>
        <v>49.901865816089845</v>
      </c>
      <c r="R424" s="94">
        <f t="shared" si="32"/>
        <v>27.485304354264752</v>
      </c>
      <c r="S424" s="94" t="str">
        <f t="shared" si="33"/>
        <v>N</v>
      </c>
    </row>
    <row r="425" spans="16:19" ht="14.25">
      <c r="P425" s="94">
        <v>6060</v>
      </c>
      <c r="Q425" s="94">
        <f t="shared" si="31"/>
        <v>49.844095654228205</v>
      </c>
      <c r="R425" s="94">
        <f t="shared" si="32"/>
        <v>27.737369094955877</v>
      </c>
      <c r="S425" s="94" t="str">
        <f t="shared" si="33"/>
        <v>N</v>
      </c>
    </row>
    <row r="426" spans="16:19" ht="14.25">
      <c r="P426" s="95">
        <v>6070</v>
      </c>
      <c r="Q426" s="94">
        <f t="shared" si="31"/>
        <v>49.78632549236656</v>
      </c>
      <c r="R426" s="94">
        <f t="shared" si="32"/>
        <v>27.98916007893911</v>
      </c>
      <c r="S426" s="94" t="str">
        <f t="shared" si="33"/>
        <v>N</v>
      </c>
    </row>
    <row r="427" spans="16:19" ht="14.25">
      <c r="P427" s="94">
        <v>6080</v>
      </c>
      <c r="Q427" s="94">
        <f t="shared" si="31"/>
        <v>49.72855533050491</v>
      </c>
      <c r="R427" s="94">
        <f t="shared" si="32"/>
        <v>28.24067482128488</v>
      </c>
      <c r="S427" s="94" t="str">
        <f t="shared" si="33"/>
        <v>N</v>
      </c>
    </row>
    <row r="428" spans="16:19" ht="14.25">
      <c r="P428" s="94">
        <v>6090</v>
      </c>
      <c r="Q428" s="94">
        <f t="shared" si="31"/>
        <v>49.67078516864326</v>
      </c>
      <c r="R428" s="94">
        <f t="shared" si="32"/>
        <v>28.491910839498583</v>
      </c>
      <c r="S428" s="94" t="str">
        <f t="shared" si="33"/>
        <v>N</v>
      </c>
    </row>
    <row r="429" spans="16:19" ht="14.25">
      <c r="P429" s="95">
        <v>6100</v>
      </c>
      <c r="Q429" s="94">
        <f t="shared" si="31"/>
        <v>49.613015006781616</v>
      </c>
      <c r="R429" s="94">
        <f t="shared" si="32"/>
        <v>28.74286565405501</v>
      </c>
      <c r="S429" s="94" t="str">
        <f t="shared" si="33"/>
        <v>N</v>
      </c>
    </row>
    <row r="430" spans="16:19" ht="14.25">
      <c r="P430" s="94">
        <v>6110</v>
      </c>
      <c r="Q430" s="94">
        <f t="shared" si="31"/>
        <v>49.55524484491997</v>
      </c>
      <c r="R430" s="94">
        <f t="shared" si="32"/>
        <v>28.993536788131454</v>
      </c>
      <c r="S430" s="94" t="str">
        <f t="shared" si="33"/>
        <v>N</v>
      </c>
    </row>
    <row r="431" spans="16:19" ht="14.25">
      <c r="P431" s="94">
        <v>6120</v>
      </c>
      <c r="Q431" s="94">
        <f t="shared" si="31"/>
        <v>49.49747468305833</v>
      </c>
      <c r="R431" s="94">
        <f t="shared" si="32"/>
        <v>29.243921767705025</v>
      </c>
      <c r="S431" s="94" t="str">
        <f t="shared" si="33"/>
        <v>N</v>
      </c>
    </row>
    <row r="432" spans="16:19" ht="14.25">
      <c r="P432" s="95">
        <v>6130</v>
      </c>
      <c r="Q432" s="94">
        <f t="shared" si="31"/>
        <v>49.43970452119668</v>
      </c>
      <c r="R432" s="94">
        <f t="shared" si="32"/>
        <v>29.494018121649418</v>
      </c>
      <c r="S432" s="94" t="str">
        <f t="shared" si="33"/>
        <v>N</v>
      </c>
    </row>
    <row r="433" spans="16:19" ht="14.25">
      <c r="P433" s="94">
        <v>6140</v>
      </c>
      <c r="Q433" s="94">
        <f t="shared" si="31"/>
        <v>49.381934359335034</v>
      </c>
      <c r="R433" s="94">
        <f t="shared" si="32"/>
        <v>29.743823381469777</v>
      </c>
      <c r="S433" s="94" t="str">
        <f t="shared" si="33"/>
        <v>N</v>
      </c>
    </row>
    <row r="434" spans="16:19" ht="14.25">
      <c r="P434" s="94">
        <v>6150</v>
      </c>
      <c r="Q434" s="94">
        <f t="shared" si="31"/>
        <v>49.324164197473394</v>
      </c>
      <c r="R434" s="94">
        <f t="shared" si="32"/>
        <v>29.993335081833685</v>
      </c>
      <c r="S434" s="94" t="str">
        <f t="shared" si="33"/>
        <v>N</v>
      </c>
    </row>
    <row r="435" spans="16:19" ht="14.25">
      <c r="P435" s="95">
        <v>6160</v>
      </c>
      <c r="Q435" s="94">
        <f t="shared" si="31"/>
        <v>49.26639403561174</v>
      </c>
      <c r="R435" s="94">
        <f t="shared" si="32"/>
        <v>30.242550760089028</v>
      </c>
      <c r="S435" s="94" t="str">
        <f t="shared" si="33"/>
        <v>N</v>
      </c>
    </row>
    <row r="436" spans="16:19" ht="14.25">
      <c r="P436" s="94">
        <v>6170</v>
      </c>
      <c r="Q436" s="94">
        <f t="shared" si="31"/>
        <v>49.2086238737501</v>
      </c>
      <c r="R436" s="94">
        <f t="shared" si="32"/>
        <v>30.491467956505648</v>
      </c>
      <c r="S436" s="94" t="str">
        <f t="shared" si="33"/>
        <v>N</v>
      </c>
    </row>
    <row r="437" spans="16:19" ht="14.25">
      <c r="P437" s="94">
        <v>6180</v>
      </c>
      <c r="Q437" s="94">
        <f t="shared" si="31"/>
        <v>49.150853711888445</v>
      </c>
      <c r="R437" s="94">
        <f t="shared" si="32"/>
        <v>30.7400842144435</v>
      </c>
      <c r="S437" s="94" t="str">
        <f t="shared" si="33"/>
        <v>N</v>
      </c>
    </row>
    <row r="438" spans="16:19" ht="14.25">
      <c r="P438" s="95">
        <v>6190</v>
      </c>
      <c r="Q438" s="94">
        <f t="shared" si="31"/>
        <v>49.093083550026805</v>
      </c>
      <c r="R438" s="94">
        <f t="shared" si="32"/>
        <v>30.988397080160496</v>
      </c>
      <c r="S438" s="94" t="str">
        <f t="shared" si="33"/>
        <v>N</v>
      </c>
    </row>
    <row r="439" spans="16:19" ht="14.25">
      <c r="P439" s="94">
        <v>6200</v>
      </c>
      <c r="Q439" s="94">
        <f t="shared" si="31"/>
        <v>49.035313388165164</v>
      </c>
      <c r="R439" s="94">
        <f t="shared" si="32"/>
        <v>31.236404102908892</v>
      </c>
      <c r="S439" s="94" t="str">
        <f t="shared" si="33"/>
        <v>N</v>
      </c>
    </row>
    <row r="440" spans="16:19" ht="14.25">
      <c r="P440" s="94">
        <v>6210</v>
      </c>
      <c r="Q440" s="94">
        <f t="shared" si="31"/>
        <v>48.97754322630351</v>
      </c>
      <c r="R440" s="94">
        <f t="shared" si="32"/>
        <v>31.48410283503117</v>
      </c>
      <c r="S440" s="94" t="str">
        <f t="shared" si="33"/>
        <v>N</v>
      </c>
    </row>
    <row r="441" spans="16:19" ht="14.25">
      <c r="P441" s="95">
        <v>6220</v>
      </c>
      <c r="Q441" s="94">
        <f t="shared" si="31"/>
        <v>48.91977306444187</v>
      </c>
      <c r="R441" s="94">
        <f t="shared" si="32"/>
        <v>31.731490831697425</v>
      </c>
      <c r="S441" s="94" t="str">
        <f t="shared" si="33"/>
        <v>N</v>
      </c>
    </row>
    <row r="442" spans="16:19" ht="14.25">
      <c r="P442" s="94">
        <v>6230</v>
      </c>
      <c r="Q442" s="94">
        <f t="shared" si="31"/>
        <v>48.86200290258022</v>
      </c>
      <c r="R442" s="94">
        <f t="shared" si="32"/>
        <v>31.978565651359755</v>
      </c>
      <c r="S442" s="94" t="str">
        <f t="shared" si="33"/>
        <v>N</v>
      </c>
    </row>
    <row r="443" spans="16:19" ht="14.25">
      <c r="P443" s="94">
        <v>6240</v>
      </c>
      <c r="Q443" s="94">
        <f t="shared" si="31"/>
        <v>48.804232740718575</v>
      </c>
      <c r="R443" s="94">
        <f t="shared" si="32"/>
        <v>32.22532485548944</v>
      </c>
      <c r="S443" s="94" t="str">
        <f t="shared" si="33"/>
        <v>N</v>
      </c>
    </row>
    <row r="444" spans="16:19" ht="14.25">
      <c r="P444" s="95">
        <v>6250</v>
      </c>
      <c r="Q444" s="94">
        <f t="shared" si="31"/>
        <v>48.74646257885693</v>
      </c>
      <c r="R444" s="94">
        <f t="shared" si="32"/>
        <v>32.47176600881535</v>
      </c>
      <c r="S444" s="94" t="str">
        <f t="shared" si="33"/>
        <v>N</v>
      </c>
    </row>
    <row r="445" spans="16:19" ht="14.25">
      <c r="P445" s="94">
        <v>6260</v>
      </c>
      <c r="Q445" s="94">
        <f t="shared" si="31"/>
        <v>48.68869241699528</v>
      </c>
      <c r="R445" s="94">
        <f t="shared" si="32"/>
        <v>32.717886678777425</v>
      </c>
      <c r="S445" s="94" t="str">
        <f t="shared" si="33"/>
        <v>N</v>
      </c>
    </row>
    <row r="446" spans="16:19" ht="14.25">
      <c r="P446" s="94">
        <v>6270</v>
      </c>
      <c r="Q446" s="94">
        <f t="shared" si="31"/>
        <v>48.63092225513363</v>
      </c>
      <c r="R446" s="94">
        <f t="shared" si="32"/>
        <v>32.9636844364068</v>
      </c>
      <c r="S446" s="94" t="str">
        <f t="shared" si="33"/>
        <v>N</v>
      </c>
    </row>
    <row r="447" spans="16:19" ht="14.25">
      <c r="P447" s="95">
        <v>6280</v>
      </c>
      <c r="Q447" s="94">
        <f t="shared" si="31"/>
        <v>48.57315209327199</v>
      </c>
      <c r="R447" s="94">
        <f t="shared" si="32"/>
        <v>33.20915685584984</v>
      </c>
      <c r="S447" s="94" t="str">
        <f t="shared" si="33"/>
        <v>N</v>
      </c>
    </row>
    <row r="448" spans="16:19" ht="14.25">
      <c r="P448" s="94">
        <v>6290</v>
      </c>
      <c r="Q448" s="94">
        <f t="shared" si="31"/>
        <v>48.515381931410346</v>
      </c>
      <c r="R448" s="94">
        <f t="shared" si="32"/>
        <v>33.45430151425075</v>
      </c>
      <c r="S448" s="94" t="str">
        <f t="shared" si="33"/>
        <v>N</v>
      </c>
    </row>
    <row r="449" spans="16:19" ht="14.25">
      <c r="P449" s="94">
        <v>6300</v>
      </c>
      <c r="Q449" s="94">
        <f t="shared" si="31"/>
        <v>48.4576117695487</v>
      </c>
      <c r="R449" s="94">
        <f t="shared" si="32"/>
        <v>33.69911599220183</v>
      </c>
      <c r="S449" s="94" t="str">
        <f t="shared" si="33"/>
        <v>N</v>
      </c>
    </row>
    <row r="450" spans="16:19" ht="14.25">
      <c r="P450" s="95">
        <v>6310</v>
      </c>
      <c r="Q450" s="94">
        <f t="shared" si="31"/>
        <v>48.39984160768705</v>
      </c>
      <c r="R450" s="94">
        <f t="shared" si="32"/>
        <v>33.94359787348302</v>
      </c>
      <c r="S450" s="94" t="str">
        <f t="shared" si="33"/>
        <v>N</v>
      </c>
    </row>
    <row r="451" spans="16:19" ht="14.25">
      <c r="P451" s="94">
        <v>6320</v>
      </c>
      <c r="Q451" s="94">
        <f t="shared" si="31"/>
        <v>48.342071445825404</v>
      </c>
      <c r="R451" s="94">
        <f t="shared" si="32"/>
        <v>34.187744745156856</v>
      </c>
      <c r="S451" s="94" t="str">
        <f t="shared" si="33"/>
        <v>N</v>
      </c>
    </row>
    <row r="452" spans="16:19" ht="14.25">
      <c r="P452" s="94">
        <v>6330</v>
      </c>
      <c r="Q452" s="94">
        <f aca="true" t="shared" si="34" ref="Q452:Q515">Vbr_out*SQRT(2)-Pin/(Cdc*Vbr_out*SQRT(2))*P452*10^-6</f>
        <v>48.284301283963764</v>
      </c>
      <c r="R452" s="94">
        <f aca="true" t="shared" si="35" ref="R452:R515">-Vbr_out*SQRT(2)*COS(2*PI()*fL*(P452*10^-6-0.5*fL))</f>
        <v>34.431554197662805</v>
      </c>
      <c r="S452" s="94" t="str">
        <f t="shared" si="33"/>
        <v>N</v>
      </c>
    </row>
    <row r="453" spans="16:19" ht="14.25">
      <c r="P453" s="95">
        <v>6340</v>
      </c>
      <c r="Q453" s="94">
        <f t="shared" si="34"/>
        <v>48.22653112210211</v>
      </c>
      <c r="R453" s="94">
        <f t="shared" si="35"/>
        <v>34.675023824629285</v>
      </c>
      <c r="S453" s="94" t="str">
        <f t="shared" si="33"/>
        <v>N</v>
      </c>
    </row>
    <row r="454" spans="16:19" ht="14.25">
      <c r="P454" s="94">
        <v>6350</v>
      </c>
      <c r="Q454" s="94">
        <f t="shared" si="34"/>
        <v>48.16876096024047</v>
      </c>
      <c r="R454" s="94">
        <f t="shared" si="35"/>
        <v>34.91815122303902</v>
      </c>
      <c r="S454" s="94" t="str">
        <f t="shared" si="33"/>
        <v>N</v>
      </c>
    </row>
    <row r="455" spans="16:19" ht="14.25">
      <c r="P455" s="94">
        <v>6360</v>
      </c>
      <c r="Q455" s="94">
        <f t="shared" si="34"/>
        <v>48.11099079837882</v>
      </c>
      <c r="R455" s="94">
        <f t="shared" si="35"/>
        <v>35.16093399346352</v>
      </c>
      <c r="S455" s="94" t="str">
        <f t="shared" si="33"/>
        <v>N</v>
      </c>
    </row>
    <row r="456" spans="16:19" ht="14.25">
      <c r="P456" s="95">
        <v>6370</v>
      </c>
      <c r="Q456" s="94">
        <f t="shared" si="34"/>
        <v>48.053220636517175</v>
      </c>
      <c r="R456" s="94">
        <f t="shared" si="35"/>
        <v>35.40336973959429</v>
      </c>
      <c r="S456" s="94" t="str">
        <f t="shared" si="33"/>
        <v>N</v>
      </c>
    </row>
    <row r="457" spans="16:19" ht="14.25">
      <c r="P457" s="94">
        <v>6380</v>
      </c>
      <c r="Q457" s="94">
        <f t="shared" si="34"/>
        <v>47.995450474655534</v>
      </c>
      <c r="R457" s="94">
        <f t="shared" si="35"/>
        <v>35.64545606875871</v>
      </c>
      <c r="S457" s="94" t="str">
        <f t="shared" si="33"/>
        <v>N</v>
      </c>
    </row>
    <row r="458" spans="16:19" ht="14.25">
      <c r="P458" s="94">
        <v>6390</v>
      </c>
      <c r="Q458" s="94">
        <f t="shared" si="34"/>
        <v>47.93768031279388</v>
      </c>
      <c r="R458" s="94">
        <f t="shared" si="35"/>
        <v>35.88719059166247</v>
      </c>
      <c r="S458" s="94" t="str">
        <f t="shared" si="33"/>
        <v>N</v>
      </c>
    </row>
    <row r="459" spans="16:19" ht="14.25">
      <c r="P459" s="95">
        <v>6400</v>
      </c>
      <c r="Q459" s="94">
        <f t="shared" si="34"/>
        <v>47.87991015093224</v>
      </c>
      <c r="R459" s="94">
        <f t="shared" si="35"/>
        <v>36.1285709224834</v>
      </c>
      <c r="S459" s="94" t="str">
        <f t="shared" si="33"/>
        <v>N</v>
      </c>
    </row>
    <row r="460" spans="16:19" ht="14.25">
      <c r="P460" s="94">
        <v>6410</v>
      </c>
      <c r="Q460" s="94">
        <f t="shared" si="34"/>
        <v>47.82213998907059</v>
      </c>
      <c r="R460" s="94">
        <f t="shared" si="35"/>
        <v>36.36959467896482</v>
      </c>
      <c r="S460" s="94" t="str">
        <f t="shared" si="33"/>
        <v>N</v>
      </c>
    </row>
    <row r="461" spans="16:19" ht="14.25">
      <c r="P461" s="94">
        <v>6420</v>
      </c>
      <c r="Q461" s="94">
        <f t="shared" si="34"/>
        <v>47.764369827208945</v>
      </c>
      <c r="R461" s="94">
        <f t="shared" si="35"/>
        <v>36.610259482160004</v>
      </c>
      <c r="S461" s="94" t="str">
        <f t="shared" si="33"/>
        <v>N</v>
      </c>
    </row>
    <row r="462" spans="16:19" ht="14.25">
      <c r="P462" s="95">
        <v>6430</v>
      </c>
      <c r="Q462" s="94">
        <f t="shared" si="34"/>
        <v>47.7065996653473</v>
      </c>
      <c r="R462" s="94">
        <f t="shared" si="35"/>
        <v>36.85056295694385</v>
      </c>
      <c r="S462" s="94" t="str">
        <f t="shared" si="33"/>
        <v>N</v>
      </c>
    </row>
    <row r="463" spans="16:19" ht="14.25">
      <c r="P463" s="94">
        <v>6440</v>
      </c>
      <c r="Q463" s="94">
        <f t="shared" si="34"/>
        <v>47.64882950348565</v>
      </c>
      <c r="R463" s="94">
        <f t="shared" si="35"/>
        <v>37.09050273154835</v>
      </c>
      <c r="S463" s="94" t="str">
        <f t="shared" si="33"/>
        <v>N</v>
      </c>
    </row>
    <row r="464" spans="16:19" ht="14.25">
      <c r="P464" s="94">
        <v>6450</v>
      </c>
      <c r="Q464" s="94">
        <f t="shared" si="34"/>
        <v>47.591059341624</v>
      </c>
      <c r="R464" s="94">
        <f t="shared" si="35"/>
        <v>37.33007643779549</v>
      </c>
      <c r="S464" s="94" t="str">
        <f t="shared" si="33"/>
        <v>N</v>
      </c>
    </row>
    <row r="465" spans="16:19" ht="14.25">
      <c r="P465" s="95">
        <v>6460</v>
      </c>
      <c r="Q465" s="94">
        <f t="shared" si="34"/>
        <v>47.53328917976236</v>
      </c>
      <c r="R465" s="94">
        <f t="shared" si="35"/>
        <v>37.56928171125902</v>
      </c>
      <c r="S465" s="94" t="str">
        <f t="shared" si="33"/>
        <v>N</v>
      </c>
    </row>
    <row r="466" spans="16:19" ht="14.25">
      <c r="P466" s="94">
        <v>6470</v>
      </c>
      <c r="Q466" s="94">
        <f t="shared" si="34"/>
        <v>47.475519017900716</v>
      </c>
      <c r="R466" s="94">
        <f t="shared" si="35"/>
        <v>37.808116191079485</v>
      </c>
      <c r="S466" s="94" t="str">
        <f t="shared" si="33"/>
        <v>N</v>
      </c>
    </row>
    <row r="467" spans="16:19" ht="14.25">
      <c r="P467" s="94">
        <v>6480</v>
      </c>
      <c r="Q467" s="94">
        <f t="shared" si="34"/>
        <v>47.41774885603907</v>
      </c>
      <c r="R467" s="94">
        <f t="shared" si="35"/>
        <v>38.046577520056964</v>
      </c>
      <c r="S467" s="94" t="str">
        <f t="shared" si="33"/>
        <v>N</v>
      </c>
    </row>
    <row r="468" spans="16:19" ht="14.25">
      <c r="P468" s="95">
        <v>6490</v>
      </c>
      <c r="Q468" s="94">
        <f t="shared" si="34"/>
        <v>47.35997869417743</v>
      </c>
      <c r="R468" s="94">
        <f t="shared" si="35"/>
        <v>38.284663344743294</v>
      </c>
      <c r="S468" s="94" t="str">
        <f aca="true" t="shared" si="36" ref="S468:S531">IF(Q468-R468&lt;0.3,R468,"N")</f>
        <v>N</v>
      </c>
    </row>
    <row r="469" spans="16:19" ht="14.25">
      <c r="P469" s="94">
        <v>6500</v>
      </c>
      <c r="Q469" s="94">
        <f t="shared" si="34"/>
        <v>47.302208532315774</v>
      </c>
      <c r="R469" s="94">
        <f t="shared" si="35"/>
        <v>38.52237131518966</v>
      </c>
      <c r="S469" s="94" t="str">
        <f t="shared" si="36"/>
        <v>N</v>
      </c>
    </row>
    <row r="470" spans="16:19" ht="14.25">
      <c r="P470" s="94">
        <v>6510</v>
      </c>
      <c r="Q470" s="94">
        <f t="shared" si="34"/>
        <v>47.244438370454134</v>
      </c>
      <c r="R470" s="94">
        <f t="shared" si="35"/>
        <v>38.75969908538333</v>
      </c>
      <c r="S470" s="94" t="str">
        <f t="shared" si="36"/>
        <v>N</v>
      </c>
    </row>
    <row r="471" spans="16:19" ht="14.25">
      <c r="P471" s="95">
        <v>6520</v>
      </c>
      <c r="Q471" s="94">
        <f t="shared" si="34"/>
        <v>47.18666820859248</v>
      </c>
      <c r="R471" s="94">
        <f t="shared" si="35"/>
        <v>38.99664431299502</v>
      </c>
      <c r="S471" s="94" t="str">
        <f t="shared" si="36"/>
        <v>N</v>
      </c>
    </row>
    <row r="472" spans="16:19" ht="14.25">
      <c r="P472" s="94">
        <v>6530</v>
      </c>
      <c r="Q472" s="94">
        <f t="shared" si="34"/>
        <v>47.12889804673084</v>
      </c>
      <c r="R472" s="94">
        <f t="shared" si="35"/>
        <v>39.23320465960788</v>
      </c>
      <c r="S472" s="94" t="str">
        <f t="shared" si="36"/>
        <v>N</v>
      </c>
    </row>
    <row r="473" spans="16:19" ht="14.25">
      <c r="P473" s="94">
        <v>6540</v>
      </c>
      <c r="Q473" s="94">
        <f t="shared" si="34"/>
        <v>47.0711278848692</v>
      </c>
      <c r="R473" s="94">
        <f t="shared" si="35"/>
        <v>39.46937779019282</v>
      </c>
      <c r="S473" s="94" t="str">
        <f t="shared" si="36"/>
        <v>N</v>
      </c>
    </row>
    <row r="474" spans="16:19" ht="14.25">
      <c r="P474" s="95">
        <v>6550</v>
      </c>
      <c r="Q474" s="94">
        <f t="shared" si="34"/>
        <v>47.013357723007545</v>
      </c>
      <c r="R474" s="94">
        <f t="shared" si="35"/>
        <v>39.70516137395349</v>
      </c>
      <c r="S474" s="94" t="str">
        <f t="shared" si="36"/>
        <v>N</v>
      </c>
    </row>
    <row r="475" spans="16:19" ht="14.25">
      <c r="P475" s="94">
        <v>6560</v>
      </c>
      <c r="Q475" s="94">
        <f t="shared" si="34"/>
        <v>46.955587561145904</v>
      </c>
      <c r="R475" s="94">
        <f t="shared" si="35"/>
        <v>39.94055308386919</v>
      </c>
      <c r="S475" s="94" t="str">
        <f t="shared" si="36"/>
        <v>N</v>
      </c>
    </row>
    <row r="476" spans="16:19" ht="14.25">
      <c r="P476" s="94">
        <v>6570</v>
      </c>
      <c r="Q476" s="94">
        <f t="shared" si="34"/>
        <v>46.89781739928425</v>
      </c>
      <c r="R476" s="94">
        <f t="shared" si="35"/>
        <v>40.17555059658248</v>
      </c>
      <c r="S476" s="94" t="str">
        <f t="shared" si="36"/>
        <v>N</v>
      </c>
    </row>
    <row r="477" spans="16:19" ht="14.25">
      <c r="P477" s="95">
        <v>6580</v>
      </c>
      <c r="Q477" s="94">
        <f t="shared" si="34"/>
        <v>46.84004723742261</v>
      </c>
      <c r="R477" s="94">
        <f t="shared" si="35"/>
        <v>40.410151592831</v>
      </c>
      <c r="S477" s="94" t="str">
        <f t="shared" si="36"/>
        <v>N</v>
      </c>
    </row>
    <row r="478" spans="16:19" ht="14.25">
      <c r="P478" s="94">
        <v>6590</v>
      </c>
      <c r="Q478" s="94">
        <f t="shared" si="34"/>
        <v>46.78227707556096</v>
      </c>
      <c r="R478" s="94">
        <f t="shared" si="35"/>
        <v>40.644353757197614</v>
      </c>
      <c r="S478" s="94" t="str">
        <f t="shared" si="36"/>
        <v>N</v>
      </c>
    </row>
    <row r="479" spans="16:19" ht="14.25">
      <c r="P479" s="94">
        <v>6600</v>
      </c>
      <c r="Q479" s="94">
        <f t="shared" si="34"/>
        <v>46.724506913699315</v>
      </c>
      <c r="R479" s="94">
        <f t="shared" si="35"/>
        <v>40.87815477820152</v>
      </c>
      <c r="S479" s="94" t="str">
        <f t="shared" si="36"/>
        <v>N</v>
      </c>
    </row>
    <row r="480" spans="16:19" ht="14.25">
      <c r="P480" s="95">
        <v>6610</v>
      </c>
      <c r="Q480" s="94">
        <f t="shared" si="34"/>
        <v>46.66673675183767</v>
      </c>
      <c r="R480" s="94">
        <f t="shared" si="35"/>
        <v>41.11155234838853</v>
      </c>
      <c r="S480" s="94" t="str">
        <f t="shared" si="36"/>
        <v>N</v>
      </c>
    </row>
    <row r="481" spans="16:19" ht="14.25">
      <c r="P481" s="94">
        <v>6620</v>
      </c>
      <c r="Q481" s="94">
        <f t="shared" si="34"/>
        <v>46.60896658997603</v>
      </c>
      <c r="R481" s="94">
        <f t="shared" si="35"/>
        <v>41.34454416415112</v>
      </c>
      <c r="S481" s="94" t="str">
        <f t="shared" si="36"/>
        <v>N</v>
      </c>
    </row>
    <row r="482" spans="16:19" ht="14.25">
      <c r="P482" s="94">
        <v>6630</v>
      </c>
      <c r="Q482" s="94">
        <f t="shared" si="34"/>
        <v>46.55119642811438</v>
      </c>
      <c r="R482" s="94">
        <f t="shared" si="35"/>
        <v>41.57712792588685</v>
      </c>
      <c r="S482" s="94" t="str">
        <f t="shared" si="36"/>
        <v>N</v>
      </c>
    </row>
    <row r="483" spans="16:19" ht="14.25">
      <c r="P483" s="95">
        <v>6640</v>
      </c>
      <c r="Q483" s="94">
        <f t="shared" si="34"/>
        <v>46.49342626625273</v>
      </c>
      <c r="R483" s="94">
        <f t="shared" si="35"/>
        <v>41.80930133822256</v>
      </c>
      <c r="S483" s="94" t="str">
        <f t="shared" si="36"/>
        <v>N</v>
      </c>
    </row>
    <row r="484" spans="16:19" ht="14.25">
      <c r="P484" s="94">
        <v>6650</v>
      </c>
      <c r="Q484" s="94">
        <f t="shared" si="34"/>
        <v>46.435656104391086</v>
      </c>
      <c r="R484" s="94">
        <f t="shared" si="35"/>
        <v>42.041062109565964</v>
      </c>
      <c r="S484" s="94" t="str">
        <f t="shared" si="36"/>
        <v>N</v>
      </c>
    </row>
    <row r="485" spans="16:19" ht="14.25">
      <c r="P485" s="94">
        <v>6660</v>
      </c>
      <c r="Q485" s="94">
        <f t="shared" si="34"/>
        <v>46.37788594252944</v>
      </c>
      <c r="R485" s="94">
        <f t="shared" si="35"/>
        <v>42.2724079525991</v>
      </c>
      <c r="S485" s="94" t="str">
        <f t="shared" si="36"/>
        <v>N</v>
      </c>
    </row>
    <row r="486" spans="16:19" ht="14.25">
      <c r="P486" s="95">
        <v>6670</v>
      </c>
      <c r="Q486" s="94">
        <f t="shared" si="34"/>
        <v>46.3201157806678</v>
      </c>
      <c r="R486" s="94">
        <f t="shared" si="35"/>
        <v>42.503336584031906</v>
      </c>
      <c r="S486" s="94" t="str">
        <f t="shared" si="36"/>
        <v>N</v>
      </c>
    </row>
    <row r="487" spans="16:19" ht="14.25">
      <c r="P487" s="94">
        <v>6680</v>
      </c>
      <c r="Q487" s="94">
        <f t="shared" si="34"/>
        <v>46.262345618806144</v>
      </c>
      <c r="R487" s="94">
        <f t="shared" si="35"/>
        <v>42.73384572469199</v>
      </c>
      <c r="S487" s="94" t="str">
        <f t="shared" si="36"/>
        <v>N</v>
      </c>
    </row>
    <row r="488" spans="16:19" ht="14.25">
      <c r="P488" s="94">
        <v>6690</v>
      </c>
      <c r="Q488" s="94">
        <f t="shared" si="34"/>
        <v>46.204575456944504</v>
      </c>
      <c r="R488" s="94">
        <f t="shared" si="35"/>
        <v>42.963933099613755</v>
      </c>
      <c r="S488" s="94" t="str">
        <f t="shared" si="36"/>
        <v>N</v>
      </c>
    </row>
    <row r="489" spans="16:19" ht="14.25">
      <c r="P489" s="95">
        <v>6700</v>
      </c>
      <c r="Q489" s="94">
        <f t="shared" si="34"/>
        <v>46.146805295082856</v>
      </c>
      <c r="R489" s="94">
        <f t="shared" si="35"/>
        <v>43.1935964377945</v>
      </c>
      <c r="S489" s="94" t="str">
        <f t="shared" si="36"/>
        <v>N</v>
      </c>
    </row>
    <row r="490" spans="16:19" ht="14.25">
      <c r="P490" s="94">
        <v>6710</v>
      </c>
      <c r="Q490" s="94">
        <f t="shared" si="34"/>
        <v>46.08903513322121</v>
      </c>
      <c r="R490" s="94">
        <f t="shared" si="35"/>
        <v>43.42283347268274</v>
      </c>
      <c r="S490" s="94" t="str">
        <f t="shared" si="36"/>
        <v>N</v>
      </c>
    </row>
    <row r="491" spans="16:19" ht="14.25">
      <c r="P491" s="94">
        <v>6720</v>
      </c>
      <c r="Q491" s="94">
        <f t="shared" si="34"/>
        <v>46.03126497135957</v>
      </c>
      <c r="R491" s="94">
        <f t="shared" si="35"/>
        <v>43.65164194173496</v>
      </c>
      <c r="S491" s="94" t="str">
        <f t="shared" si="36"/>
        <v>N</v>
      </c>
    </row>
    <row r="492" spans="16:19" ht="14.25">
      <c r="P492" s="95">
        <v>6730</v>
      </c>
      <c r="Q492" s="94">
        <f t="shared" si="34"/>
        <v>45.973494809497915</v>
      </c>
      <c r="R492" s="94">
        <f t="shared" si="35"/>
        <v>43.88001958663788</v>
      </c>
      <c r="S492" s="94" t="str">
        <f t="shared" si="36"/>
        <v>N</v>
      </c>
    </row>
    <row r="493" spans="16:19" ht="14.25">
      <c r="P493" s="94">
        <v>6740</v>
      </c>
      <c r="Q493" s="94">
        <f t="shared" si="34"/>
        <v>45.915724647636274</v>
      </c>
      <c r="R493" s="94">
        <f t="shared" si="35"/>
        <v>44.10796415346265</v>
      </c>
      <c r="S493" s="94" t="str">
        <f t="shared" si="36"/>
        <v>N</v>
      </c>
    </row>
    <row r="494" spans="16:19" ht="14.25">
      <c r="P494" s="94">
        <v>6750</v>
      </c>
      <c r="Q494" s="94">
        <f t="shared" si="34"/>
        <v>45.85795448577463</v>
      </c>
      <c r="R494" s="94">
        <f t="shared" si="35"/>
        <v>44.335473392488424</v>
      </c>
      <c r="S494" s="94" t="str">
        <f t="shared" si="36"/>
        <v>N</v>
      </c>
    </row>
    <row r="495" spans="16:19" ht="14.25">
      <c r="P495" s="95">
        <v>6760</v>
      </c>
      <c r="Q495" s="94">
        <f t="shared" si="34"/>
        <v>45.80018432391298</v>
      </c>
      <c r="R495" s="94">
        <f t="shared" si="35"/>
        <v>44.562545058356534</v>
      </c>
      <c r="S495" s="94" t="str">
        <f t="shared" si="36"/>
        <v>N</v>
      </c>
    </row>
    <row r="496" spans="16:19" ht="14.25">
      <c r="P496" s="94">
        <v>6770</v>
      </c>
      <c r="Q496" s="94">
        <f t="shared" si="34"/>
        <v>45.74241416205133</v>
      </c>
      <c r="R496" s="94">
        <f t="shared" si="35"/>
        <v>44.78917690982983</v>
      </c>
      <c r="S496" s="94" t="str">
        <f t="shared" si="36"/>
        <v>N</v>
      </c>
    </row>
    <row r="497" spans="16:19" ht="14.25">
      <c r="P497" s="94">
        <v>6780</v>
      </c>
      <c r="Q497" s="94">
        <f t="shared" si="34"/>
        <v>45.684644000189685</v>
      </c>
      <c r="R497" s="94">
        <f t="shared" si="35"/>
        <v>45.01536671020924</v>
      </c>
      <c r="S497" s="94" t="str">
        <f t="shared" si="36"/>
        <v>N</v>
      </c>
    </row>
    <row r="498" spans="16:19" ht="14.25">
      <c r="P498" s="95">
        <v>6790</v>
      </c>
      <c r="Q498" s="94">
        <f t="shared" si="34"/>
        <v>45.62687383832804</v>
      </c>
      <c r="R498" s="94">
        <f t="shared" si="35"/>
        <v>45.24111222709276</v>
      </c>
      <c r="S498" s="94" t="str">
        <f t="shared" si="36"/>
        <v>N</v>
      </c>
    </row>
    <row r="499" spans="16:19" ht="14.25">
      <c r="P499" s="94">
        <v>6800</v>
      </c>
      <c r="Q499" s="94">
        <f t="shared" si="34"/>
        <v>45.5691036764664</v>
      </c>
      <c r="R499" s="94">
        <f t="shared" si="35"/>
        <v>45.466411232463265</v>
      </c>
      <c r="S499" s="94">
        <f t="shared" si="36"/>
        <v>45.466411232463265</v>
      </c>
    </row>
    <row r="500" spans="16:19" ht="14.25">
      <c r="P500" s="94">
        <v>6810</v>
      </c>
      <c r="Q500" s="94">
        <f t="shared" si="34"/>
        <v>45.51133351460475</v>
      </c>
      <c r="R500" s="94">
        <f t="shared" si="35"/>
        <v>45.69126150284058</v>
      </c>
      <c r="S500" s="94">
        <f t="shared" si="36"/>
        <v>45.69126150284058</v>
      </c>
    </row>
    <row r="501" spans="16:19" ht="14.25">
      <c r="P501" s="95">
        <v>6820</v>
      </c>
      <c r="Q501" s="94">
        <f t="shared" si="34"/>
        <v>45.4535633527431</v>
      </c>
      <c r="R501" s="94">
        <f t="shared" si="35"/>
        <v>45.91566081878295</v>
      </c>
      <c r="S501" s="94">
        <f t="shared" si="36"/>
        <v>45.91566081878295</v>
      </c>
    </row>
    <row r="502" spans="16:19" ht="14.25">
      <c r="P502" s="94">
        <v>6830</v>
      </c>
      <c r="Q502" s="94">
        <f t="shared" si="34"/>
        <v>45.39579319088146</v>
      </c>
      <c r="R502" s="94">
        <f t="shared" si="35"/>
        <v>46.13960696569004</v>
      </c>
      <c r="S502" s="94">
        <f t="shared" si="36"/>
        <v>46.13960696569004</v>
      </c>
    </row>
    <row r="503" spans="16:19" ht="14.25">
      <c r="P503" s="94">
        <v>6840</v>
      </c>
      <c r="Q503" s="94">
        <f t="shared" si="34"/>
        <v>45.33802302901981</v>
      </c>
      <c r="R503" s="94">
        <f t="shared" si="35"/>
        <v>46.36309773336841</v>
      </c>
      <c r="S503" s="94">
        <f t="shared" si="36"/>
        <v>46.36309773336841</v>
      </c>
    </row>
    <row r="504" spans="16:19" ht="14.25">
      <c r="P504" s="95">
        <v>6850</v>
      </c>
      <c r="Q504" s="94">
        <f t="shared" si="34"/>
        <v>45.28025286715817</v>
      </c>
      <c r="R504" s="94">
        <f t="shared" si="35"/>
        <v>46.58613091592503</v>
      </c>
      <c r="S504" s="94">
        <f t="shared" si="36"/>
        <v>46.58613091592503</v>
      </c>
    </row>
    <row r="505" spans="16:19" ht="14.25">
      <c r="P505" s="94">
        <v>6860</v>
      </c>
      <c r="Q505" s="94">
        <f t="shared" si="34"/>
        <v>45.222482705296514</v>
      </c>
      <c r="R505" s="94">
        <f t="shared" si="35"/>
        <v>46.80870431217718</v>
      </c>
      <c r="S505" s="94">
        <f t="shared" si="36"/>
        <v>46.80870431217718</v>
      </c>
    </row>
    <row r="506" spans="16:19" ht="14.25">
      <c r="P506" s="94">
        <v>6870</v>
      </c>
      <c r="Q506" s="94">
        <f t="shared" si="34"/>
        <v>45.164712543434874</v>
      </c>
      <c r="R506" s="94">
        <f t="shared" si="35"/>
        <v>47.03081572541531</v>
      </c>
      <c r="S506" s="94">
        <f t="shared" si="36"/>
        <v>47.03081572541531</v>
      </c>
    </row>
    <row r="507" spans="16:19" ht="14.25">
      <c r="P507" s="95">
        <v>6880</v>
      </c>
      <c r="Q507" s="94">
        <f t="shared" si="34"/>
        <v>45.10694238157323</v>
      </c>
      <c r="R507" s="94">
        <f t="shared" si="35"/>
        <v>47.25246296348943</v>
      </c>
      <c r="S507" s="94">
        <f t="shared" si="36"/>
        <v>47.25246296348943</v>
      </c>
    </row>
    <row r="508" spans="16:19" ht="14.25">
      <c r="P508" s="94">
        <v>6890</v>
      </c>
      <c r="Q508" s="94">
        <f t="shared" si="34"/>
        <v>45.04917221971158</v>
      </c>
      <c r="R508" s="94">
        <f t="shared" si="35"/>
        <v>47.473643838894745</v>
      </c>
      <c r="S508" s="94">
        <f t="shared" si="36"/>
        <v>47.473643838894745</v>
      </c>
    </row>
    <row r="509" spans="16:19" ht="14.25">
      <c r="P509" s="94">
        <v>6900</v>
      </c>
      <c r="Q509" s="94">
        <f t="shared" si="34"/>
        <v>44.99140205784994</v>
      </c>
      <c r="R509" s="94">
        <f t="shared" si="35"/>
        <v>47.6943561686011</v>
      </c>
      <c r="S509" s="94">
        <f t="shared" si="36"/>
        <v>47.6943561686011</v>
      </c>
    </row>
    <row r="510" spans="16:19" ht="14.25">
      <c r="P510" s="95">
        <v>6910</v>
      </c>
      <c r="Q510" s="94">
        <f t="shared" si="34"/>
        <v>44.933631895988285</v>
      </c>
      <c r="R510" s="94">
        <f t="shared" si="35"/>
        <v>47.91459777420318</v>
      </c>
      <c r="S510" s="94">
        <f t="shared" si="36"/>
        <v>47.91459777420318</v>
      </c>
    </row>
    <row r="511" spans="16:19" ht="14.25">
      <c r="P511" s="94">
        <v>6920</v>
      </c>
      <c r="Q511" s="94">
        <f t="shared" si="34"/>
        <v>44.875861734126644</v>
      </c>
      <c r="R511" s="94">
        <f t="shared" si="35"/>
        <v>48.13436648213278</v>
      </c>
      <c r="S511" s="94">
        <f t="shared" si="36"/>
        <v>48.13436648213278</v>
      </c>
    </row>
    <row r="512" spans="16:19" ht="14.25">
      <c r="P512" s="94">
        <v>6930</v>
      </c>
      <c r="Q512" s="94">
        <f t="shared" si="34"/>
        <v>44.818091572265</v>
      </c>
      <c r="R512" s="94">
        <f t="shared" si="35"/>
        <v>48.353660123234256</v>
      </c>
      <c r="S512" s="94">
        <f t="shared" si="36"/>
        <v>48.353660123234256</v>
      </c>
    </row>
    <row r="513" spans="16:19" ht="14.25">
      <c r="P513" s="95">
        <v>6940</v>
      </c>
      <c r="Q513" s="94">
        <f t="shared" si="34"/>
        <v>44.76032141040335</v>
      </c>
      <c r="R513" s="94">
        <f t="shared" si="35"/>
        <v>48.57247653323156</v>
      </c>
      <c r="S513" s="94">
        <f t="shared" si="36"/>
        <v>48.57247653323156</v>
      </c>
    </row>
    <row r="514" spans="16:19" ht="14.25">
      <c r="P514" s="94">
        <v>6950</v>
      </c>
      <c r="Q514" s="94">
        <f t="shared" si="34"/>
        <v>44.7025512485417</v>
      </c>
      <c r="R514" s="94">
        <f t="shared" si="35"/>
        <v>48.79081355249509</v>
      </c>
      <c r="S514" s="94">
        <f t="shared" si="36"/>
        <v>48.79081355249509</v>
      </c>
    </row>
    <row r="515" spans="16:19" ht="14.25">
      <c r="P515" s="94">
        <v>6960</v>
      </c>
      <c r="Q515" s="94">
        <f t="shared" si="34"/>
        <v>44.64478108668006</v>
      </c>
      <c r="R515" s="94">
        <f t="shared" si="35"/>
        <v>49.00866902618961</v>
      </c>
      <c r="S515" s="94">
        <f t="shared" si="36"/>
        <v>49.00866902618961</v>
      </c>
    </row>
    <row r="516" spans="16:19" ht="14.25">
      <c r="P516" s="95">
        <v>6970</v>
      </c>
      <c r="Q516" s="94">
        <f aca="true" t="shared" si="37" ref="Q516:Q579">Vbr_out*SQRT(2)-Pin/(Cdc*Vbr_out*SQRT(2))*P516*10^-6</f>
        <v>44.587010924818415</v>
      </c>
      <c r="R516" s="94">
        <f aca="true" t="shared" si="38" ref="R516:R579">-Vbr_out*SQRT(2)*COS(2*PI()*fL*(P516*10^-6-0.5*fL))</f>
        <v>49.2260408040434</v>
      </c>
      <c r="S516" s="94">
        <f t="shared" si="36"/>
        <v>49.2260408040434</v>
      </c>
    </row>
    <row r="517" spans="16:19" ht="14.25">
      <c r="P517" s="94">
        <v>6980</v>
      </c>
      <c r="Q517" s="94">
        <f t="shared" si="37"/>
        <v>44.52924076295677</v>
      </c>
      <c r="R517" s="94">
        <f t="shared" si="38"/>
        <v>49.4429267407479</v>
      </c>
      <c r="S517" s="94">
        <f t="shared" si="36"/>
        <v>49.4429267407479</v>
      </c>
    </row>
    <row r="518" spans="16:19" ht="14.25">
      <c r="P518" s="94">
        <v>6990</v>
      </c>
      <c r="Q518" s="94">
        <f t="shared" si="37"/>
        <v>44.47147060109512</v>
      </c>
      <c r="R518" s="94">
        <f t="shared" si="38"/>
        <v>49.6593246957265</v>
      </c>
      <c r="S518" s="94">
        <f t="shared" si="36"/>
        <v>49.6593246957265</v>
      </c>
    </row>
    <row r="519" spans="16:19" ht="14.25">
      <c r="P519" s="95">
        <v>7000</v>
      </c>
      <c r="Q519" s="94">
        <f t="shared" si="37"/>
        <v>44.41370043923347</v>
      </c>
      <c r="R519" s="94">
        <f t="shared" si="38"/>
        <v>49.8752325333436</v>
      </c>
      <c r="S519" s="94">
        <f t="shared" si="36"/>
        <v>49.8752325333436</v>
      </c>
    </row>
    <row r="520" spans="16:19" ht="14.25">
      <c r="P520" s="94">
        <v>7010</v>
      </c>
      <c r="Q520" s="94">
        <f t="shared" si="37"/>
        <v>44.35593027737183</v>
      </c>
      <c r="R520" s="94">
        <f t="shared" si="38"/>
        <v>50.09064812242599</v>
      </c>
      <c r="S520" s="94">
        <f t="shared" si="36"/>
        <v>50.09064812242599</v>
      </c>
    </row>
    <row r="521" spans="16:19" ht="14.25">
      <c r="P521" s="94">
        <v>7020</v>
      </c>
      <c r="Q521" s="94">
        <f t="shared" si="37"/>
        <v>44.29816011551018</v>
      </c>
      <c r="R521" s="94">
        <f t="shared" si="38"/>
        <v>50.30556933703393</v>
      </c>
      <c r="S521" s="94">
        <f t="shared" si="36"/>
        <v>50.30556933703393</v>
      </c>
    </row>
    <row r="522" spans="16:19" ht="14.25">
      <c r="P522" s="95">
        <v>7030</v>
      </c>
      <c r="Q522" s="94">
        <f t="shared" si="37"/>
        <v>44.24038995364854</v>
      </c>
      <c r="R522" s="94">
        <f t="shared" si="38"/>
        <v>50.5199940559818</v>
      </c>
      <c r="S522" s="94">
        <f t="shared" si="36"/>
        <v>50.5199940559818</v>
      </c>
    </row>
    <row r="523" spans="16:19" ht="14.25">
      <c r="P523" s="94">
        <v>7040</v>
      </c>
      <c r="Q523" s="94">
        <f t="shared" si="37"/>
        <v>44.182619791786884</v>
      </c>
      <c r="R523" s="94">
        <f t="shared" si="38"/>
        <v>50.73392016304604</v>
      </c>
      <c r="S523" s="94">
        <f t="shared" si="36"/>
        <v>50.73392016304604</v>
      </c>
    </row>
    <row r="524" spans="16:19" ht="14.25">
      <c r="P524" s="94">
        <v>7050</v>
      </c>
      <c r="Q524" s="94">
        <f t="shared" si="37"/>
        <v>44.124849629925244</v>
      </c>
      <c r="R524" s="94">
        <f t="shared" si="38"/>
        <v>50.947345546738475</v>
      </c>
      <c r="S524" s="94">
        <f t="shared" si="36"/>
        <v>50.947345546738475</v>
      </c>
    </row>
    <row r="525" spans="16:19" ht="14.25">
      <c r="P525" s="95">
        <v>7060</v>
      </c>
      <c r="Q525" s="94">
        <f t="shared" si="37"/>
        <v>44.0670794680636</v>
      </c>
      <c r="R525" s="94">
        <f t="shared" si="38"/>
        <v>51.16026810069875</v>
      </c>
      <c r="S525" s="94">
        <f t="shared" si="36"/>
        <v>51.16026810069875</v>
      </c>
    </row>
    <row r="526" spans="16:19" ht="14.25">
      <c r="P526" s="94">
        <v>7070</v>
      </c>
      <c r="Q526" s="94">
        <f t="shared" si="37"/>
        <v>44.00930930620195</v>
      </c>
      <c r="R526" s="94">
        <f t="shared" si="38"/>
        <v>51.372685723467214</v>
      </c>
      <c r="S526" s="94">
        <f t="shared" si="36"/>
        <v>51.372685723467214</v>
      </c>
    </row>
    <row r="527" spans="16:19" ht="14.25">
      <c r="P527" s="94">
        <v>7080</v>
      </c>
      <c r="Q527" s="94">
        <f t="shared" si="37"/>
        <v>43.95153914434031</v>
      </c>
      <c r="R527" s="94">
        <f t="shared" si="38"/>
        <v>51.58459631856768</v>
      </c>
      <c r="S527" s="94">
        <f t="shared" si="36"/>
        <v>51.58459631856768</v>
      </c>
    </row>
    <row r="528" spans="16:19" ht="14.25">
      <c r="P528" s="95">
        <v>7090</v>
      </c>
      <c r="Q528" s="94">
        <f t="shared" si="37"/>
        <v>43.89376898247866</v>
      </c>
      <c r="R528" s="94">
        <f t="shared" si="38"/>
        <v>51.79599779465039</v>
      </c>
      <c r="S528" s="94">
        <f t="shared" si="36"/>
        <v>51.79599779465039</v>
      </c>
    </row>
    <row r="529" spans="16:19" ht="14.25">
      <c r="P529" s="94">
        <v>7100</v>
      </c>
      <c r="Q529" s="94">
        <f t="shared" si="37"/>
        <v>43.835998820617014</v>
      </c>
      <c r="R529" s="94">
        <f t="shared" si="38"/>
        <v>52.00688806502331</v>
      </c>
      <c r="S529" s="94">
        <f t="shared" si="36"/>
        <v>52.00688806502331</v>
      </c>
    </row>
    <row r="530" spans="16:19" ht="14.25">
      <c r="P530" s="94">
        <v>7110</v>
      </c>
      <c r="Q530" s="94">
        <f t="shared" si="37"/>
        <v>43.77822865875537</v>
      </c>
      <c r="R530" s="94">
        <f t="shared" si="38"/>
        <v>52.21726504840717</v>
      </c>
      <c r="S530" s="94">
        <f t="shared" si="36"/>
        <v>52.21726504840717</v>
      </c>
    </row>
    <row r="531" spans="16:19" ht="14.25">
      <c r="P531" s="95">
        <v>7120</v>
      </c>
      <c r="Q531" s="94">
        <f t="shared" si="37"/>
        <v>43.72045849689372</v>
      </c>
      <c r="R531" s="94">
        <f t="shared" si="38"/>
        <v>52.427126668526746</v>
      </c>
      <c r="S531" s="94">
        <f t="shared" si="36"/>
        <v>52.427126668526746</v>
      </c>
    </row>
    <row r="532" spans="16:19" ht="14.25">
      <c r="P532" s="94">
        <v>7130</v>
      </c>
      <c r="Q532" s="94">
        <f t="shared" si="37"/>
        <v>43.66268833503207</v>
      </c>
      <c r="R532" s="94">
        <f t="shared" si="38"/>
        <v>52.636470854011066</v>
      </c>
      <c r="S532" s="94">
        <f aca="true" t="shared" si="39" ref="S532:S595">IF(Q532-R532&lt;0.3,R532,"N")</f>
        <v>52.636470854011066</v>
      </c>
    </row>
    <row r="533" spans="16:19" ht="14.25">
      <c r="P533" s="94">
        <v>7140</v>
      </c>
      <c r="Q533" s="94">
        <f t="shared" si="37"/>
        <v>43.60491817317043</v>
      </c>
      <c r="R533" s="94">
        <f t="shared" si="38"/>
        <v>52.84529553877837</v>
      </c>
      <c r="S533" s="94">
        <f t="shared" si="39"/>
        <v>52.84529553877837</v>
      </c>
    </row>
    <row r="534" spans="16:19" ht="14.25">
      <c r="P534" s="95">
        <v>7150</v>
      </c>
      <c r="Q534" s="94">
        <f t="shared" si="37"/>
        <v>43.547148011308785</v>
      </c>
      <c r="R534" s="94">
        <f t="shared" si="38"/>
        <v>53.05359866181333</v>
      </c>
      <c r="S534" s="94">
        <f t="shared" si="39"/>
        <v>53.05359866181333</v>
      </c>
    </row>
    <row r="535" spans="16:19" ht="14.25">
      <c r="P535" s="94">
        <v>7160</v>
      </c>
      <c r="Q535" s="94">
        <f t="shared" si="37"/>
        <v>43.48937784944714</v>
      </c>
      <c r="R535" s="94">
        <f t="shared" si="38"/>
        <v>53.26137816730829</v>
      </c>
      <c r="S535" s="94">
        <f t="shared" si="39"/>
        <v>53.26137816730829</v>
      </c>
    </row>
    <row r="536" spans="16:19" ht="14.25">
      <c r="P536" s="94">
        <v>7170</v>
      </c>
      <c r="Q536" s="94">
        <f t="shared" si="37"/>
        <v>43.4316076875855</v>
      </c>
      <c r="R536" s="94">
        <f t="shared" si="38"/>
        <v>53.4686320044431</v>
      </c>
      <c r="S536" s="94">
        <f t="shared" si="39"/>
        <v>53.4686320044431</v>
      </c>
    </row>
    <row r="537" spans="16:19" ht="14.25">
      <c r="P537" s="95">
        <v>7180</v>
      </c>
      <c r="Q537" s="94">
        <f t="shared" si="37"/>
        <v>43.37383752572384</v>
      </c>
      <c r="R537" s="94">
        <f t="shared" si="38"/>
        <v>53.67535812782606</v>
      </c>
      <c r="S537" s="94">
        <f t="shared" si="39"/>
        <v>53.67535812782606</v>
      </c>
    </row>
    <row r="538" spans="16:19" ht="14.25">
      <c r="P538" s="94">
        <v>7190</v>
      </c>
      <c r="Q538" s="94">
        <f t="shared" si="37"/>
        <v>43.3160673638622</v>
      </c>
      <c r="R538" s="94">
        <f t="shared" si="38"/>
        <v>53.88155449703411</v>
      </c>
      <c r="S538" s="94">
        <f t="shared" si="39"/>
        <v>53.88155449703411</v>
      </c>
    </row>
    <row r="539" spans="16:19" ht="14.25">
      <c r="P539" s="94">
        <v>7200</v>
      </c>
      <c r="Q539" s="94">
        <f t="shared" si="37"/>
        <v>43.25829720200055</v>
      </c>
      <c r="R539" s="94">
        <f t="shared" si="38"/>
        <v>54.08721907711171</v>
      </c>
      <c r="S539" s="94">
        <f t="shared" si="39"/>
        <v>54.08721907711171</v>
      </c>
    </row>
    <row r="540" spans="16:19" ht="14.25">
      <c r="P540" s="95">
        <v>7210</v>
      </c>
      <c r="Q540" s="94">
        <f t="shared" si="37"/>
        <v>43.20052704013891</v>
      </c>
      <c r="R540" s="94">
        <f t="shared" si="38"/>
        <v>54.2923498381134</v>
      </c>
      <c r="S540" s="94">
        <f t="shared" si="39"/>
        <v>54.2923498381134</v>
      </c>
    </row>
    <row r="541" spans="16:19" ht="14.25">
      <c r="P541" s="94">
        <v>7220</v>
      </c>
      <c r="Q541" s="94">
        <f t="shared" si="37"/>
        <v>43.14275687827727</v>
      </c>
      <c r="R541" s="94">
        <f t="shared" si="38"/>
        <v>54.496944755541016</v>
      </c>
      <c r="S541" s="94">
        <f t="shared" si="39"/>
        <v>54.496944755541016</v>
      </c>
    </row>
    <row r="542" spans="16:19" ht="14.25">
      <c r="P542" s="94">
        <v>7230</v>
      </c>
      <c r="Q542" s="94">
        <f t="shared" si="37"/>
        <v>43.084986716415614</v>
      </c>
      <c r="R542" s="94">
        <f t="shared" si="38"/>
        <v>54.70100181012531</v>
      </c>
      <c r="S542" s="94">
        <f t="shared" si="39"/>
        <v>54.70100181012531</v>
      </c>
    </row>
    <row r="543" spans="16:19" ht="14.25">
      <c r="P543" s="95">
        <v>7240</v>
      </c>
      <c r="Q543" s="94">
        <f t="shared" si="37"/>
        <v>43.02721655455397</v>
      </c>
      <c r="R543" s="94">
        <f t="shared" si="38"/>
        <v>54.90451898796437</v>
      </c>
      <c r="S543" s="94">
        <f t="shared" si="39"/>
        <v>54.90451898796437</v>
      </c>
    </row>
    <row r="544" spans="16:19" ht="14.25">
      <c r="P544" s="94">
        <v>7250</v>
      </c>
      <c r="Q544" s="94">
        <f t="shared" si="37"/>
        <v>42.96944639269232</v>
      </c>
      <c r="R544" s="94">
        <f t="shared" si="38"/>
        <v>55.107494280307996</v>
      </c>
      <c r="S544" s="94">
        <f t="shared" si="39"/>
        <v>55.107494280307996</v>
      </c>
    </row>
    <row r="545" spans="16:19" ht="14.25">
      <c r="P545" s="94">
        <v>7260</v>
      </c>
      <c r="Q545" s="94">
        <f t="shared" si="37"/>
        <v>42.91167623083068</v>
      </c>
      <c r="R545" s="94">
        <f t="shared" si="38"/>
        <v>55.309925683930985</v>
      </c>
      <c r="S545" s="94">
        <f t="shared" si="39"/>
        <v>55.309925683930985</v>
      </c>
    </row>
    <row r="546" spans="16:19" ht="14.25">
      <c r="P546" s="95">
        <v>7270</v>
      </c>
      <c r="Q546" s="94">
        <f t="shared" si="37"/>
        <v>42.85390606896903</v>
      </c>
      <c r="R546" s="94">
        <f t="shared" si="38"/>
        <v>55.51181120091711</v>
      </c>
      <c r="S546" s="94">
        <f t="shared" si="39"/>
        <v>55.51181120091711</v>
      </c>
    </row>
    <row r="547" spans="16:19" ht="14.25">
      <c r="P547" s="94">
        <v>7280</v>
      </c>
      <c r="Q547" s="94">
        <f t="shared" si="37"/>
        <v>42.796135907107384</v>
      </c>
      <c r="R547" s="94">
        <f t="shared" si="38"/>
        <v>55.713148838854224</v>
      </c>
      <c r="S547" s="94">
        <f t="shared" si="39"/>
        <v>55.713148838854224</v>
      </c>
    </row>
    <row r="548" spans="16:19" ht="14.25">
      <c r="P548" s="94">
        <v>7290</v>
      </c>
      <c r="Q548" s="94">
        <f t="shared" si="37"/>
        <v>42.73836574524574</v>
      </c>
      <c r="R548" s="94">
        <f t="shared" si="38"/>
        <v>55.913936610387985</v>
      </c>
      <c r="S548" s="94">
        <f t="shared" si="39"/>
        <v>55.913936610387985</v>
      </c>
    </row>
    <row r="549" spans="16:19" ht="14.25">
      <c r="P549" s="95">
        <v>7300</v>
      </c>
      <c r="Q549" s="94">
        <f t="shared" si="37"/>
        <v>42.6805955833841</v>
      </c>
      <c r="R549" s="94">
        <f t="shared" si="38"/>
        <v>56.11417253394089</v>
      </c>
      <c r="S549" s="94">
        <f t="shared" si="39"/>
        <v>56.11417253394089</v>
      </c>
    </row>
    <row r="550" spans="16:19" ht="14.25">
      <c r="P550" s="94">
        <v>7310</v>
      </c>
      <c r="Q550" s="94">
        <f t="shared" si="37"/>
        <v>42.62282542152245</v>
      </c>
      <c r="R550" s="94">
        <f t="shared" si="38"/>
        <v>56.313854633265215</v>
      </c>
      <c r="S550" s="94">
        <f t="shared" si="39"/>
        <v>56.313854633265215</v>
      </c>
    </row>
    <row r="551" spans="16:19" ht="14.25">
      <c r="P551" s="94">
        <v>7320</v>
      </c>
      <c r="Q551" s="94">
        <f t="shared" si="37"/>
        <v>42.5650552596608</v>
      </c>
      <c r="R551" s="94">
        <f t="shared" si="38"/>
        <v>56.512980937636804</v>
      </c>
      <c r="S551" s="94">
        <f t="shared" si="39"/>
        <v>56.512980937636804</v>
      </c>
    </row>
    <row r="552" spans="16:19" ht="14.25">
      <c r="P552" s="95">
        <v>7330</v>
      </c>
      <c r="Q552" s="94">
        <f t="shared" si="37"/>
        <v>42.507285097799155</v>
      </c>
      <c r="R552" s="94">
        <f t="shared" si="38"/>
        <v>56.71154948164415</v>
      </c>
      <c r="S552" s="94">
        <f t="shared" si="39"/>
        <v>56.71154948164415</v>
      </c>
    </row>
    <row r="553" spans="16:19" ht="14.25">
      <c r="P553" s="94">
        <v>7340</v>
      </c>
      <c r="Q553" s="94">
        <f t="shared" si="37"/>
        <v>42.44951493593751</v>
      </c>
      <c r="R553" s="94">
        <f t="shared" si="38"/>
        <v>56.909558305553595</v>
      </c>
      <c r="S553" s="94">
        <f t="shared" si="39"/>
        <v>56.909558305553595</v>
      </c>
    </row>
    <row r="554" spans="16:19" ht="14.25">
      <c r="P554" s="94">
        <v>7350</v>
      </c>
      <c r="Q554" s="94">
        <f t="shared" si="37"/>
        <v>42.39174477407587</v>
      </c>
      <c r="R554" s="94">
        <f t="shared" si="38"/>
        <v>57.107005455098</v>
      </c>
      <c r="S554" s="94">
        <f t="shared" si="39"/>
        <v>57.107005455098</v>
      </c>
    </row>
    <row r="555" spans="16:19" ht="14.25">
      <c r="P555" s="95">
        <v>7360</v>
      </c>
      <c r="Q555" s="94">
        <f t="shared" si="37"/>
        <v>42.33397461221421</v>
      </c>
      <c r="R555" s="94">
        <f t="shared" si="38"/>
        <v>57.30388898161064</v>
      </c>
      <c r="S555" s="94">
        <f t="shared" si="39"/>
        <v>57.30388898161064</v>
      </c>
    </row>
    <row r="556" spans="16:19" ht="14.25">
      <c r="P556" s="94">
        <v>7370</v>
      </c>
      <c r="Q556" s="94">
        <f t="shared" si="37"/>
        <v>42.27620445035257</v>
      </c>
      <c r="R556" s="94">
        <f t="shared" si="38"/>
        <v>57.50020694187333</v>
      </c>
      <c r="S556" s="94">
        <f t="shared" si="39"/>
        <v>57.50020694187333</v>
      </c>
    </row>
    <row r="557" spans="16:19" ht="14.25">
      <c r="P557" s="94">
        <v>7380</v>
      </c>
      <c r="Q557" s="94">
        <f t="shared" si="37"/>
        <v>42.21843428849092</v>
      </c>
      <c r="R557" s="94">
        <f t="shared" si="38"/>
        <v>57.69595739825047</v>
      </c>
      <c r="S557" s="94">
        <f t="shared" si="39"/>
        <v>57.69595739825047</v>
      </c>
    </row>
    <row r="558" spans="16:19" ht="14.25">
      <c r="P558" s="95">
        <v>7390</v>
      </c>
      <c r="Q558" s="94">
        <f t="shared" si="37"/>
        <v>42.16066412662928</v>
      </c>
      <c r="R558" s="94">
        <f t="shared" si="38"/>
        <v>57.89113841882101</v>
      </c>
      <c r="S558" s="94">
        <f t="shared" si="39"/>
        <v>57.89113841882101</v>
      </c>
    </row>
    <row r="559" spans="16:19" ht="14.25">
      <c r="P559" s="94">
        <v>7400</v>
      </c>
      <c r="Q559" s="94">
        <f t="shared" si="37"/>
        <v>42.10289396476764</v>
      </c>
      <c r="R559" s="94">
        <f t="shared" si="38"/>
        <v>58.085748077283334</v>
      </c>
      <c r="S559" s="94">
        <f t="shared" si="39"/>
        <v>58.085748077283334</v>
      </c>
    </row>
    <row r="560" spans="16:19" ht="14.25">
      <c r="P560" s="94">
        <v>7410</v>
      </c>
      <c r="Q560" s="94">
        <f t="shared" si="37"/>
        <v>42.045123802905984</v>
      </c>
      <c r="R560" s="94">
        <f t="shared" si="38"/>
        <v>58.27978445280599</v>
      </c>
      <c r="S560" s="94">
        <f t="shared" si="39"/>
        <v>58.27978445280599</v>
      </c>
    </row>
    <row r="561" spans="16:19" ht="14.25">
      <c r="P561" s="95">
        <v>7420</v>
      </c>
      <c r="Q561" s="94">
        <f t="shared" si="37"/>
        <v>41.98735364104434</v>
      </c>
      <c r="R561" s="94">
        <f t="shared" si="38"/>
        <v>58.473245630384724</v>
      </c>
      <c r="S561" s="94">
        <f t="shared" si="39"/>
        <v>58.473245630384724</v>
      </c>
    </row>
    <row r="562" spans="16:19" ht="14.25">
      <c r="P562" s="94">
        <v>7430</v>
      </c>
      <c r="Q562" s="94">
        <f t="shared" si="37"/>
        <v>41.929583479182696</v>
      </c>
      <c r="R562" s="94">
        <f t="shared" si="38"/>
        <v>58.66612970063581</v>
      </c>
      <c r="S562" s="94">
        <f t="shared" si="39"/>
        <v>58.66612970063581</v>
      </c>
    </row>
    <row r="563" spans="16:19" ht="14.25">
      <c r="P563" s="94">
        <v>7440</v>
      </c>
      <c r="Q563" s="94">
        <f t="shared" si="37"/>
        <v>41.87181331732105</v>
      </c>
      <c r="R563" s="94">
        <f t="shared" si="38"/>
        <v>58.85843475992693</v>
      </c>
      <c r="S563" s="94">
        <f t="shared" si="39"/>
        <v>58.85843475992693</v>
      </c>
    </row>
    <row r="564" spans="16:19" ht="14.25">
      <c r="P564" s="95">
        <v>7450</v>
      </c>
      <c r="Q564" s="94">
        <f t="shared" si="37"/>
        <v>41.8140431554594</v>
      </c>
      <c r="R564" s="94">
        <f t="shared" si="38"/>
        <v>59.05015891017345</v>
      </c>
      <c r="S564" s="94">
        <f t="shared" si="39"/>
        <v>59.05015891017345</v>
      </c>
    </row>
    <row r="565" spans="16:19" ht="14.25">
      <c r="P565" s="94">
        <v>7460</v>
      </c>
      <c r="Q565" s="94">
        <f t="shared" si="37"/>
        <v>41.756272993597754</v>
      </c>
      <c r="R565" s="94">
        <f t="shared" si="38"/>
        <v>59.24130025919115</v>
      </c>
      <c r="S565" s="94">
        <f t="shared" si="39"/>
        <v>59.24130025919115</v>
      </c>
    </row>
    <row r="566" spans="16:19" ht="14.25">
      <c r="P566" s="94">
        <v>7470</v>
      </c>
      <c r="Q566" s="94">
        <f t="shared" si="37"/>
        <v>41.69850283173611</v>
      </c>
      <c r="R566" s="94">
        <f t="shared" si="38"/>
        <v>59.43185692054719</v>
      </c>
      <c r="S566" s="94">
        <f t="shared" si="39"/>
        <v>59.43185692054719</v>
      </c>
    </row>
    <row r="567" spans="16:19" ht="14.25">
      <c r="P567" s="95">
        <v>7480</v>
      </c>
      <c r="Q567" s="94">
        <f t="shared" si="37"/>
        <v>41.64073266987447</v>
      </c>
      <c r="R567" s="94">
        <f t="shared" si="38"/>
        <v>59.6218270134688</v>
      </c>
      <c r="S567" s="94">
        <f t="shared" si="39"/>
        <v>59.6218270134688</v>
      </c>
    </row>
    <row r="568" spans="16:19" ht="14.25">
      <c r="P568" s="94">
        <v>7490</v>
      </c>
      <c r="Q568" s="94">
        <f t="shared" si="37"/>
        <v>41.58296250801282</v>
      </c>
      <c r="R568" s="94">
        <f t="shared" si="38"/>
        <v>59.811208662973144</v>
      </c>
      <c r="S568" s="94">
        <f t="shared" si="39"/>
        <v>59.811208662973144</v>
      </c>
    </row>
    <row r="569" spans="16:19" ht="14.25">
      <c r="P569" s="94">
        <v>7500</v>
      </c>
      <c r="Q569" s="94">
        <f t="shared" si="37"/>
        <v>41.52519234615117</v>
      </c>
      <c r="R569" s="94">
        <f t="shared" si="38"/>
        <v>59.99999999999487</v>
      </c>
      <c r="S569" s="94">
        <f t="shared" si="39"/>
        <v>59.99999999999487</v>
      </c>
    </row>
    <row r="570" spans="16:19" ht="14.25">
      <c r="P570" s="95">
        <v>7510</v>
      </c>
      <c r="Q570" s="94">
        <f t="shared" si="37"/>
        <v>41.46742218428953</v>
      </c>
      <c r="R570" s="94">
        <f t="shared" si="38"/>
        <v>60.188199161239694</v>
      </c>
      <c r="S570" s="94">
        <f t="shared" si="39"/>
        <v>60.188199161239694</v>
      </c>
    </row>
    <row r="571" spans="16:19" ht="14.25">
      <c r="P571" s="94">
        <v>7520</v>
      </c>
      <c r="Q571" s="94">
        <f t="shared" si="37"/>
        <v>41.40965202242788</v>
      </c>
      <c r="R571" s="94">
        <f t="shared" si="38"/>
        <v>60.375804289312114</v>
      </c>
      <c r="S571" s="94">
        <f t="shared" si="39"/>
        <v>60.375804289312114</v>
      </c>
    </row>
    <row r="572" spans="16:19" ht="14.25">
      <c r="P572" s="94">
        <v>7530</v>
      </c>
      <c r="Q572" s="94">
        <f t="shared" si="37"/>
        <v>41.35188186056624</v>
      </c>
      <c r="R572" s="94">
        <f t="shared" si="38"/>
        <v>60.56281353251661</v>
      </c>
      <c r="S572" s="94">
        <f t="shared" si="39"/>
        <v>60.56281353251661</v>
      </c>
    </row>
    <row r="573" spans="16:19" ht="14.25">
      <c r="P573" s="95">
        <v>7540</v>
      </c>
      <c r="Q573" s="94">
        <f t="shared" si="37"/>
        <v>41.29411169870458</v>
      </c>
      <c r="R573" s="94">
        <f t="shared" si="38"/>
        <v>60.74922504520186</v>
      </c>
      <c r="S573" s="94">
        <f t="shared" si="39"/>
        <v>60.74922504520186</v>
      </c>
    </row>
    <row r="574" spans="16:19" ht="14.25">
      <c r="P574" s="94">
        <v>7550</v>
      </c>
      <c r="Q574" s="94">
        <f t="shared" si="37"/>
        <v>41.23634153684294</v>
      </c>
      <c r="R574" s="94">
        <f t="shared" si="38"/>
        <v>60.9350369875615</v>
      </c>
      <c r="S574" s="94">
        <f t="shared" si="39"/>
        <v>60.9350369875615</v>
      </c>
    </row>
    <row r="575" spans="16:19" ht="14.25">
      <c r="P575" s="94">
        <v>7560</v>
      </c>
      <c r="Q575" s="94">
        <f t="shared" si="37"/>
        <v>41.1785713749813</v>
      </c>
      <c r="R575" s="94">
        <f t="shared" si="38"/>
        <v>61.120247525813724</v>
      </c>
      <c r="S575" s="94">
        <f t="shared" si="39"/>
        <v>61.120247525813724</v>
      </c>
    </row>
    <row r="576" spans="16:19" ht="14.25">
      <c r="P576" s="95">
        <v>7570</v>
      </c>
      <c r="Q576" s="94">
        <f t="shared" si="37"/>
        <v>41.12080121311965</v>
      </c>
      <c r="R576" s="94">
        <f t="shared" si="38"/>
        <v>61.30485483179083</v>
      </c>
      <c r="S576" s="94">
        <f t="shared" si="39"/>
        <v>61.30485483179083</v>
      </c>
    </row>
    <row r="577" spans="16:19" ht="14.25">
      <c r="P577" s="94">
        <v>7580</v>
      </c>
      <c r="Q577" s="94">
        <f t="shared" si="37"/>
        <v>41.06303105125801</v>
      </c>
      <c r="R577" s="94">
        <f t="shared" si="38"/>
        <v>61.488857083600635</v>
      </c>
      <c r="S577" s="94">
        <f t="shared" si="39"/>
        <v>61.488857083600635</v>
      </c>
    </row>
    <row r="578" spans="16:19" ht="14.25">
      <c r="P578" s="94">
        <v>7590</v>
      </c>
      <c r="Q578" s="94">
        <f t="shared" si="37"/>
        <v>41.005260889396354</v>
      </c>
      <c r="R578" s="94">
        <f t="shared" si="38"/>
        <v>61.672252465215216</v>
      </c>
      <c r="S578" s="94">
        <f t="shared" si="39"/>
        <v>61.672252465215216</v>
      </c>
    </row>
    <row r="579" spans="16:19" ht="14.25">
      <c r="P579" s="95">
        <v>7600</v>
      </c>
      <c r="Q579" s="94">
        <f t="shared" si="37"/>
        <v>40.94749072753471</v>
      </c>
      <c r="R579" s="94">
        <f t="shared" si="38"/>
        <v>61.85503916664901</v>
      </c>
      <c r="S579" s="94">
        <f t="shared" si="39"/>
        <v>61.85503916664901</v>
      </c>
    </row>
    <row r="580" spans="16:19" ht="14.25">
      <c r="P580" s="94">
        <v>7610</v>
      </c>
      <c r="Q580" s="94">
        <f aca="true" t="shared" si="40" ref="Q580:Q643">Vbr_out*SQRT(2)-Pin/(Cdc*Vbr_out*SQRT(2))*P580*10^-6</f>
        <v>40.889720565673066</v>
      </c>
      <c r="R580" s="94">
        <f aca="true" t="shared" si="41" ref="R580:R643">-Vbr_out*SQRT(2)*COS(2*PI()*fL*(P580*10^-6-0.5*fL))</f>
        <v>62.03721538376524</v>
      </c>
      <c r="S580" s="94">
        <f t="shared" si="39"/>
        <v>62.03721538376524</v>
      </c>
    </row>
    <row r="581" spans="16:19" ht="14.25">
      <c r="P581" s="94">
        <v>7620</v>
      </c>
      <c r="Q581" s="94">
        <f t="shared" si="40"/>
        <v>40.83195040381142</v>
      </c>
      <c r="R581" s="94">
        <f t="shared" si="41"/>
        <v>62.2187793186112</v>
      </c>
      <c r="S581" s="94">
        <f t="shared" si="39"/>
        <v>62.2187793186112</v>
      </c>
    </row>
    <row r="582" spans="16:19" ht="14.25">
      <c r="P582" s="95">
        <v>7630</v>
      </c>
      <c r="Q582" s="94">
        <f t="shared" si="40"/>
        <v>40.77418024194977</v>
      </c>
      <c r="R582" s="94">
        <f t="shared" si="41"/>
        <v>62.39972917922414</v>
      </c>
      <c r="S582" s="94">
        <f t="shared" si="39"/>
        <v>62.39972917922414</v>
      </c>
    </row>
    <row r="583" spans="16:19" ht="14.25">
      <c r="P583" s="94">
        <v>7640</v>
      </c>
      <c r="Q583" s="94">
        <f t="shared" si="40"/>
        <v>40.71641008008813</v>
      </c>
      <c r="R583" s="94">
        <f t="shared" si="41"/>
        <v>62.58006317975412</v>
      </c>
      <c r="S583" s="94">
        <f t="shared" si="39"/>
        <v>62.58006317975412</v>
      </c>
    </row>
    <row r="584" spans="16:19" ht="14.25">
      <c r="P584" s="94">
        <v>7650</v>
      </c>
      <c r="Q584" s="94">
        <f t="shared" si="40"/>
        <v>40.658639918226484</v>
      </c>
      <c r="R584" s="94">
        <f t="shared" si="41"/>
        <v>62.75977954032488</v>
      </c>
      <c r="S584" s="94">
        <f t="shared" si="39"/>
        <v>62.75977954032488</v>
      </c>
    </row>
    <row r="585" spans="16:19" ht="14.25">
      <c r="P585" s="95">
        <v>7660</v>
      </c>
      <c r="Q585" s="94">
        <f t="shared" si="40"/>
        <v>40.60086975636484</v>
      </c>
      <c r="R585" s="94">
        <f t="shared" si="41"/>
        <v>62.93887648715674</v>
      </c>
      <c r="S585" s="94">
        <f t="shared" si="39"/>
        <v>62.93887648715674</v>
      </c>
    </row>
    <row r="586" spans="16:19" ht="14.25">
      <c r="P586" s="94">
        <v>7670</v>
      </c>
      <c r="Q586" s="94">
        <f t="shared" si="40"/>
        <v>40.54309959450319</v>
      </c>
      <c r="R586" s="94">
        <f t="shared" si="41"/>
        <v>63.117352252687255</v>
      </c>
      <c r="S586" s="94">
        <f t="shared" si="39"/>
        <v>63.117352252687255</v>
      </c>
    </row>
    <row r="587" spans="16:19" ht="14.25">
      <c r="P587" s="94">
        <v>7680</v>
      </c>
      <c r="Q587" s="94">
        <f t="shared" si="40"/>
        <v>40.48532943264154</v>
      </c>
      <c r="R587" s="94">
        <f t="shared" si="41"/>
        <v>63.29520507548406</v>
      </c>
      <c r="S587" s="94">
        <f t="shared" si="39"/>
        <v>63.29520507548406</v>
      </c>
    </row>
    <row r="588" spans="16:19" ht="14.25">
      <c r="P588" s="95">
        <v>7690</v>
      </c>
      <c r="Q588" s="94">
        <f t="shared" si="40"/>
        <v>40.4275592707799</v>
      </c>
      <c r="R588" s="94">
        <f t="shared" si="41"/>
        <v>63.47243320010863</v>
      </c>
      <c r="S588" s="94">
        <f t="shared" si="39"/>
        <v>63.47243320010863</v>
      </c>
    </row>
    <row r="589" spans="16:19" ht="14.25">
      <c r="P589" s="94">
        <v>7700</v>
      </c>
      <c r="Q589" s="94">
        <f t="shared" si="40"/>
        <v>40.36978910891825</v>
      </c>
      <c r="R589" s="94">
        <f t="shared" si="41"/>
        <v>63.64903487744251</v>
      </c>
      <c r="S589" s="94">
        <f t="shared" si="39"/>
        <v>63.64903487744251</v>
      </c>
    </row>
    <row r="590" spans="16:19" ht="14.25">
      <c r="P590" s="94">
        <v>7710</v>
      </c>
      <c r="Q590" s="94">
        <f t="shared" si="40"/>
        <v>40.31201894705661</v>
      </c>
      <c r="R590" s="94">
        <f t="shared" si="41"/>
        <v>63.82500836449843</v>
      </c>
      <c r="S590" s="94">
        <f t="shared" si="39"/>
        <v>63.82500836449843</v>
      </c>
    </row>
    <row r="591" spans="16:19" ht="14.25">
      <c r="P591" s="95">
        <v>7720</v>
      </c>
      <c r="Q591" s="94">
        <f t="shared" si="40"/>
        <v>40.25424878519495</v>
      </c>
      <c r="R591" s="94">
        <f t="shared" si="41"/>
        <v>64.00035192453979</v>
      </c>
      <c r="S591" s="94">
        <f t="shared" si="39"/>
        <v>64.00035192453979</v>
      </c>
    </row>
    <row r="592" spans="16:19" ht="14.25">
      <c r="P592" s="94">
        <v>7730</v>
      </c>
      <c r="Q592" s="94">
        <f t="shared" si="40"/>
        <v>40.19647862333331</v>
      </c>
      <c r="R592" s="94">
        <f t="shared" si="41"/>
        <v>64.17506382689491</v>
      </c>
      <c r="S592" s="94">
        <f t="shared" si="39"/>
        <v>64.17506382689491</v>
      </c>
    </row>
    <row r="593" spans="16:19" ht="14.25">
      <c r="P593" s="94">
        <v>7740</v>
      </c>
      <c r="Q593" s="94">
        <f t="shared" si="40"/>
        <v>40.13870846147167</v>
      </c>
      <c r="R593" s="94">
        <f t="shared" si="41"/>
        <v>64.34914234727873</v>
      </c>
      <c r="S593" s="94">
        <f t="shared" si="39"/>
        <v>64.34914234727873</v>
      </c>
    </row>
    <row r="594" spans="16:19" ht="14.25">
      <c r="P594" s="95">
        <v>7750</v>
      </c>
      <c r="Q594" s="94">
        <f t="shared" si="40"/>
        <v>40.08093829961002</v>
      </c>
      <c r="R594" s="94">
        <f t="shared" si="41"/>
        <v>64.52258576765662</v>
      </c>
      <c r="S594" s="94">
        <f t="shared" si="39"/>
        <v>64.52258576765662</v>
      </c>
    </row>
    <row r="595" spans="16:19" ht="14.25">
      <c r="P595" s="94">
        <v>7760</v>
      </c>
      <c r="Q595" s="94">
        <f t="shared" si="40"/>
        <v>40.02316813774838</v>
      </c>
      <c r="R595" s="94">
        <f t="shared" si="41"/>
        <v>64.69539237616158</v>
      </c>
      <c r="S595" s="94">
        <f t="shared" si="39"/>
        <v>64.69539237616158</v>
      </c>
    </row>
    <row r="596" spans="16:19" ht="14.25">
      <c r="P596" s="94">
        <v>7770</v>
      </c>
      <c r="Q596" s="94">
        <f t="shared" si="40"/>
        <v>39.96539797588673</v>
      </c>
      <c r="R596" s="94">
        <f t="shared" si="41"/>
        <v>64.86756046721239</v>
      </c>
      <c r="S596" s="94">
        <f aca="true" t="shared" si="42" ref="S596:S659">IF(Q596-R596&lt;0.3,R596,"N")</f>
        <v>64.86756046721239</v>
      </c>
    </row>
    <row r="597" spans="16:19" ht="14.25">
      <c r="P597" s="95">
        <v>7780</v>
      </c>
      <c r="Q597" s="94">
        <f t="shared" si="40"/>
        <v>39.90762781402508</v>
      </c>
      <c r="R597" s="94">
        <f t="shared" si="41"/>
        <v>65.0390883416296</v>
      </c>
      <c r="S597" s="94">
        <f t="shared" si="42"/>
        <v>65.0390883416296</v>
      </c>
    </row>
    <row r="598" spans="16:19" ht="14.25">
      <c r="P598" s="94">
        <v>7790</v>
      </c>
      <c r="Q598" s="94">
        <f t="shared" si="40"/>
        <v>39.849857652163436</v>
      </c>
      <c r="R598" s="94">
        <f t="shared" si="41"/>
        <v>65.20997430650235</v>
      </c>
      <c r="S598" s="94">
        <f t="shared" si="42"/>
        <v>65.20997430650235</v>
      </c>
    </row>
    <row r="599" spans="16:19" ht="14.25">
      <c r="P599" s="94">
        <v>7800</v>
      </c>
      <c r="Q599" s="94">
        <f t="shared" si="40"/>
        <v>39.79208749030179</v>
      </c>
      <c r="R599" s="94">
        <f t="shared" si="41"/>
        <v>65.38021667530437</v>
      </c>
      <c r="S599" s="94">
        <f t="shared" si="42"/>
        <v>65.38021667530437</v>
      </c>
    </row>
    <row r="600" spans="16:19" ht="14.25">
      <c r="P600" s="95">
        <v>7810</v>
      </c>
      <c r="Q600" s="94">
        <f t="shared" si="40"/>
        <v>39.73431732844014</v>
      </c>
      <c r="R600" s="94">
        <f t="shared" si="41"/>
        <v>65.54981376771362</v>
      </c>
      <c r="S600" s="94">
        <f t="shared" si="42"/>
        <v>65.54981376771362</v>
      </c>
    </row>
    <row r="601" spans="16:19" ht="14.25">
      <c r="P601" s="94">
        <v>7820</v>
      </c>
      <c r="Q601" s="94">
        <f t="shared" si="40"/>
        <v>39.6765471665785</v>
      </c>
      <c r="R601" s="94">
        <f t="shared" si="41"/>
        <v>65.71876390992462</v>
      </c>
      <c r="S601" s="94">
        <f t="shared" si="42"/>
        <v>65.71876390992462</v>
      </c>
    </row>
    <row r="602" spans="16:19" ht="14.25">
      <c r="P602" s="94">
        <v>7830</v>
      </c>
      <c r="Q602" s="94">
        <f t="shared" si="40"/>
        <v>39.618777004716854</v>
      </c>
      <c r="R602" s="94">
        <f t="shared" si="41"/>
        <v>65.88706543446773</v>
      </c>
      <c r="S602" s="94">
        <f t="shared" si="42"/>
        <v>65.88706543446773</v>
      </c>
    </row>
    <row r="603" spans="16:19" ht="14.25">
      <c r="P603" s="95">
        <v>7840</v>
      </c>
      <c r="Q603" s="94">
        <f t="shared" si="40"/>
        <v>39.56100684285521</v>
      </c>
      <c r="R603" s="94">
        <f t="shared" si="41"/>
        <v>66.05471668037168</v>
      </c>
      <c r="S603" s="94">
        <f t="shared" si="42"/>
        <v>66.05471668037168</v>
      </c>
    </row>
    <row r="604" spans="16:19" ht="14.25">
      <c r="P604" s="94">
        <v>7850</v>
      </c>
      <c r="Q604" s="94">
        <f t="shared" si="40"/>
        <v>39.50323668099356</v>
      </c>
      <c r="R604" s="94">
        <f t="shared" si="41"/>
        <v>66.22171599279226</v>
      </c>
      <c r="S604" s="94">
        <f t="shared" si="42"/>
        <v>66.22171599279226</v>
      </c>
    </row>
    <row r="605" spans="16:19" ht="14.25">
      <c r="P605" s="94">
        <v>7860</v>
      </c>
      <c r="Q605" s="94">
        <f t="shared" si="40"/>
        <v>39.44546651913191</v>
      </c>
      <c r="R605" s="94">
        <f t="shared" si="41"/>
        <v>66.3880617236109</v>
      </c>
      <c r="S605" s="94">
        <f t="shared" si="42"/>
        <v>66.3880617236109</v>
      </c>
    </row>
    <row r="606" spans="16:19" ht="14.25">
      <c r="P606" s="95">
        <v>7870</v>
      </c>
      <c r="Q606" s="94">
        <f t="shared" si="40"/>
        <v>39.38769635727027</v>
      </c>
      <c r="R606" s="94">
        <f t="shared" si="41"/>
        <v>66.55375223106242</v>
      </c>
      <c r="S606" s="94">
        <f t="shared" si="42"/>
        <v>66.55375223106242</v>
      </c>
    </row>
    <row r="607" spans="16:19" ht="14.25">
      <c r="P607" s="94">
        <v>7880</v>
      </c>
      <c r="Q607" s="94">
        <f t="shared" si="40"/>
        <v>39.32992619540862</v>
      </c>
      <c r="R607" s="94">
        <f t="shared" si="41"/>
        <v>66.71878587989606</v>
      </c>
      <c r="S607" s="94">
        <f t="shared" si="42"/>
        <v>66.71878587989606</v>
      </c>
    </row>
    <row r="608" spans="16:19" ht="14.25">
      <c r="P608" s="94">
        <v>7890</v>
      </c>
      <c r="Q608" s="94">
        <f t="shared" si="40"/>
        <v>39.27215603354698</v>
      </c>
      <c r="R608" s="94">
        <f t="shared" si="41"/>
        <v>66.88316104120081</v>
      </c>
      <c r="S608" s="94">
        <f t="shared" si="42"/>
        <v>66.88316104120081</v>
      </c>
    </row>
    <row r="609" spans="16:19" ht="14.25">
      <c r="P609" s="95">
        <v>7900</v>
      </c>
      <c r="Q609" s="94">
        <f t="shared" si="40"/>
        <v>39.21438587168534</v>
      </c>
      <c r="R609" s="94">
        <f t="shared" si="41"/>
        <v>67.04687609270803</v>
      </c>
      <c r="S609" s="94">
        <f t="shared" si="42"/>
        <v>67.04687609270803</v>
      </c>
    </row>
    <row r="610" spans="16:19" ht="14.25">
      <c r="P610" s="94">
        <v>7910</v>
      </c>
      <c r="Q610" s="94">
        <f t="shared" si="40"/>
        <v>39.15661570982368</v>
      </c>
      <c r="R610" s="94">
        <f t="shared" si="41"/>
        <v>67.20992941861627</v>
      </c>
      <c r="S610" s="94">
        <f t="shared" si="42"/>
        <v>67.20992941861627</v>
      </c>
    </row>
    <row r="611" spans="16:19" ht="14.25">
      <c r="P611" s="94">
        <v>7920</v>
      </c>
      <c r="Q611" s="94">
        <f t="shared" si="40"/>
        <v>39.09884554796204</v>
      </c>
      <c r="R611" s="94">
        <f t="shared" si="41"/>
        <v>67.37231940970196</v>
      </c>
      <c r="S611" s="94">
        <f t="shared" si="42"/>
        <v>67.37231940970196</v>
      </c>
    </row>
    <row r="612" spans="16:19" ht="14.25">
      <c r="P612" s="95">
        <v>7930</v>
      </c>
      <c r="Q612" s="94">
        <f t="shared" si="40"/>
        <v>39.04107538610039</v>
      </c>
      <c r="R612" s="94">
        <f t="shared" si="41"/>
        <v>67.53404446319414</v>
      </c>
      <c r="S612" s="94">
        <f t="shared" si="42"/>
        <v>67.53404446319414</v>
      </c>
    </row>
    <row r="613" spans="16:19" ht="14.25">
      <c r="P613" s="94">
        <v>7940</v>
      </c>
      <c r="Q613" s="94">
        <f t="shared" si="40"/>
        <v>38.98330522423875</v>
      </c>
      <c r="R613" s="94">
        <f t="shared" si="41"/>
        <v>67.69510298288527</v>
      </c>
      <c r="S613" s="94">
        <f t="shared" si="42"/>
        <v>67.69510298288527</v>
      </c>
    </row>
    <row r="614" spans="16:19" ht="14.25">
      <c r="P614" s="94">
        <v>7950</v>
      </c>
      <c r="Q614" s="94">
        <f t="shared" si="40"/>
        <v>38.9255350623771</v>
      </c>
      <c r="R614" s="94">
        <f t="shared" si="41"/>
        <v>67.85549337923972</v>
      </c>
      <c r="S614" s="94">
        <f t="shared" si="42"/>
        <v>67.85549337923972</v>
      </c>
    </row>
    <row r="615" spans="16:19" ht="14.25">
      <c r="P615" s="95">
        <v>7960</v>
      </c>
      <c r="Q615" s="94">
        <f t="shared" si="40"/>
        <v>38.86776490051545</v>
      </c>
      <c r="R615" s="94">
        <f t="shared" si="41"/>
        <v>68.01521406931518</v>
      </c>
      <c r="S615" s="94">
        <f t="shared" si="42"/>
        <v>68.01521406931518</v>
      </c>
    </row>
    <row r="616" spans="16:19" ht="14.25">
      <c r="P616" s="94">
        <v>7970</v>
      </c>
      <c r="Q616" s="94">
        <f t="shared" si="40"/>
        <v>38.809994738653806</v>
      </c>
      <c r="R616" s="94">
        <f t="shared" si="41"/>
        <v>68.1742634766404</v>
      </c>
      <c r="S616" s="94">
        <f t="shared" si="42"/>
        <v>68.1742634766404</v>
      </c>
    </row>
    <row r="617" spans="16:19" ht="14.25">
      <c r="P617" s="94">
        <v>7980</v>
      </c>
      <c r="Q617" s="94">
        <f t="shared" si="40"/>
        <v>38.752224576792166</v>
      </c>
      <c r="R617" s="94">
        <f t="shared" si="41"/>
        <v>68.33264003150835</v>
      </c>
      <c r="S617" s="94">
        <f t="shared" si="42"/>
        <v>68.33264003150835</v>
      </c>
    </row>
    <row r="618" spans="16:19" ht="14.25">
      <c r="P618" s="95">
        <v>7990</v>
      </c>
      <c r="Q618" s="94">
        <f t="shared" si="40"/>
        <v>38.69445441493052</v>
      </c>
      <c r="R618" s="94">
        <f t="shared" si="41"/>
        <v>68.4903421708063</v>
      </c>
      <c r="S618" s="94">
        <f t="shared" si="42"/>
        <v>68.4903421708063</v>
      </c>
    </row>
    <row r="619" spans="16:19" ht="14.25">
      <c r="P619" s="94">
        <v>8000</v>
      </c>
      <c r="Q619" s="94">
        <f t="shared" si="40"/>
        <v>38.63668425306887</v>
      </c>
      <c r="R619" s="94">
        <f t="shared" si="41"/>
        <v>68.64736833812321</v>
      </c>
      <c r="S619" s="94">
        <f t="shared" si="42"/>
        <v>68.64736833812321</v>
      </c>
    </row>
    <row r="620" spans="16:19" ht="14.25">
      <c r="P620" s="94">
        <v>8010</v>
      </c>
      <c r="Q620" s="94">
        <f t="shared" si="40"/>
        <v>38.578914091207224</v>
      </c>
      <c r="R620" s="94">
        <f t="shared" si="41"/>
        <v>68.80371698358327</v>
      </c>
      <c r="S620" s="94">
        <f t="shared" si="42"/>
        <v>68.80371698358327</v>
      </c>
    </row>
    <row r="621" spans="16:19" ht="14.25">
      <c r="P621" s="95">
        <v>8020</v>
      </c>
      <c r="Q621" s="94">
        <f t="shared" si="40"/>
        <v>38.52114392934558</v>
      </c>
      <c r="R621" s="94">
        <f t="shared" si="41"/>
        <v>68.95938656413402</v>
      </c>
      <c r="S621" s="94">
        <f t="shared" si="42"/>
        <v>68.95938656413402</v>
      </c>
    </row>
    <row r="622" spans="16:19" ht="14.25">
      <c r="P622" s="94">
        <v>8030</v>
      </c>
      <c r="Q622" s="94">
        <f t="shared" si="40"/>
        <v>38.46337376748394</v>
      </c>
      <c r="R622" s="94">
        <f t="shared" si="41"/>
        <v>69.11437554346911</v>
      </c>
      <c r="S622" s="94">
        <f t="shared" si="42"/>
        <v>69.11437554346911</v>
      </c>
    </row>
    <row r="623" spans="16:19" ht="14.25">
      <c r="P623" s="94">
        <v>8040</v>
      </c>
      <c r="Q623" s="94">
        <f t="shared" si="40"/>
        <v>38.40560360562228</v>
      </c>
      <c r="R623" s="94">
        <f t="shared" si="41"/>
        <v>69.26868239173038</v>
      </c>
      <c r="S623" s="94">
        <f t="shared" si="42"/>
        <v>69.26868239173038</v>
      </c>
    </row>
    <row r="624" spans="16:19" ht="14.25">
      <c r="P624" s="95">
        <v>8050</v>
      </c>
      <c r="Q624" s="94">
        <f t="shared" si="40"/>
        <v>38.34783344376064</v>
      </c>
      <c r="R624" s="94">
        <f t="shared" si="41"/>
        <v>69.42230558606148</v>
      </c>
      <c r="S624" s="94">
        <f t="shared" si="42"/>
        <v>69.42230558606148</v>
      </c>
    </row>
    <row r="625" spans="16:19" ht="14.25">
      <c r="P625" s="94">
        <v>8060</v>
      </c>
      <c r="Q625" s="94">
        <f t="shared" si="40"/>
        <v>38.29006328189899</v>
      </c>
      <c r="R625" s="94">
        <f t="shared" si="41"/>
        <v>69.57524361026351</v>
      </c>
      <c r="S625" s="94">
        <f t="shared" si="42"/>
        <v>69.57524361026351</v>
      </c>
    </row>
    <row r="626" spans="16:19" ht="14.25">
      <c r="P626" s="94">
        <v>8070</v>
      </c>
      <c r="Q626" s="94">
        <f t="shared" si="40"/>
        <v>38.23229312003735</v>
      </c>
      <c r="R626" s="94">
        <f t="shared" si="41"/>
        <v>69.72749495489991</v>
      </c>
      <c r="S626" s="94">
        <f t="shared" si="42"/>
        <v>69.72749495489991</v>
      </c>
    </row>
    <row r="627" spans="16:19" ht="14.25">
      <c r="P627" s="95">
        <v>8080</v>
      </c>
      <c r="Q627" s="94">
        <f t="shared" si="40"/>
        <v>38.17452295817571</v>
      </c>
      <c r="R627" s="94">
        <f t="shared" si="41"/>
        <v>69.87905811735517</v>
      </c>
      <c r="S627" s="94">
        <f t="shared" si="42"/>
        <v>69.87905811735517</v>
      </c>
    </row>
    <row r="628" spans="16:19" ht="14.25">
      <c r="P628" s="94">
        <v>8090</v>
      </c>
      <c r="Q628" s="94">
        <f t="shared" si="40"/>
        <v>38.11675279631405</v>
      </c>
      <c r="R628" s="94">
        <f t="shared" si="41"/>
        <v>70.02993160167428</v>
      </c>
      <c r="S628" s="94">
        <f t="shared" si="42"/>
        <v>70.02993160167428</v>
      </c>
    </row>
    <row r="629" spans="16:19" ht="14.25">
      <c r="P629" s="94">
        <v>8100</v>
      </c>
      <c r="Q629" s="94">
        <f t="shared" si="40"/>
        <v>38.05898263445241</v>
      </c>
      <c r="R629" s="94">
        <f t="shared" si="41"/>
        <v>70.18011391884085</v>
      </c>
      <c r="S629" s="94">
        <f t="shared" si="42"/>
        <v>70.18011391884085</v>
      </c>
    </row>
    <row r="630" spans="16:19" ht="14.25">
      <c r="P630" s="95">
        <v>8110</v>
      </c>
      <c r="Q630" s="94">
        <f t="shared" si="40"/>
        <v>38.001212472590765</v>
      </c>
      <c r="R630" s="94">
        <f t="shared" si="41"/>
        <v>70.32960358661605</v>
      </c>
      <c r="S630" s="94">
        <f t="shared" si="42"/>
        <v>70.32960358661605</v>
      </c>
    </row>
    <row r="631" spans="16:19" ht="14.25">
      <c r="P631" s="94">
        <v>8120</v>
      </c>
      <c r="Q631" s="94">
        <f t="shared" si="40"/>
        <v>37.94344231072912</v>
      </c>
      <c r="R631" s="94">
        <f t="shared" si="41"/>
        <v>70.47839912968314</v>
      </c>
      <c r="S631" s="94">
        <f t="shared" si="42"/>
        <v>70.47839912968314</v>
      </c>
    </row>
    <row r="632" spans="16:19" ht="14.25">
      <c r="P632" s="94">
        <v>8130</v>
      </c>
      <c r="Q632" s="94">
        <f t="shared" si="40"/>
        <v>37.88567214886747</v>
      </c>
      <c r="R632" s="94">
        <f t="shared" si="41"/>
        <v>70.62649907931791</v>
      </c>
      <c r="S632" s="94">
        <f t="shared" si="42"/>
        <v>70.62649907931791</v>
      </c>
    </row>
    <row r="633" spans="16:19" ht="14.25">
      <c r="P633" s="95">
        <v>8140</v>
      </c>
      <c r="Q633" s="94">
        <f t="shared" si="40"/>
        <v>37.82790198700582</v>
      </c>
      <c r="R633" s="94">
        <f t="shared" si="41"/>
        <v>70.77390197391996</v>
      </c>
      <c r="S633" s="94">
        <f t="shared" si="42"/>
        <v>70.77390197391996</v>
      </c>
    </row>
    <row r="634" spans="16:19" ht="14.25">
      <c r="P634" s="94">
        <v>8150</v>
      </c>
      <c r="Q634" s="94">
        <f t="shared" si="40"/>
        <v>37.770131825144176</v>
      </c>
      <c r="R634" s="94">
        <f t="shared" si="41"/>
        <v>70.92060635868228</v>
      </c>
      <c r="S634" s="94">
        <f t="shared" si="42"/>
        <v>70.92060635868228</v>
      </c>
    </row>
    <row r="635" spans="16:19" ht="14.25">
      <c r="P635" s="94">
        <v>8160</v>
      </c>
      <c r="Q635" s="94">
        <f t="shared" si="40"/>
        <v>37.712361663282536</v>
      </c>
      <c r="R635" s="94">
        <f t="shared" si="41"/>
        <v>71.06661078573394</v>
      </c>
      <c r="S635" s="94">
        <f t="shared" si="42"/>
        <v>71.06661078573394</v>
      </c>
    </row>
    <row r="636" spans="16:19" ht="14.25">
      <c r="P636" s="95">
        <v>8170</v>
      </c>
      <c r="Q636" s="94">
        <f t="shared" si="40"/>
        <v>37.65459150142089</v>
      </c>
      <c r="R636" s="94">
        <f t="shared" si="41"/>
        <v>71.21191381398567</v>
      </c>
      <c r="S636" s="94">
        <f t="shared" si="42"/>
        <v>71.21191381398567</v>
      </c>
    </row>
    <row r="637" spans="16:19" ht="14.25">
      <c r="P637" s="94">
        <v>8180</v>
      </c>
      <c r="Q637" s="94">
        <f t="shared" si="40"/>
        <v>37.59682133955924</v>
      </c>
      <c r="R637" s="94">
        <f t="shared" si="41"/>
        <v>71.35651400939763</v>
      </c>
      <c r="S637" s="94">
        <f t="shared" si="42"/>
        <v>71.35651400939763</v>
      </c>
    </row>
    <row r="638" spans="16:19" ht="14.25">
      <c r="P638" s="94">
        <v>8190</v>
      </c>
      <c r="Q638" s="94">
        <f t="shared" si="40"/>
        <v>37.539051177697594</v>
      </c>
      <c r="R638" s="94">
        <f t="shared" si="41"/>
        <v>71.50040994482424</v>
      </c>
      <c r="S638" s="94">
        <f t="shared" si="42"/>
        <v>71.50040994482424</v>
      </c>
    </row>
    <row r="639" spans="16:19" ht="14.25">
      <c r="P639" s="95">
        <v>8200</v>
      </c>
      <c r="Q639" s="94">
        <f t="shared" si="40"/>
        <v>37.48128101583595</v>
      </c>
      <c r="R639" s="94">
        <f t="shared" si="41"/>
        <v>71.64360020011209</v>
      </c>
      <c r="S639" s="94">
        <f t="shared" si="42"/>
        <v>71.64360020011209</v>
      </c>
    </row>
    <row r="640" spans="16:19" ht="14.25">
      <c r="P640" s="94">
        <v>8210</v>
      </c>
      <c r="Q640" s="94">
        <f t="shared" si="40"/>
        <v>37.42351085397431</v>
      </c>
      <c r="R640" s="94">
        <f t="shared" si="41"/>
        <v>71.78608336194823</v>
      </c>
      <c r="S640" s="94">
        <f t="shared" si="42"/>
        <v>71.78608336194823</v>
      </c>
    </row>
    <row r="641" spans="16:19" ht="14.25">
      <c r="P641" s="94">
        <v>8220</v>
      </c>
      <c r="Q641" s="94">
        <f t="shared" si="40"/>
        <v>37.36574069211265</v>
      </c>
      <c r="R641" s="94">
        <f t="shared" si="41"/>
        <v>71.9278580241639</v>
      </c>
      <c r="S641" s="94">
        <f t="shared" si="42"/>
        <v>71.9278580241639</v>
      </c>
    </row>
    <row r="642" spans="16:19" ht="14.25">
      <c r="P642" s="95">
        <v>8230</v>
      </c>
      <c r="Q642" s="94">
        <f t="shared" si="40"/>
        <v>37.30797053025101</v>
      </c>
      <c r="R642" s="94">
        <f t="shared" si="41"/>
        <v>72.06892278745906</v>
      </c>
      <c r="S642" s="94">
        <f t="shared" si="42"/>
        <v>72.06892278745906</v>
      </c>
    </row>
    <row r="643" spans="16:19" ht="14.25">
      <c r="P643" s="94">
        <v>8240</v>
      </c>
      <c r="Q643" s="94">
        <f t="shared" si="40"/>
        <v>37.25020036838937</v>
      </c>
      <c r="R643" s="94">
        <f t="shared" si="41"/>
        <v>72.2092762595409</v>
      </c>
      <c r="S643" s="94">
        <f t="shared" si="42"/>
        <v>72.2092762595409</v>
      </c>
    </row>
    <row r="644" spans="16:19" ht="14.25">
      <c r="P644" s="94">
        <v>8250</v>
      </c>
      <c r="Q644" s="94">
        <f aca="true" t="shared" si="43" ref="Q644:Q707">Vbr_out*SQRT(2)-Pin/(Cdc*Vbr_out*SQRT(2))*P644*10^-6</f>
        <v>37.19243020652772</v>
      </c>
      <c r="R644" s="94">
        <f aca="true" t="shared" si="44" ref="R644:R707">-Vbr_out*SQRT(2)*COS(2*PI()*fL*(P644*10^-6-0.5*fL))</f>
        <v>72.34891705521828</v>
      </c>
      <c r="S644" s="94">
        <f t="shared" si="42"/>
        <v>72.34891705521828</v>
      </c>
    </row>
    <row r="645" spans="16:19" ht="14.25">
      <c r="P645" s="95">
        <v>8260</v>
      </c>
      <c r="Q645" s="94">
        <f t="shared" si="43"/>
        <v>37.13466004466608</v>
      </c>
      <c r="R645" s="94">
        <f t="shared" si="44"/>
        <v>72.48784379629292</v>
      </c>
      <c r="S645" s="94">
        <f t="shared" si="42"/>
        <v>72.48784379629292</v>
      </c>
    </row>
    <row r="646" spans="16:19" ht="14.25">
      <c r="P646" s="94">
        <v>8270</v>
      </c>
      <c r="Q646" s="94">
        <f t="shared" si="43"/>
        <v>37.07688988280442</v>
      </c>
      <c r="R646" s="94">
        <f t="shared" si="44"/>
        <v>72.62605511161395</v>
      </c>
      <c r="S646" s="94">
        <f t="shared" si="42"/>
        <v>72.62605511161395</v>
      </c>
    </row>
    <row r="647" spans="16:19" ht="14.25">
      <c r="P647" s="94">
        <v>8280</v>
      </c>
      <c r="Q647" s="94">
        <f t="shared" si="43"/>
        <v>37.01911972094278</v>
      </c>
      <c r="R647" s="94">
        <f t="shared" si="44"/>
        <v>72.7635496371312</v>
      </c>
      <c r="S647" s="94">
        <f t="shared" si="42"/>
        <v>72.7635496371312</v>
      </c>
    </row>
    <row r="648" spans="16:19" ht="14.25">
      <c r="P648" s="95">
        <v>8290</v>
      </c>
      <c r="Q648" s="94">
        <f t="shared" si="43"/>
        <v>36.961349559081135</v>
      </c>
      <c r="R648" s="94">
        <f t="shared" si="44"/>
        <v>72.90032601574963</v>
      </c>
      <c r="S648" s="94">
        <f t="shared" si="42"/>
        <v>72.90032601574963</v>
      </c>
    </row>
    <row r="649" spans="16:19" ht="14.25">
      <c r="P649" s="94">
        <v>8300</v>
      </c>
      <c r="Q649" s="94">
        <f t="shared" si="43"/>
        <v>36.90357939721949</v>
      </c>
      <c r="R649" s="94">
        <f t="shared" si="44"/>
        <v>73.03638289758146</v>
      </c>
      <c r="S649" s="94">
        <f t="shared" si="42"/>
        <v>73.03638289758146</v>
      </c>
    </row>
    <row r="650" spans="16:19" ht="14.25">
      <c r="P650" s="94">
        <v>8310</v>
      </c>
      <c r="Q650" s="94">
        <f t="shared" si="43"/>
        <v>36.84580923535784</v>
      </c>
      <c r="R650" s="94">
        <f t="shared" si="44"/>
        <v>73.17171893987839</v>
      </c>
      <c r="S650" s="94">
        <f t="shared" si="42"/>
        <v>73.17171893987839</v>
      </c>
    </row>
    <row r="651" spans="16:19" ht="14.25">
      <c r="P651" s="95">
        <v>8320</v>
      </c>
      <c r="Q651" s="94">
        <f t="shared" si="43"/>
        <v>36.7880390734962</v>
      </c>
      <c r="R651" s="94">
        <f t="shared" si="44"/>
        <v>73.30633280677156</v>
      </c>
      <c r="S651" s="94">
        <f t="shared" si="42"/>
        <v>73.30633280677156</v>
      </c>
    </row>
    <row r="652" spans="16:19" ht="14.25">
      <c r="P652" s="94">
        <v>8330</v>
      </c>
      <c r="Q652" s="94">
        <f t="shared" si="43"/>
        <v>36.73026891163455</v>
      </c>
      <c r="R652" s="94">
        <f t="shared" si="44"/>
        <v>73.44022316975506</v>
      </c>
      <c r="S652" s="94">
        <f t="shared" si="42"/>
        <v>73.44022316975506</v>
      </c>
    </row>
    <row r="653" spans="16:19" ht="14.25">
      <c r="P653" s="94">
        <v>8340</v>
      </c>
      <c r="Q653" s="94">
        <f t="shared" si="43"/>
        <v>36.672498749772906</v>
      </c>
      <c r="R653" s="94">
        <f t="shared" si="44"/>
        <v>73.57338870738504</v>
      </c>
      <c r="S653" s="94">
        <f t="shared" si="42"/>
        <v>73.57338870738504</v>
      </c>
    </row>
    <row r="654" spans="16:19" ht="14.25">
      <c r="P654" s="95">
        <v>8350</v>
      </c>
      <c r="Q654" s="94">
        <f t="shared" si="43"/>
        <v>36.61472858791126</v>
      </c>
      <c r="R654" s="94">
        <f t="shared" si="44"/>
        <v>73.70582810537141</v>
      </c>
      <c r="S654" s="94">
        <f t="shared" si="42"/>
        <v>73.70582810537141</v>
      </c>
    </row>
    <row r="655" spans="16:19" ht="14.25">
      <c r="P655" s="94">
        <v>8360</v>
      </c>
      <c r="Q655" s="94">
        <f t="shared" si="43"/>
        <v>36.55695842604961</v>
      </c>
      <c r="R655" s="94">
        <f t="shared" si="44"/>
        <v>73.8375400566288</v>
      </c>
      <c r="S655" s="94">
        <f t="shared" si="42"/>
        <v>73.8375400566288</v>
      </c>
    </row>
    <row r="656" spans="16:19" ht="14.25">
      <c r="P656" s="94">
        <v>8370</v>
      </c>
      <c r="Q656" s="94">
        <f t="shared" si="43"/>
        <v>36.49918826418797</v>
      </c>
      <c r="R656" s="94">
        <f t="shared" si="44"/>
        <v>73.96852326113715</v>
      </c>
      <c r="S656" s="94">
        <f t="shared" si="42"/>
        <v>73.96852326113715</v>
      </c>
    </row>
    <row r="657" spans="16:19" ht="14.25">
      <c r="P657" s="95">
        <v>8380</v>
      </c>
      <c r="Q657" s="94">
        <f t="shared" si="43"/>
        <v>36.44141810232632</v>
      </c>
      <c r="R657" s="94">
        <f t="shared" si="44"/>
        <v>74.09877642618339</v>
      </c>
      <c r="S657" s="94">
        <f t="shared" si="42"/>
        <v>74.09877642618339</v>
      </c>
    </row>
    <row r="658" spans="16:19" ht="14.25">
      <c r="P658" s="94">
        <v>8390</v>
      </c>
      <c r="Q658" s="94">
        <f t="shared" si="43"/>
        <v>36.38364794046468</v>
      </c>
      <c r="R658" s="94">
        <f t="shared" si="44"/>
        <v>74.22829826622133</v>
      </c>
      <c r="S658" s="94">
        <f t="shared" si="42"/>
        <v>74.22829826622133</v>
      </c>
    </row>
    <row r="659" spans="16:19" ht="14.25">
      <c r="P659" s="94">
        <v>8400</v>
      </c>
      <c r="Q659" s="94">
        <f t="shared" si="43"/>
        <v>36.32587777860302</v>
      </c>
      <c r="R659" s="94">
        <f t="shared" si="44"/>
        <v>74.35708750299706</v>
      </c>
      <c r="S659" s="94">
        <f t="shared" si="42"/>
        <v>74.35708750299706</v>
      </c>
    </row>
    <row r="660" spans="16:19" ht="14.25">
      <c r="P660" s="95">
        <v>8410</v>
      </c>
      <c r="Q660" s="94">
        <f t="shared" si="43"/>
        <v>36.26810761674138</v>
      </c>
      <c r="R660" s="94">
        <f t="shared" si="44"/>
        <v>74.48514286526368</v>
      </c>
      <c r="S660" s="94">
        <f aca="true" t="shared" si="45" ref="S660:S723">IF(Q660-R660&lt;0.3,R660,"N")</f>
        <v>74.48514286526368</v>
      </c>
    </row>
    <row r="661" spans="16:19" ht="14.25">
      <c r="P661" s="94">
        <v>8420</v>
      </c>
      <c r="Q661" s="94">
        <f t="shared" si="43"/>
        <v>36.21033745487974</v>
      </c>
      <c r="R661" s="94">
        <f t="shared" si="44"/>
        <v>74.61246308924126</v>
      </c>
      <c r="S661" s="94">
        <f t="shared" si="45"/>
        <v>74.61246308924126</v>
      </c>
    </row>
    <row r="662" spans="16:19" ht="14.25">
      <c r="P662" s="94">
        <v>8430</v>
      </c>
      <c r="Q662" s="94">
        <f t="shared" si="43"/>
        <v>36.15256729301809</v>
      </c>
      <c r="R662" s="94">
        <f t="shared" si="44"/>
        <v>74.73904691836708</v>
      </c>
      <c r="S662" s="94">
        <f t="shared" si="45"/>
        <v>74.73904691836708</v>
      </c>
    </row>
    <row r="663" spans="16:19" ht="14.25">
      <c r="P663" s="95">
        <v>8440</v>
      </c>
      <c r="Q663" s="94">
        <f t="shared" si="43"/>
        <v>36.09479713115645</v>
      </c>
      <c r="R663" s="94">
        <f t="shared" si="44"/>
        <v>74.86489310323661</v>
      </c>
      <c r="S663" s="94">
        <f t="shared" si="45"/>
        <v>74.86489310323661</v>
      </c>
    </row>
    <row r="664" spans="16:19" ht="14.25">
      <c r="P664" s="94">
        <v>8450</v>
      </c>
      <c r="Q664" s="94">
        <f t="shared" si="43"/>
        <v>36.0370269692948</v>
      </c>
      <c r="R664" s="94">
        <f t="shared" si="44"/>
        <v>74.99000040183553</v>
      </c>
      <c r="S664" s="94">
        <f t="shared" si="45"/>
        <v>74.99000040183553</v>
      </c>
    </row>
    <row r="665" spans="16:19" ht="14.25">
      <c r="P665" s="94">
        <v>8460</v>
      </c>
      <c r="Q665" s="94">
        <f t="shared" si="43"/>
        <v>35.97925680743315</v>
      </c>
      <c r="R665" s="94">
        <f t="shared" si="44"/>
        <v>75.11436757940534</v>
      </c>
      <c r="S665" s="94">
        <f t="shared" si="45"/>
        <v>75.11436757940534</v>
      </c>
    </row>
    <row r="666" spans="16:19" ht="14.25">
      <c r="P666" s="95">
        <v>8470</v>
      </c>
      <c r="Q666" s="94">
        <f t="shared" si="43"/>
        <v>35.921486645571505</v>
      </c>
      <c r="R666" s="94">
        <f t="shared" si="44"/>
        <v>75.23799340849219</v>
      </c>
      <c r="S666" s="94">
        <f t="shared" si="45"/>
        <v>75.23799340849219</v>
      </c>
    </row>
    <row r="667" spans="16:19" ht="14.25">
      <c r="P667" s="94">
        <v>8480</v>
      </c>
      <c r="Q667" s="94">
        <f t="shared" si="43"/>
        <v>35.86371648370986</v>
      </c>
      <c r="R667" s="94">
        <f t="shared" si="44"/>
        <v>75.36087666899452</v>
      </c>
      <c r="S667" s="94">
        <f t="shared" si="45"/>
        <v>75.36087666899452</v>
      </c>
    </row>
    <row r="668" spans="16:19" ht="14.25">
      <c r="P668" s="94">
        <v>8490</v>
      </c>
      <c r="Q668" s="94">
        <f t="shared" si="43"/>
        <v>35.80594632184821</v>
      </c>
      <c r="R668" s="94">
        <f t="shared" si="44"/>
        <v>75.48301614803302</v>
      </c>
      <c r="S668" s="94">
        <f t="shared" si="45"/>
        <v>75.48301614803302</v>
      </c>
    </row>
    <row r="669" spans="16:19" ht="14.25">
      <c r="P669" s="95">
        <v>8500</v>
      </c>
      <c r="Q669" s="94">
        <f t="shared" si="43"/>
        <v>35.74817615998657</v>
      </c>
      <c r="R669" s="94">
        <f t="shared" si="44"/>
        <v>75.60441064021104</v>
      </c>
      <c r="S669" s="94">
        <f t="shared" si="45"/>
        <v>75.60441064021104</v>
      </c>
    </row>
    <row r="670" spans="16:19" ht="14.25">
      <c r="P670" s="94">
        <v>8510</v>
      </c>
      <c r="Q670" s="94">
        <f t="shared" si="43"/>
        <v>35.69040599812492</v>
      </c>
      <c r="R670" s="94">
        <f t="shared" si="44"/>
        <v>75.72505894737851</v>
      </c>
      <c r="S670" s="94">
        <f t="shared" si="45"/>
        <v>75.72505894737851</v>
      </c>
    </row>
    <row r="671" spans="16:19" ht="14.25">
      <c r="P671" s="94">
        <v>8520</v>
      </c>
      <c r="Q671" s="94">
        <f t="shared" si="43"/>
        <v>35.632635836263276</v>
      </c>
      <c r="R671" s="94">
        <f t="shared" si="44"/>
        <v>75.84495987875074</v>
      </c>
      <c r="S671" s="94">
        <f t="shared" si="45"/>
        <v>75.84495987875074</v>
      </c>
    </row>
    <row r="672" spans="16:19" ht="14.25">
      <c r="P672" s="95">
        <v>8530</v>
      </c>
      <c r="Q672" s="94">
        <f t="shared" si="43"/>
        <v>35.57486567440163</v>
      </c>
      <c r="R672" s="94">
        <f t="shared" si="44"/>
        <v>75.96411225098896</v>
      </c>
      <c r="S672" s="94">
        <f t="shared" si="45"/>
        <v>75.96411225098896</v>
      </c>
    </row>
    <row r="673" spans="16:19" ht="14.25">
      <c r="P673" s="94">
        <v>8540</v>
      </c>
      <c r="Q673" s="94">
        <f t="shared" si="43"/>
        <v>35.51709551253998</v>
      </c>
      <c r="R673" s="94">
        <f t="shared" si="44"/>
        <v>76.08251488810738</v>
      </c>
      <c r="S673" s="94">
        <f t="shared" si="45"/>
        <v>76.08251488810738</v>
      </c>
    </row>
    <row r="674" spans="16:19" ht="14.25">
      <c r="P674" s="94">
        <v>8550</v>
      </c>
      <c r="Q674" s="94">
        <f t="shared" si="43"/>
        <v>35.45932535067834</v>
      </c>
      <c r="R674" s="94">
        <f t="shared" si="44"/>
        <v>76.20016662151976</v>
      </c>
      <c r="S674" s="94">
        <f t="shared" si="45"/>
        <v>76.20016662151976</v>
      </c>
    </row>
    <row r="675" spans="16:19" ht="14.25">
      <c r="P675" s="95">
        <v>8560</v>
      </c>
      <c r="Q675" s="94">
        <f t="shared" si="43"/>
        <v>35.40155518881669</v>
      </c>
      <c r="R675" s="94">
        <f t="shared" si="44"/>
        <v>76.31706629008472</v>
      </c>
      <c r="S675" s="94">
        <f t="shared" si="45"/>
        <v>76.31706629008472</v>
      </c>
    </row>
    <row r="676" spans="16:19" ht="14.25">
      <c r="P676" s="94">
        <v>8570</v>
      </c>
      <c r="Q676" s="94">
        <f t="shared" si="43"/>
        <v>35.34378502695505</v>
      </c>
      <c r="R676" s="94">
        <f t="shared" si="44"/>
        <v>76.43321273998205</v>
      </c>
      <c r="S676" s="94">
        <f t="shared" si="45"/>
        <v>76.43321273998205</v>
      </c>
    </row>
    <row r="677" spans="16:19" ht="14.25">
      <c r="P677" s="94">
        <v>8580</v>
      </c>
      <c r="Q677" s="94">
        <f t="shared" si="43"/>
        <v>35.28601486509341</v>
      </c>
      <c r="R677" s="94">
        <f t="shared" si="44"/>
        <v>76.54860482492714</v>
      </c>
      <c r="S677" s="94">
        <f t="shared" si="45"/>
        <v>76.54860482492714</v>
      </c>
    </row>
    <row r="678" spans="16:19" ht="14.25">
      <c r="P678" s="95">
        <v>8590</v>
      </c>
      <c r="Q678" s="94">
        <f t="shared" si="43"/>
        <v>35.22824470323175</v>
      </c>
      <c r="R678" s="94">
        <f t="shared" si="44"/>
        <v>76.66324140611283</v>
      </c>
      <c r="S678" s="94">
        <f t="shared" si="45"/>
        <v>76.66324140611283</v>
      </c>
    </row>
    <row r="679" spans="16:19" ht="14.25">
      <c r="P679" s="94">
        <v>8600</v>
      </c>
      <c r="Q679" s="94">
        <f t="shared" si="43"/>
        <v>35.17047454137011</v>
      </c>
      <c r="R679" s="94">
        <f t="shared" si="44"/>
        <v>76.77712135198962</v>
      </c>
      <c r="S679" s="94">
        <f t="shared" si="45"/>
        <v>76.77712135198962</v>
      </c>
    </row>
    <row r="680" spans="16:19" ht="14.25">
      <c r="P680" s="94">
        <v>8610</v>
      </c>
      <c r="Q680" s="94">
        <f t="shared" si="43"/>
        <v>35.11270437950846</v>
      </c>
      <c r="R680" s="94">
        <f t="shared" si="44"/>
        <v>76.89024353867498</v>
      </c>
      <c r="S680" s="94">
        <f t="shared" si="45"/>
        <v>76.89024353867498</v>
      </c>
    </row>
    <row r="681" spans="16:19" ht="14.25">
      <c r="P681" s="95">
        <v>8620</v>
      </c>
      <c r="Q681" s="94">
        <f t="shared" si="43"/>
        <v>35.05493421764682</v>
      </c>
      <c r="R681" s="94">
        <f t="shared" si="44"/>
        <v>77.00260684969864</v>
      </c>
      <c r="S681" s="94">
        <f t="shared" si="45"/>
        <v>77.00260684969864</v>
      </c>
    </row>
    <row r="682" spans="16:19" ht="14.25">
      <c r="P682" s="94">
        <v>8630</v>
      </c>
      <c r="Q682" s="94">
        <f t="shared" si="43"/>
        <v>34.99716405578517</v>
      </c>
      <c r="R682" s="94">
        <f t="shared" si="44"/>
        <v>77.11421017611224</v>
      </c>
      <c r="S682" s="94">
        <f t="shared" si="45"/>
        <v>77.11421017611224</v>
      </c>
    </row>
    <row r="683" spans="16:19" ht="14.25">
      <c r="P683" s="94">
        <v>8640</v>
      </c>
      <c r="Q683" s="94">
        <f t="shared" si="43"/>
        <v>34.93939389392352</v>
      </c>
      <c r="R683" s="94">
        <f t="shared" si="44"/>
        <v>77.22505241637141</v>
      </c>
      <c r="S683" s="94">
        <f t="shared" si="45"/>
        <v>77.22505241637141</v>
      </c>
    </row>
    <row r="684" spans="16:19" ht="14.25">
      <c r="P684" s="95">
        <v>8650</v>
      </c>
      <c r="Q684" s="94">
        <f t="shared" si="43"/>
        <v>34.881623732061875</v>
      </c>
      <c r="R684" s="94">
        <f t="shared" si="44"/>
        <v>77.33513247654041</v>
      </c>
      <c r="S684" s="94">
        <f t="shared" si="45"/>
        <v>77.33513247654041</v>
      </c>
    </row>
    <row r="685" spans="16:19" ht="14.25">
      <c r="P685" s="94">
        <v>8660</v>
      </c>
      <c r="Q685" s="94">
        <f t="shared" si="43"/>
        <v>34.82385357020023</v>
      </c>
      <c r="R685" s="94">
        <f t="shared" si="44"/>
        <v>77.44444927017348</v>
      </c>
      <c r="S685" s="94">
        <f t="shared" si="45"/>
        <v>77.44444927017348</v>
      </c>
    </row>
    <row r="686" spans="16:19" ht="14.25">
      <c r="P686" s="94">
        <v>8670</v>
      </c>
      <c r="Q686" s="94">
        <f t="shared" si="43"/>
        <v>34.76608340833859</v>
      </c>
      <c r="R686" s="94">
        <f t="shared" si="44"/>
        <v>77.553001718358</v>
      </c>
      <c r="S686" s="94">
        <f t="shared" si="45"/>
        <v>77.553001718358</v>
      </c>
    </row>
    <row r="687" spans="16:19" ht="14.25">
      <c r="P687" s="95">
        <v>8680</v>
      </c>
      <c r="Q687" s="94">
        <f t="shared" si="43"/>
        <v>34.70831324647694</v>
      </c>
      <c r="R687" s="94">
        <f t="shared" si="44"/>
        <v>77.66078874975622</v>
      </c>
      <c r="S687" s="94">
        <f t="shared" si="45"/>
        <v>77.66078874975622</v>
      </c>
    </row>
    <row r="688" spans="16:19" ht="14.25">
      <c r="P688" s="94">
        <v>8690</v>
      </c>
      <c r="Q688" s="94">
        <f t="shared" si="43"/>
        <v>34.65054308461529</v>
      </c>
      <c r="R688" s="94">
        <f t="shared" si="44"/>
        <v>77.76780930052213</v>
      </c>
      <c r="S688" s="94">
        <f t="shared" si="45"/>
        <v>77.76780930052213</v>
      </c>
    </row>
    <row r="689" spans="16:19" ht="14.25">
      <c r="P689" s="94">
        <v>8700</v>
      </c>
      <c r="Q689" s="94">
        <f t="shared" si="43"/>
        <v>34.592772922753646</v>
      </c>
      <c r="R689" s="94">
        <f t="shared" si="44"/>
        <v>77.87406231437545</v>
      </c>
      <c r="S689" s="94">
        <f t="shared" si="45"/>
        <v>77.87406231437545</v>
      </c>
    </row>
    <row r="690" spans="16:19" ht="14.25">
      <c r="P690" s="95">
        <v>8710</v>
      </c>
      <c r="Q690" s="94">
        <f t="shared" si="43"/>
        <v>34.535002760892006</v>
      </c>
      <c r="R690" s="94">
        <f t="shared" si="44"/>
        <v>77.97954674270333</v>
      </c>
      <c r="S690" s="94">
        <f t="shared" si="45"/>
        <v>77.97954674270333</v>
      </c>
    </row>
    <row r="691" spans="16:19" ht="14.25">
      <c r="P691" s="94">
        <v>8720</v>
      </c>
      <c r="Q691" s="94">
        <f t="shared" si="43"/>
        <v>34.47723259903035</v>
      </c>
      <c r="R691" s="94">
        <f t="shared" si="44"/>
        <v>78.084261544356</v>
      </c>
      <c r="S691" s="94">
        <f t="shared" si="45"/>
        <v>78.084261544356</v>
      </c>
    </row>
    <row r="692" spans="16:19" ht="14.25">
      <c r="P692" s="94">
        <v>8730</v>
      </c>
      <c r="Q692" s="94">
        <f t="shared" si="43"/>
        <v>34.41946243716871</v>
      </c>
      <c r="R692" s="94">
        <f t="shared" si="44"/>
        <v>78.18820568587127</v>
      </c>
      <c r="S692" s="94">
        <f t="shared" si="45"/>
        <v>78.18820568587127</v>
      </c>
    </row>
    <row r="693" spans="16:19" ht="14.25">
      <c r="P693" s="95">
        <v>8740</v>
      </c>
      <c r="Q693" s="94">
        <f t="shared" si="43"/>
        <v>34.36169227530706</v>
      </c>
      <c r="R693" s="94">
        <f t="shared" si="44"/>
        <v>78.29137814136243</v>
      </c>
      <c r="S693" s="94">
        <f t="shared" si="45"/>
        <v>78.29137814136243</v>
      </c>
    </row>
    <row r="694" spans="16:19" ht="14.25">
      <c r="P694" s="94">
        <v>8750</v>
      </c>
      <c r="Q694" s="94">
        <f t="shared" si="43"/>
        <v>34.30392211344542</v>
      </c>
      <c r="R694" s="94">
        <f t="shared" si="44"/>
        <v>78.39377789255902</v>
      </c>
      <c r="S694" s="94">
        <f t="shared" si="45"/>
        <v>78.39377789255902</v>
      </c>
    </row>
    <row r="695" spans="16:19" ht="14.25">
      <c r="P695" s="94">
        <v>8760</v>
      </c>
      <c r="Q695" s="94">
        <f t="shared" si="43"/>
        <v>34.24615195158378</v>
      </c>
      <c r="R695" s="94">
        <f t="shared" si="44"/>
        <v>78.4954039288461</v>
      </c>
      <c r="S695" s="94">
        <f t="shared" si="45"/>
        <v>78.4954039288461</v>
      </c>
    </row>
    <row r="696" spans="16:19" ht="14.25">
      <c r="P696" s="95">
        <v>8770</v>
      </c>
      <c r="Q696" s="94">
        <f t="shared" si="43"/>
        <v>34.18838178972212</v>
      </c>
      <c r="R696" s="94">
        <f t="shared" si="44"/>
        <v>78.59625524715693</v>
      </c>
      <c r="S696" s="94">
        <f t="shared" si="45"/>
        <v>78.59625524715693</v>
      </c>
    </row>
    <row r="697" spans="16:19" ht="14.25">
      <c r="P697" s="94">
        <v>8780</v>
      </c>
      <c r="Q697" s="94">
        <f t="shared" si="43"/>
        <v>34.13061162786048</v>
      </c>
      <c r="R697" s="94">
        <f t="shared" si="44"/>
        <v>78.69633085218807</v>
      </c>
      <c r="S697" s="94">
        <f t="shared" si="45"/>
        <v>78.69633085218807</v>
      </c>
    </row>
    <row r="698" spans="16:19" ht="14.25">
      <c r="P698" s="94">
        <v>8790</v>
      </c>
      <c r="Q698" s="94">
        <f t="shared" si="43"/>
        <v>34.072841465998835</v>
      </c>
      <c r="R698" s="94">
        <f t="shared" si="44"/>
        <v>78.79562975620442</v>
      </c>
      <c r="S698" s="94">
        <f t="shared" si="45"/>
        <v>78.79562975620442</v>
      </c>
    </row>
    <row r="699" spans="16:19" ht="14.25">
      <c r="P699" s="95">
        <v>8800</v>
      </c>
      <c r="Q699" s="94">
        <f t="shared" si="43"/>
        <v>34.01507130413719</v>
      </c>
      <c r="R699" s="94">
        <f t="shared" si="44"/>
        <v>78.89415097913745</v>
      </c>
      <c r="S699" s="94">
        <f t="shared" si="45"/>
        <v>78.89415097913745</v>
      </c>
    </row>
    <row r="700" spans="16:19" ht="14.25">
      <c r="P700" s="94">
        <v>8810</v>
      </c>
      <c r="Q700" s="94">
        <f t="shared" si="43"/>
        <v>33.95730114227554</v>
      </c>
      <c r="R700" s="94">
        <f t="shared" si="44"/>
        <v>78.99189354865133</v>
      </c>
      <c r="S700" s="94">
        <f t="shared" si="45"/>
        <v>78.99189354865133</v>
      </c>
    </row>
    <row r="701" spans="16:19" ht="14.25">
      <c r="P701" s="94">
        <v>8820</v>
      </c>
      <c r="Q701" s="94">
        <f t="shared" si="43"/>
        <v>33.89953098041389</v>
      </c>
      <c r="R701" s="94">
        <f t="shared" si="44"/>
        <v>79.08885650006637</v>
      </c>
      <c r="S701" s="94">
        <f t="shared" si="45"/>
        <v>79.08885650006637</v>
      </c>
    </row>
    <row r="702" spans="16:19" ht="14.25">
      <c r="P702" s="95">
        <v>8830</v>
      </c>
      <c r="Q702" s="94">
        <f t="shared" si="43"/>
        <v>33.841760818552245</v>
      </c>
      <c r="R702" s="94">
        <f t="shared" si="44"/>
        <v>79.18503887639739</v>
      </c>
      <c r="S702" s="94">
        <f t="shared" si="45"/>
        <v>79.18503887639739</v>
      </c>
    </row>
    <row r="703" spans="16:19" ht="14.25">
      <c r="P703" s="94">
        <v>8840</v>
      </c>
      <c r="Q703" s="94">
        <f t="shared" si="43"/>
        <v>33.783990656690605</v>
      </c>
      <c r="R703" s="94">
        <f t="shared" si="44"/>
        <v>79.28043972839065</v>
      </c>
      <c r="S703" s="94">
        <f t="shared" si="45"/>
        <v>79.28043972839065</v>
      </c>
    </row>
    <row r="704" spans="16:19" ht="14.25">
      <c r="P704" s="94">
        <v>8850</v>
      </c>
      <c r="Q704" s="94">
        <f t="shared" si="43"/>
        <v>33.72622049482896</v>
      </c>
      <c r="R704" s="94">
        <f t="shared" si="44"/>
        <v>79.37505811442301</v>
      </c>
      <c r="S704" s="94">
        <f t="shared" si="45"/>
        <v>79.37505811442301</v>
      </c>
    </row>
    <row r="705" spans="16:19" ht="14.25">
      <c r="P705" s="95">
        <v>8860</v>
      </c>
      <c r="Q705" s="94">
        <f t="shared" si="43"/>
        <v>33.66845033296731</v>
      </c>
      <c r="R705" s="94">
        <f t="shared" si="44"/>
        <v>79.46889310067698</v>
      </c>
      <c r="S705" s="94">
        <f t="shared" si="45"/>
        <v>79.46889310067698</v>
      </c>
    </row>
    <row r="706" spans="16:19" ht="14.25">
      <c r="P706" s="94">
        <v>8870</v>
      </c>
      <c r="Q706" s="94">
        <f t="shared" si="43"/>
        <v>33.61068017110566</v>
      </c>
      <c r="R706" s="94">
        <f t="shared" si="44"/>
        <v>79.56194376109272</v>
      </c>
      <c r="S706" s="94">
        <f t="shared" si="45"/>
        <v>79.56194376109272</v>
      </c>
    </row>
    <row r="707" spans="16:19" ht="14.25">
      <c r="P707" s="94">
        <v>8880</v>
      </c>
      <c r="Q707" s="94">
        <f t="shared" si="43"/>
        <v>33.552910009244016</v>
      </c>
      <c r="R707" s="94">
        <f t="shared" si="44"/>
        <v>79.65420917719008</v>
      </c>
      <c r="S707" s="94">
        <f t="shared" si="45"/>
        <v>79.65420917719008</v>
      </c>
    </row>
    <row r="708" spans="16:19" ht="14.25">
      <c r="P708" s="95">
        <v>8890</v>
      </c>
      <c r="Q708" s="94">
        <f aca="true" t="shared" si="46" ref="Q708:Q771">Vbr_out*SQRT(2)-Pin/(Cdc*Vbr_out*SQRT(2))*P708*10^-6</f>
        <v>33.495139847382376</v>
      </c>
      <c r="R708" s="94">
        <f aca="true" t="shared" si="47" ref="R708:R771">-Vbr_out*SQRT(2)*COS(2*PI()*fL*(P708*10^-6-0.5*fL))</f>
        <v>79.74568843840072</v>
      </c>
      <c r="S708" s="94">
        <f t="shared" si="45"/>
        <v>79.74568843840072</v>
      </c>
    </row>
    <row r="709" spans="16:19" ht="14.25">
      <c r="P709" s="94">
        <v>8900</v>
      </c>
      <c r="Q709" s="94">
        <f t="shared" si="46"/>
        <v>33.43736968552072</v>
      </c>
      <c r="R709" s="94">
        <f t="shared" si="47"/>
        <v>79.83638064186127</v>
      </c>
      <c r="S709" s="94">
        <f t="shared" si="45"/>
        <v>79.83638064186127</v>
      </c>
    </row>
    <row r="710" spans="16:19" ht="14.25">
      <c r="P710" s="94">
        <v>8910</v>
      </c>
      <c r="Q710" s="94">
        <f t="shared" si="46"/>
        <v>33.37959952365908</v>
      </c>
      <c r="R710" s="94">
        <f t="shared" si="47"/>
        <v>79.92628489250221</v>
      </c>
      <c r="S710" s="94">
        <f t="shared" si="45"/>
        <v>79.92628489250221</v>
      </c>
    </row>
    <row r="711" spans="16:19" ht="14.25">
      <c r="P711" s="95">
        <v>8920</v>
      </c>
      <c r="Q711" s="94">
        <f t="shared" si="46"/>
        <v>33.32182936179744</v>
      </c>
      <c r="R711" s="94">
        <f t="shared" si="47"/>
        <v>80.01540030295284</v>
      </c>
      <c r="S711" s="94">
        <f t="shared" si="45"/>
        <v>80.01540030295284</v>
      </c>
    </row>
    <row r="712" spans="16:19" ht="14.25">
      <c r="P712" s="94">
        <v>8930</v>
      </c>
      <c r="Q712" s="94">
        <f t="shared" si="46"/>
        <v>33.26405919993579</v>
      </c>
      <c r="R712" s="94">
        <f t="shared" si="47"/>
        <v>80.10372599370616</v>
      </c>
      <c r="S712" s="94">
        <f t="shared" si="45"/>
        <v>80.10372599370616</v>
      </c>
    </row>
    <row r="713" spans="16:19" ht="14.25">
      <c r="P713" s="94">
        <v>8940</v>
      </c>
      <c r="Q713" s="94">
        <f t="shared" si="46"/>
        <v>33.206289038074146</v>
      </c>
      <c r="R713" s="94">
        <f t="shared" si="47"/>
        <v>80.19126109302326</v>
      </c>
      <c r="S713" s="94">
        <f t="shared" si="45"/>
        <v>80.19126109302326</v>
      </c>
    </row>
    <row r="714" spans="16:19" ht="14.25">
      <c r="P714" s="95">
        <v>8950</v>
      </c>
      <c r="Q714" s="94">
        <f t="shared" si="46"/>
        <v>33.14851887621249</v>
      </c>
      <c r="R714" s="94">
        <f t="shared" si="47"/>
        <v>80.27800473696807</v>
      </c>
      <c r="S714" s="94">
        <f t="shared" si="45"/>
        <v>80.27800473696807</v>
      </c>
    </row>
    <row r="715" spans="16:19" ht="14.25">
      <c r="P715" s="94">
        <v>8960</v>
      </c>
      <c r="Q715" s="94">
        <f t="shared" si="46"/>
        <v>33.09074871435085</v>
      </c>
      <c r="R715" s="94">
        <f t="shared" si="47"/>
        <v>80.36395606944059</v>
      </c>
      <c r="S715" s="94">
        <f t="shared" si="45"/>
        <v>80.36395606944059</v>
      </c>
    </row>
    <row r="716" spans="16:19" ht="14.25">
      <c r="P716" s="94">
        <v>8970</v>
      </c>
      <c r="Q716" s="94">
        <f t="shared" si="46"/>
        <v>33.032978552489205</v>
      </c>
      <c r="R716" s="94">
        <f t="shared" si="47"/>
        <v>80.44911424211065</v>
      </c>
      <c r="S716" s="94">
        <f t="shared" si="45"/>
        <v>80.44911424211065</v>
      </c>
    </row>
    <row r="717" spans="16:19" ht="14.25">
      <c r="P717" s="95">
        <v>8980</v>
      </c>
      <c r="Q717" s="94">
        <f t="shared" si="46"/>
        <v>32.97520839062756</v>
      </c>
      <c r="R717" s="94">
        <f t="shared" si="47"/>
        <v>80.53347841447717</v>
      </c>
      <c r="S717" s="94">
        <f t="shared" si="45"/>
        <v>80.53347841447717</v>
      </c>
    </row>
    <row r="718" spans="16:19" ht="14.25">
      <c r="P718" s="94">
        <v>8990</v>
      </c>
      <c r="Q718" s="94">
        <f t="shared" si="46"/>
        <v>32.91743822876591</v>
      </c>
      <c r="R718" s="94">
        <f t="shared" si="47"/>
        <v>80.61704775394867</v>
      </c>
      <c r="S718" s="94">
        <f t="shared" si="45"/>
        <v>80.61704775394867</v>
      </c>
    </row>
    <row r="719" spans="16:19" ht="14.25">
      <c r="P719" s="94">
        <v>9000</v>
      </c>
      <c r="Q719" s="94">
        <f t="shared" si="46"/>
        <v>32.85966806690426</v>
      </c>
      <c r="R719" s="94">
        <f t="shared" si="47"/>
        <v>80.6998214356811</v>
      </c>
      <c r="S719" s="94">
        <f t="shared" si="45"/>
        <v>80.6998214356811</v>
      </c>
    </row>
    <row r="720" spans="16:19" ht="14.25">
      <c r="P720" s="95">
        <v>9010</v>
      </c>
      <c r="Q720" s="94">
        <f t="shared" si="46"/>
        <v>32.80189790504262</v>
      </c>
      <c r="R720" s="94">
        <f t="shared" si="47"/>
        <v>80.78179864275596</v>
      </c>
      <c r="S720" s="94">
        <f t="shared" si="45"/>
        <v>80.78179864275596</v>
      </c>
    </row>
    <row r="721" spans="16:19" ht="14.25">
      <c r="P721" s="94">
        <v>9020</v>
      </c>
      <c r="Q721" s="94">
        <f t="shared" si="46"/>
        <v>32.744127743180975</v>
      </c>
      <c r="R721" s="94">
        <f t="shared" si="47"/>
        <v>80.86297856609131</v>
      </c>
      <c r="S721" s="94">
        <f t="shared" si="45"/>
        <v>80.86297856609131</v>
      </c>
    </row>
    <row r="722" spans="16:19" ht="14.25">
      <c r="P722" s="94">
        <v>9030</v>
      </c>
      <c r="Q722" s="94">
        <f t="shared" si="46"/>
        <v>32.68635758131933</v>
      </c>
      <c r="R722" s="94">
        <f t="shared" si="47"/>
        <v>80.94336040447409</v>
      </c>
      <c r="S722" s="94">
        <f t="shared" si="45"/>
        <v>80.94336040447409</v>
      </c>
    </row>
    <row r="723" spans="16:19" ht="14.25">
      <c r="P723" s="95">
        <v>9040</v>
      </c>
      <c r="Q723" s="94">
        <f t="shared" si="46"/>
        <v>32.62858741945768</v>
      </c>
      <c r="R723" s="94">
        <f t="shared" si="47"/>
        <v>81.02294336459092</v>
      </c>
      <c r="S723" s="94">
        <f t="shared" si="45"/>
        <v>81.02294336459092</v>
      </c>
    </row>
    <row r="724" spans="16:19" ht="14.25">
      <c r="P724" s="94">
        <v>9050</v>
      </c>
      <c r="Q724" s="94">
        <f t="shared" si="46"/>
        <v>32.57081725759604</v>
      </c>
      <c r="R724" s="94">
        <f t="shared" si="47"/>
        <v>81.10172666094404</v>
      </c>
      <c r="S724" s="94">
        <f aca="true" t="shared" si="48" ref="S724:S787">IF(Q724-R724&lt;0.3,R724,"N")</f>
        <v>81.10172666094404</v>
      </c>
    </row>
    <row r="725" spans="16:19" ht="14.25">
      <c r="P725" s="94">
        <v>9060</v>
      </c>
      <c r="Q725" s="94">
        <f t="shared" si="46"/>
        <v>32.513047095734386</v>
      </c>
      <c r="R725" s="94">
        <f t="shared" si="47"/>
        <v>81.17970951601973</v>
      </c>
      <c r="S725" s="94">
        <f t="shared" si="48"/>
        <v>81.17970951601973</v>
      </c>
    </row>
    <row r="726" spans="16:19" ht="14.25">
      <c r="P726" s="95">
        <v>9070</v>
      </c>
      <c r="Q726" s="94">
        <f t="shared" si="46"/>
        <v>32.455276933872746</v>
      </c>
      <c r="R726" s="94">
        <f t="shared" si="47"/>
        <v>81.25689116013577</v>
      </c>
      <c r="S726" s="94">
        <f t="shared" si="48"/>
        <v>81.25689116013577</v>
      </c>
    </row>
    <row r="727" spans="16:19" ht="14.25">
      <c r="P727" s="94">
        <v>9080</v>
      </c>
      <c r="Q727" s="94">
        <f t="shared" si="46"/>
        <v>32.39750677201109</v>
      </c>
      <c r="R727" s="94">
        <f t="shared" si="47"/>
        <v>81.3332708315185</v>
      </c>
      <c r="S727" s="94">
        <f t="shared" si="48"/>
        <v>81.3332708315185</v>
      </c>
    </row>
    <row r="728" spans="16:19" ht="14.25">
      <c r="P728" s="94">
        <v>9090</v>
      </c>
      <c r="Q728" s="94">
        <f t="shared" si="46"/>
        <v>32.33973661014945</v>
      </c>
      <c r="R728" s="94">
        <f t="shared" si="47"/>
        <v>81.40884777635388</v>
      </c>
      <c r="S728" s="94">
        <f t="shared" si="48"/>
        <v>81.40884777635388</v>
      </c>
    </row>
    <row r="729" spans="16:19" ht="14.25">
      <c r="P729" s="95">
        <v>9100</v>
      </c>
      <c r="Q729" s="94">
        <f t="shared" si="46"/>
        <v>32.28196644828781</v>
      </c>
      <c r="R729" s="94">
        <f t="shared" si="47"/>
        <v>81.48362124872793</v>
      </c>
      <c r="S729" s="94">
        <f t="shared" si="48"/>
        <v>81.48362124872793</v>
      </c>
    </row>
    <row r="730" spans="16:19" ht="14.25">
      <c r="P730" s="94">
        <v>9110</v>
      </c>
      <c r="Q730" s="94">
        <f t="shared" si="46"/>
        <v>32.22419628642616</v>
      </c>
      <c r="R730" s="94">
        <f t="shared" si="47"/>
        <v>81.557590510678</v>
      </c>
      <c r="S730" s="94">
        <f t="shared" si="48"/>
        <v>81.557590510678</v>
      </c>
    </row>
    <row r="731" spans="16:19" ht="14.25">
      <c r="P731" s="94">
        <v>9120</v>
      </c>
      <c r="Q731" s="94">
        <f t="shared" si="46"/>
        <v>32.166426124564516</v>
      </c>
      <c r="R731" s="94">
        <f t="shared" si="47"/>
        <v>81.63075483211449</v>
      </c>
      <c r="S731" s="94">
        <f t="shared" si="48"/>
        <v>81.63075483211449</v>
      </c>
    </row>
    <row r="732" spans="16:19" ht="14.25">
      <c r="P732" s="95">
        <v>9130</v>
      </c>
      <c r="Q732" s="94">
        <f t="shared" si="46"/>
        <v>32.10865596270286</v>
      </c>
      <c r="R732" s="94">
        <f t="shared" si="47"/>
        <v>81.70311349095664</v>
      </c>
      <c r="S732" s="94">
        <f t="shared" si="48"/>
        <v>81.70311349095664</v>
      </c>
    </row>
    <row r="733" spans="16:19" ht="14.25">
      <c r="P733" s="94">
        <v>9140</v>
      </c>
      <c r="Q733" s="94">
        <f t="shared" si="46"/>
        <v>32.05088580084122</v>
      </c>
      <c r="R733" s="94">
        <f t="shared" si="47"/>
        <v>81.77466577305367</v>
      </c>
      <c r="S733" s="94">
        <f t="shared" si="48"/>
        <v>81.77466577305367</v>
      </c>
    </row>
    <row r="734" spans="16:19" ht="14.25">
      <c r="P734" s="94">
        <v>9150</v>
      </c>
      <c r="Q734" s="94">
        <f t="shared" si="46"/>
        <v>31.993115638979575</v>
      </c>
      <c r="R734" s="94">
        <f t="shared" si="47"/>
        <v>81.84541097225417</v>
      </c>
      <c r="S734" s="94">
        <f t="shared" si="48"/>
        <v>81.84541097225417</v>
      </c>
    </row>
    <row r="735" spans="16:19" ht="14.25">
      <c r="P735" s="95">
        <v>9160</v>
      </c>
      <c r="Q735" s="94">
        <f t="shared" si="46"/>
        <v>31.935345477117927</v>
      </c>
      <c r="R735" s="94">
        <f t="shared" si="47"/>
        <v>81.91534839024969</v>
      </c>
      <c r="S735" s="94">
        <f t="shared" si="48"/>
        <v>81.91534839024969</v>
      </c>
    </row>
    <row r="736" spans="16:19" ht="14.25">
      <c r="P736" s="94">
        <v>9170</v>
      </c>
      <c r="Q736" s="94">
        <f t="shared" si="46"/>
        <v>31.87757531525628</v>
      </c>
      <c r="R736" s="94">
        <f t="shared" si="47"/>
        <v>81.98447733682733</v>
      </c>
      <c r="S736" s="94">
        <f t="shared" si="48"/>
        <v>81.98447733682733</v>
      </c>
    </row>
    <row r="737" spans="16:19" ht="14.25">
      <c r="P737" s="94">
        <v>9180</v>
      </c>
      <c r="Q737" s="94">
        <f t="shared" si="46"/>
        <v>31.81980515339464</v>
      </c>
      <c r="R737" s="94">
        <f t="shared" si="47"/>
        <v>82.05279712971229</v>
      </c>
      <c r="S737" s="94">
        <f t="shared" si="48"/>
        <v>82.05279712971229</v>
      </c>
    </row>
    <row r="738" spans="16:19" ht="14.25">
      <c r="P738" s="95">
        <v>9190</v>
      </c>
      <c r="Q738" s="94">
        <f t="shared" si="46"/>
        <v>31.762034991532992</v>
      </c>
      <c r="R738" s="94">
        <f t="shared" si="47"/>
        <v>82.12030709463524</v>
      </c>
      <c r="S738" s="94">
        <f t="shared" si="48"/>
        <v>82.12030709463524</v>
      </c>
    </row>
    <row r="739" spans="16:19" ht="14.25">
      <c r="P739" s="94">
        <v>9200</v>
      </c>
      <c r="Q739" s="94">
        <f t="shared" si="46"/>
        <v>31.704264829671345</v>
      </c>
      <c r="R739" s="94">
        <f t="shared" si="47"/>
        <v>82.18700656526097</v>
      </c>
      <c r="S739" s="94">
        <f t="shared" si="48"/>
        <v>82.18700656526097</v>
      </c>
    </row>
    <row r="740" spans="16:19" ht="14.25">
      <c r="P740" s="94">
        <v>9210</v>
      </c>
      <c r="Q740" s="94">
        <f t="shared" si="46"/>
        <v>31.646494667809698</v>
      </c>
      <c r="R740" s="94">
        <f t="shared" si="47"/>
        <v>82.25289488331231</v>
      </c>
      <c r="S740" s="94">
        <f t="shared" si="48"/>
        <v>82.25289488331231</v>
      </c>
    </row>
    <row r="741" spans="16:19" ht="14.25">
      <c r="P741" s="95">
        <v>9220</v>
      </c>
      <c r="Q741" s="94">
        <f t="shared" si="46"/>
        <v>31.58872450594805</v>
      </c>
      <c r="R741" s="94">
        <f t="shared" si="47"/>
        <v>82.31797139849814</v>
      </c>
      <c r="S741" s="94">
        <f t="shared" si="48"/>
        <v>82.31797139849814</v>
      </c>
    </row>
    <row r="742" spans="16:19" ht="14.25">
      <c r="P742" s="94">
        <v>9230</v>
      </c>
      <c r="Q742" s="94">
        <f t="shared" si="46"/>
        <v>31.53095434408641</v>
      </c>
      <c r="R742" s="94">
        <f t="shared" si="47"/>
        <v>82.38223546853958</v>
      </c>
      <c r="S742" s="94">
        <f t="shared" si="48"/>
        <v>82.38223546853958</v>
      </c>
    </row>
    <row r="743" spans="16:19" ht="14.25">
      <c r="P743" s="94">
        <v>9240</v>
      </c>
      <c r="Q743" s="94">
        <f t="shared" si="46"/>
        <v>31.473184182224756</v>
      </c>
      <c r="R743" s="94">
        <f t="shared" si="47"/>
        <v>82.44568645919439</v>
      </c>
      <c r="S743" s="94">
        <f t="shared" si="48"/>
        <v>82.44568645919439</v>
      </c>
    </row>
    <row r="744" spans="16:19" ht="14.25">
      <c r="P744" s="95">
        <v>9250</v>
      </c>
      <c r="Q744" s="94">
        <f t="shared" si="46"/>
        <v>31.415414020363116</v>
      </c>
      <c r="R744" s="94">
        <f t="shared" si="47"/>
        <v>82.50832374420823</v>
      </c>
      <c r="S744" s="94">
        <f t="shared" si="48"/>
        <v>82.50832374420823</v>
      </c>
    </row>
    <row r="745" spans="16:19" ht="14.25">
      <c r="P745" s="94">
        <v>9260</v>
      </c>
      <c r="Q745" s="94">
        <f t="shared" si="46"/>
        <v>31.357643858501476</v>
      </c>
      <c r="R745" s="94">
        <f t="shared" si="47"/>
        <v>82.57014670535858</v>
      </c>
      <c r="S745" s="94">
        <f t="shared" si="48"/>
        <v>82.57014670535858</v>
      </c>
    </row>
    <row r="746" spans="16:19" ht="14.25">
      <c r="P746" s="94">
        <v>9270</v>
      </c>
      <c r="Q746" s="94">
        <f t="shared" si="46"/>
        <v>31.29987369663982</v>
      </c>
      <c r="R746" s="94">
        <f t="shared" si="47"/>
        <v>82.63115473251358</v>
      </c>
      <c r="S746" s="94">
        <f t="shared" si="48"/>
        <v>82.63115473251358</v>
      </c>
    </row>
    <row r="747" spans="16:19" ht="14.25">
      <c r="P747" s="95">
        <v>9280</v>
      </c>
      <c r="Q747" s="94">
        <f t="shared" si="46"/>
        <v>31.24210353477818</v>
      </c>
      <c r="R747" s="94">
        <f t="shared" si="47"/>
        <v>82.6913472235133</v>
      </c>
      <c r="S747" s="94">
        <f t="shared" si="48"/>
        <v>82.6913472235133</v>
      </c>
    </row>
    <row r="748" spans="16:19" ht="14.25">
      <c r="P748" s="94">
        <v>9290</v>
      </c>
      <c r="Q748" s="94">
        <f t="shared" si="46"/>
        <v>31.184333372916527</v>
      </c>
      <c r="R748" s="94">
        <f t="shared" si="47"/>
        <v>82.75072358429995</v>
      </c>
      <c r="S748" s="94">
        <f t="shared" si="48"/>
        <v>82.75072358429995</v>
      </c>
    </row>
    <row r="749" spans="16:19" ht="14.25">
      <c r="P749" s="94">
        <v>9300</v>
      </c>
      <c r="Q749" s="94">
        <f t="shared" si="46"/>
        <v>31.126563211054886</v>
      </c>
      <c r="R749" s="94">
        <f t="shared" si="47"/>
        <v>82.80928322885282</v>
      </c>
      <c r="S749" s="94">
        <f t="shared" si="48"/>
        <v>82.80928322885282</v>
      </c>
    </row>
    <row r="750" spans="16:19" ht="14.25">
      <c r="P750" s="95">
        <v>9310</v>
      </c>
      <c r="Q750" s="94">
        <f t="shared" si="46"/>
        <v>31.06879304919324</v>
      </c>
      <c r="R750" s="94">
        <f t="shared" si="47"/>
        <v>82.86702557922843</v>
      </c>
      <c r="S750" s="94">
        <f t="shared" si="48"/>
        <v>82.86702557922843</v>
      </c>
    </row>
    <row r="751" spans="16:19" ht="14.25">
      <c r="P751" s="94">
        <v>9320</v>
      </c>
      <c r="Q751" s="94">
        <f t="shared" si="46"/>
        <v>31.011022887331592</v>
      </c>
      <c r="R751" s="94">
        <f t="shared" si="47"/>
        <v>82.92395006549968</v>
      </c>
      <c r="S751" s="94">
        <f t="shared" si="48"/>
        <v>82.92395006549968</v>
      </c>
    </row>
    <row r="752" spans="16:19" ht="14.25">
      <c r="P752" s="94">
        <v>9330</v>
      </c>
      <c r="Q752" s="94">
        <f t="shared" si="46"/>
        <v>30.953252725469945</v>
      </c>
      <c r="R752" s="94">
        <f t="shared" si="47"/>
        <v>82.98005612586172</v>
      </c>
      <c r="S752" s="94">
        <f t="shared" si="48"/>
        <v>82.98005612586172</v>
      </c>
    </row>
    <row r="753" spans="16:19" ht="14.25">
      <c r="P753" s="95">
        <v>9340</v>
      </c>
      <c r="Q753" s="94">
        <f t="shared" si="46"/>
        <v>30.895482563608297</v>
      </c>
      <c r="R753" s="94">
        <f t="shared" si="47"/>
        <v>83.03534320658625</v>
      </c>
      <c r="S753" s="94">
        <f t="shared" si="48"/>
        <v>83.03534320658625</v>
      </c>
    </row>
    <row r="754" spans="16:19" ht="14.25">
      <c r="P754" s="94">
        <v>9350</v>
      </c>
      <c r="Q754" s="94">
        <f t="shared" si="46"/>
        <v>30.837712401746657</v>
      </c>
      <c r="R754" s="94">
        <f t="shared" si="47"/>
        <v>83.08981076199575</v>
      </c>
      <c r="S754" s="94">
        <f t="shared" si="48"/>
        <v>83.08981076199575</v>
      </c>
    </row>
    <row r="755" spans="16:19" ht="14.25">
      <c r="P755" s="94">
        <v>9360</v>
      </c>
      <c r="Q755" s="94">
        <f t="shared" si="46"/>
        <v>30.77994223988501</v>
      </c>
      <c r="R755" s="94">
        <f t="shared" si="47"/>
        <v>83.14345825450204</v>
      </c>
      <c r="S755" s="94">
        <f t="shared" si="48"/>
        <v>83.14345825450204</v>
      </c>
    </row>
    <row r="756" spans="16:19" ht="14.25">
      <c r="P756" s="95">
        <v>9370</v>
      </c>
      <c r="Q756" s="94">
        <f t="shared" si="46"/>
        <v>30.722172078023362</v>
      </c>
      <c r="R756" s="94">
        <f t="shared" si="47"/>
        <v>83.19628515464188</v>
      </c>
      <c r="S756" s="94">
        <f t="shared" si="48"/>
        <v>83.19628515464188</v>
      </c>
    </row>
    <row r="757" spans="16:19" ht="14.25">
      <c r="P757" s="94">
        <v>9380</v>
      </c>
      <c r="Q757" s="94">
        <f t="shared" si="46"/>
        <v>30.664401916161715</v>
      </c>
      <c r="R757" s="94">
        <f t="shared" si="47"/>
        <v>83.24829094103511</v>
      </c>
      <c r="S757" s="94">
        <f t="shared" si="48"/>
        <v>83.24829094103511</v>
      </c>
    </row>
    <row r="758" spans="16:19" ht="14.25">
      <c r="P758" s="94">
        <v>9390</v>
      </c>
      <c r="Q758" s="94">
        <f t="shared" si="46"/>
        <v>30.606631754300075</v>
      </c>
      <c r="R758" s="94">
        <f t="shared" si="47"/>
        <v>83.29947510042032</v>
      </c>
      <c r="S758" s="94">
        <f t="shared" si="48"/>
        <v>83.29947510042032</v>
      </c>
    </row>
    <row r="759" spans="16:19" ht="14.25">
      <c r="P759" s="95">
        <v>9400</v>
      </c>
      <c r="Q759" s="94">
        <f t="shared" si="46"/>
        <v>30.54886159243842</v>
      </c>
      <c r="R759" s="94">
        <f t="shared" si="47"/>
        <v>83.3498371276009</v>
      </c>
      <c r="S759" s="94">
        <f t="shared" si="48"/>
        <v>83.3498371276009</v>
      </c>
    </row>
    <row r="760" spans="16:19" ht="14.25">
      <c r="P760" s="94">
        <v>9410</v>
      </c>
      <c r="Q760" s="94">
        <f t="shared" si="46"/>
        <v>30.49109143057678</v>
      </c>
      <c r="R760" s="94">
        <f t="shared" si="47"/>
        <v>83.39937652553887</v>
      </c>
      <c r="S760" s="94">
        <f t="shared" si="48"/>
        <v>83.39937652553887</v>
      </c>
    </row>
    <row r="761" spans="16:19" ht="14.25">
      <c r="P761" s="94">
        <v>9420</v>
      </c>
      <c r="Q761" s="94">
        <f t="shared" si="46"/>
        <v>30.433321268715126</v>
      </c>
      <c r="R761" s="94">
        <f t="shared" si="47"/>
        <v>83.4480928053004</v>
      </c>
      <c r="S761" s="94">
        <f t="shared" si="48"/>
        <v>83.4480928053004</v>
      </c>
    </row>
    <row r="762" spans="16:19" ht="14.25">
      <c r="P762" s="95">
        <v>9430</v>
      </c>
      <c r="Q762" s="94">
        <f t="shared" si="46"/>
        <v>30.375551106853486</v>
      </c>
      <c r="R762" s="94">
        <f t="shared" si="47"/>
        <v>83.49598548607547</v>
      </c>
      <c r="S762" s="94">
        <f t="shared" si="48"/>
        <v>83.49598548607547</v>
      </c>
    </row>
    <row r="763" spans="16:19" ht="14.25">
      <c r="P763" s="94">
        <v>9440</v>
      </c>
      <c r="Q763" s="94">
        <f t="shared" si="46"/>
        <v>30.317780944991846</v>
      </c>
      <c r="R763" s="94">
        <f t="shared" si="47"/>
        <v>83.54305409520967</v>
      </c>
      <c r="S763" s="94">
        <f t="shared" si="48"/>
        <v>83.54305409520967</v>
      </c>
    </row>
    <row r="764" spans="16:19" ht="14.25">
      <c r="P764" s="94">
        <v>9450</v>
      </c>
      <c r="Q764" s="94">
        <f t="shared" si="46"/>
        <v>30.26001078313019</v>
      </c>
      <c r="R764" s="94">
        <f t="shared" si="47"/>
        <v>83.58929816810033</v>
      </c>
      <c r="S764" s="94">
        <f t="shared" si="48"/>
        <v>83.58929816810033</v>
      </c>
    </row>
    <row r="765" spans="16:19" ht="14.25">
      <c r="P765" s="95">
        <v>9460</v>
      </c>
      <c r="Q765" s="94">
        <f t="shared" si="46"/>
        <v>30.20224062126855</v>
      </c>
      <c r="R765" s="94">
        <f t="shared" si="47"/>
        <v>83.63471724836461</v>
      </c>
      <c r="S765" s="94">
        <f t="shared" si="48"/>
        <v>83.63471724836461</v>
      </c>
    </row>
    <row r="766" spans="16:19" ht="14.25">
      <c r="P766" s="94">
        <v>9470</v>
      </c>
      <c r="Q766" s="94">
        <f t="shared" si="46"/>
        <v>30.144470459406897</v>
      </c>
      <c r="R766" s="94">
        <f t="shared" si="47"/>
        <v>83.6793108877473</v>
      </c>
      <c r="S766" s="94">
        <f t="shared" si="48"/>
        <v>83.6793108877473</v>
      </c>
    </row>
    <row r="767" spans="16:19" ht="14.25">
      <c r="P767" s="94">
        <v>9480</v>
      </c>
      <c r="Q767" s="94">
        <f t="shared" si="46"/>
        <v>30.086700297545256</v>
      </c>
      <c r="R767" s="94">
        <f t="shared" si="47"/>
        <v>83.72307864610138</v>
      </c>
      <c r="S767" s="94">
        <f t="shared" si="48"/>
        <v>83.72307864610138</v>
      </c>
    </row>
    <row r="768" spans="16:19" ht="14.25">
      <c r="P768" s="95">
        <v>9490</v>
      </c>
      <c r="Q768" s="94">
        <f t="shared" si="46"/>
        <v>30.02893013568361</v>
      </c>
      <c r="R768" s="94">
        <f t="shared" si="47"/>
        <v>83.76602009146977</v>
      </c>
      <c r="S768" s="94">
        <f t="shared" si="48"/>
        <v>83.76602009146977</v>
      </c>
    </row>
    <row r="769" spans="16:19" ht="14.25">
      <c r="P769" s="94">
        <v>9500</v>
      </c>
      <c r="Q769" s="94">
        <f t="shared" si="46"/>
        <v>29.971159973821962</v>
      </c>
      <c r="R769" s="94">
        <f t="shared" si="47"/>
        <v>83.80813480003773</v>
      </c>
      <c r="S769" s="94">
        <f t="shared" si="48"/>
        <v>83.80813480003773</v>
      </c>
    </row>
    <row r="770" spans="16:19" ht="14.25">
      <c r="P770" s="94">
        <v>9510</v>
      </c>
      <c r="Q770" s="94">
        <f t="shared" si="46"/>
        <v>29.913389811960315</v>
      </c>
      <c r="R770" s="94">
        <f t="shared" si="47"/>
        <v>83.84942235616194</v>
      </c>
      <c r="S770" s="94">
        <f t="shared" si="48"/>
        <v>83.84942235616194</v>
      </c>
    </row>
    <row r="771" spans="16:19" ht="14.25">
      <c r="P771" s="95">
        <v>9520</v>
      </c>
      <c r="Q771" s="94">
        <f t="shared" si="46"/>
        <v>29.855619650098674</v>
      </c>
      <c r="R771" s="94">
        <f t="shared" si="47"/>
        <v>83.88988235232696</v>
      </c>
      <c r="S771" s="94">
        <f t="shared" si="48"/>
        <v>83.88988235232696</v>
      </c>
    </row>
    <row r="772" spans="16:19" ht="14.25">
      <c r="P772" s="94">
        <v>9530</v>
      </c>
      <c r="Q772" s="94">
        <f aca="true" t="shared" si="49" ref="Q772:Q819">Vbr_out*SQRT(2)-Pin/(Cdc*Vbr_out*SQRT(2))*P772*10^-6</f>
        <v>29.797849488237027</v>
      </c>
      <c r="R772" s="94">
        <f aca="true" t="shared" si="50" ref="R772:R819">-Vbr_out*SQRT(2)*COS(2*PI()*fL*(P772*10^-6-0.5*fL))</f>
        <v>83.92951438923242</v>
      </c>
      <c r="S772" s="94">
        <f t="shared" si="48"/>
        <v>83.92951438923242</v>
      </c>
    </row>
    <row r="773" spans="16:19" ht="14.25">
      <c r="P773" s="94">
        <v>9540</v>
      </c>
      <c r="Q773" s="94">
        <f t="shared" si="49"/>
        <v>29.74007932637538</v>
      </c>
      <c r="R773" s="94">
        <f t="shared" si="50"/>
        <v>83.96831807570315</v>
      </c>
      <c r="S773" s="94">
        <f t="shared" si="48"/>
        <v>83.96831807570315</v>
      </c>
    </row>
    <row r="774" spans="16:19" ht="14.25">
      <c r="P774" s="95">
        <v>9550</v>
      </c>
      <c r="Q774" s="94">
        <f t="shared" si="49"/>
        <v>29.682309164513732</v>
      </c>
      <c r="R774" s="94">
        <f t="shared" si="50"/>
        <v>84.0062930287849</v>
      </c>
      <c r="S774" s="94">
        <f t="shared" si="48"/>
        <v>84.0062930287849</v>
      </c>
    </row>
    <row r="775" spans="16:19" ht="14.25">
      <c r="P775" s="94">
        <v>9560</v>
      </c>
      <c r="Q775" s="94">
        <f t="shared" si="49"/>
        <v>29.624539002652085</v>
      </c>
      <c r="R775" s="94">
        <f t="shared" si="50"/>
        <v>84.04343887365822</v>
      </c>
      <c r="S775" s="94">
        <f t="shared" si="48"/>
        <v>84.04343887365822</v>
      </c>
    </row>
    <row r="776" spans="16:19" ht="14.25">
      <c r="P776" s="94">
        <v>9570</v>
      </c>
      <c r="Q776" s="94">
        <f t="shared" si="49"/>
        <v>29.566768840790445</v>
      </c>
      <c r="R776" s="94">
        <f t="shared" si="50"/>
        <v>84.07975524371975</v>
      </c>
      <c r="S776" s="94">
        <f t="shared" si="48"/>
        <v>84.07975524371975</v>
      </c>
    </row>
    <row r="777" spans="16:19" ht="14.25">
      <c r="P777" s="95">
        <v>9580</v>
      </c>
      <c r="Q777" s="94">
        <f t="shared" si="49"/>
        <v>29.50899867892879</v>
      </c>
      <c r="R777" s="94">
        <f t="shared" si="50"/>
        <v>84.11524178054155</v>
      </c>
      <c r="S777" s="94">
        <f t="shared" si="48"/>
        <v>84.11524178054155</v>
      </c>
    </row>
    <row r="778" spans="16:19" ht="14.25">
      <c r="P778" s="94">
        <v>9590</v>
      </c>
      <c r="Q778" s="94">
        <f t="shared" si="49"/>
        <v>29.45122851706715</v>
      </c>
      <c r="R778" s="94">
        <f t="shared" si="50"/>
        <v>84.14989813389576</v>
      </c>
      <c r="S778" s="94">
        <f t="shared" si="48"/>
        <v>84.14989813389576</v>
      </c>
    </row>
    <row r="779" spans="16:19" ht="14.25">
      <c r="P779" s="94">
        <v>9600</v>
      </c>
      <c r="Q779" s="94">
        <f t="shared" si="49"/>
        <v>29.393458355205496</v>
      </c>
      <c r="R779" s="94">
        <f t="shared" si="50"/>
        <v>84.1837239617181</v>
      </c>
      <c r="S779" s="94">
        <f t="shared" si="48"/>
        <v>84.1837239617181</v>
      </c>
    </row>
    <row r="780" spans="16:19" ht="14.25">
      <c r="P780" s="95">
        <v>9610</v>
      </c>
      <c r="Q780" s="94">
        <f t="shared" si="49"/>
        <v>29.335688193343856</v>
      </c>
      <c r="R780" s="94">
        <f t="shared" si="50"/>
        <v>84.21671893017145</v>
      </c>
      <c r="S780" s="94">
        <f t="shared" si="48"/>
        <v>84.21671893017145</v>
      </c>
    </row>
    <row r="781" spans="16:19" ht="14.25">
      <c r="P781" s="94">
        <v>9620</v>
      </c>
      <c r="Q781" s="94">
        <f t="shared" si="49"/>
        <v>29.277918031482216</v>
      </c>
      <c r="R781" s="94">
        <f t="shared" si="50"/>
        <v>84.248882713618</v>
      </c>
      <c r="S781" s="94">
        <f t="shared" si="48"/>
        <v>84.248882713618</v>
      </c>
    </row>
    <row r="782" spans="16:19" ht="14.25">
      <c r="P782" s="94">
        <v>9630</v>
      </c>
      <c r="Q782" s="94">
        <f t="shared" si="49"/>
        <v>29.22014786962056</v>
      </c>
      <c r="R782" s="94">
        <f t="shared" si="50"/>
        <v>84.28021499460449</v>
      </c>
      <c r="S782" s="94">
        <f t="shared" si="48"/>
        <v>84.28021499460449</v>
      </c>
    </row>
    <row r="783" spans="16:19" ht="14.25">
      <c r="P783" s="95">
        <v>9640</v>
      </c>
      <c r="Q783" s="94">
        <f t="shared" si="49"/>
        <v>29.16237770775892</v>
      </c>
      <c r="R783" s="94">
        <f t="shared" si="50"/>
        <v>84.31071546388527</v>
      </c>
      <c r="S783" s="94">
        <f t="shared" si="48"/>
        <v>84.31071546388527</v>
      </c>
    </row>
    <row r="784" spans="16:19" ht="14.25">
      <c r="P784" s="94">
        <v>9650</v>
      </c>
      <c r="Q784" s="94">
        <f t="shared" si="49"/>
        <v>29.104607545897274</v>
      </c>
      <c r="R784" s="94">
        <f t="shared" si="50"/>
        <v>84.34038382044221</v>
      </c>
      <c r="S784" s="94">
        <f t="shared" si="48"/>
        <v>84.34038382044221</v>
      </c>
    </row>
    <row r="785" spans="16:19" ht="14.25">
      <c r="P785" s="94">
        <v>9660</v>
      </c>
      <c r="Q785" s="94">
        <f t="shared" si="49"/>
        <v>29.046837384035626</v>
      </c>
      <c r="R785" s="94">
        <f t="shared" si="50"/>
        <v>84.3692197714606</v>
      </c>
      <c r="S785" s="94">
        <f t="shared" si="48"/>
        <v>84.3692197714606</v>
      </c>
    </row>
    <row r="786" spans="16:19" ht="14.25">
      <c r="P786" s="95">
        <v>9670</v>
      </c>
      <c r="Q786" s="94">
        <f t="shared" si="49"/>
        <v>28.98906722217398</v>
      </c>
      <c r="R786" s="94">
        <f t="shared" si="50"/>
        <v>84.39722303234926</v>
      </c>
      <c r="S786" s="94">
        <f t="shared" si="48"/>
        <v>84.39722303234926</v>
      </c>
    </row>
    <row r="787" spans="16:19" ht="14.25">
      <c r="P787" s="94">
        <v>9680</v>
      </c>
      <c r="Q787" s="94">
        <f t="shared" si="49"/>
        <v>28.931297060312332</v>
      </c>
      <c r="R787" s="94">
        <f t="shared" si="50"/>
        <v>84.42439332671104</v>
      </c>
      <c r="S787" s="94">
        <f t="shared" si="48"/>
        <v>84.42439332671104</v>
      </c>
    </row>
    <row r="788" spans="16:19" ht="14.25">
      <c r="P788" s="94">
        <v>9690</v>
      </c>
      <c r="Q788" s="94">
        <f t="shared" si="49"/>
        <v>28.87352689845069</v>
      </c>
      <c r="R788" s="94">
        <f t="shared" si="50"/>
        <v>84.45073038639438</v>
      </c>
      <c r="S788" s="94">
        <f aca="true" t="shared" si="51" ref="S788:S819">IF(Q788-R788&lt;0.3,R788,"N")</f>
        <v>84.45073038639438</v>
      </c>
    </row>
    <row r="789" spans="16:19" ht="14.25">
      <c r="P789" s="95">
        <v>9700</v>
      </c>
      <c r="Q789" s="94">
        <f t="shared" si="49"/>
        <v>28.815756736589044</v>
      </c>
      <c r="R789" s="94">
        <f t="shared" si="50"/>
        <v>84.47623395146312</v>
      </c>
      <c r="S789" s="94">
        <f t="shared" si="51"/>
        <v>84.47623395146312</v>
      </c>
    </row>
    <row r="790" spans="16:19" ht="14.25">
      <c r="P790" s="94">
        <v>9710</v>
      </c>
      <c r="Q790" s="94">
        <f t="shared" si="49"/>
        <v>28.757986574727397</v>
      </c>
      <c r="R790" s="94">
        <f t="shared" si="50"/>
        <v>84.50090377021438</v>
      </c>
      <c r="S790" s="94">
        <f t="shared" si="51"/>
        <v>84.50090377021438</v>
      </c>
    </row>
    <row r="791" spans="16:19" ht="14.25">
      <c r="P791" s="94">
        <v>9720</v>
      </c>
      <c r="Q791" s="94">
        <f t="shared" si="49"/>
        <v>28.70021641286575</v>
      </c>
      <c r="R791" s="94">
        <f t="shared" si="50"/>
        <v>84.52473959915952</v>
      </c>
      <c r="S791" s="94">
        <f t="shared" si="51"/>
        <v>84.52473959915952</v>
      </c>
    </row>
    <row r="792" spans="16:19" ht="14.25">
      <c r="P792" s="95">
        <v>9730</v>
      </c>
      <c r="Q792" s="94">
        <f t="shared" si="49"/>
        <v>28.64244625100411</v>
      </c>
      <c r="R792" s="94">
        <f t="shared" si="50"/>
        <v>84.54774120304198</v>
      </c>
      <c r="S792" s="94">
        <f t="shared" si="51"/>
        <v>84.54774120304198</v>
      </c>
    </row>
    <row r="793" spans="16:19" ht="14.25">
      <c r="P793" s="94">
        <v>9740</v>
      </c>
      <c r="Q793" s="94">
        <f t="shared" si="49"/>
        <v>28.584676089142455</v>
      </c>
      <c r="R793" s="94">
        <f t="shared" si="50"/>
        <v>84.56990835485225</v>
      </c>
      <c r="S793" s="94">
        <f t="shared" si="51"/>
        <v>84.56990835485225</v>
      </c>
    </row>
    <row r="794" spans="16:19" ht="14.25">
      <c r="P794" s="94">
        <v>9750</v>
      </c>
      <c r="Q794" s="94">
        <f t="shared" si="49"/>
        <v>28.526905927280815</v>
      </c>
      <c r="R794" s="94">
        <f t="shared" si="50"/>
        <v>84.59124083581553</v>
      </c>
      <c r="S794" s="94">
        <f t="shared" si="51"/>
        <v>84.59124083581553</v>
      </c>
    </row>
    <row r="795" spans="16:19" ht="14.25">
      <c r="P795" s="95">
        <v>9760</v>
      </c>
      <c r="Q795" s="94">
        <f t="shared" si="49"/>
        <v>28.46913576541916</v>
      </c>
      <c r="R795" s="94">
        <f t="shared" si="50"/>
        <v>84.6117384353765</v>
      </c>
      <c r="S795" s="94">
        <f t="shared" si="51"/>
        <v>84.6117384353765</v>
      </c>
    </row>
    <row r="796" spans="16:19" ht="14.25">
      <c r="P796" s="94">
        <v>9770</v>
      </c>
      <c r="Q796" s="94">
        <f t="shared" si="49"/>
        <v>28.41136560355752</v>
      </c>
      <c r="R796" s="94">
        <f t="shared" si="50"/>
        <v>84.63140095123843</v>
      </c>
      <c r="S796" s="94">
        <f t="shared" si="51"/>
        <v>84.63140095123843</v>
      </c>
    </row>
    <row r="797" spans="16:19" ht="14.25">
      <c r="P797" s="94">
        <v>9780</v>
      </c>
      <c r="Q797" s="94">
        <f t="shared" si="49"/>
        <v>28.35359544169588</v>
      </c>
      <c r="R797" s="94">
        <f t="shared" si="50"/>
        <v>84.65022818934023</v>
      </c>
      <c r="S797" s="94">
        <f t="shared" si="51"/>
        <v>84.65022818934023</v>
      </c>
    </row>
    <row r="798" spans="16:19" ht="14.25">
      <c r="P798" s="95">
        <v>9790</v>
      </c>
      <c r="Q798" s="94">
        <f t="shared" si="49"/>
        <v>28.295825279834226</v>
      </c>
      <c r="R798" s="94">
        <f t="shared" si="50"/>
        <v>84.66821996386975</v>
      </c>
      <c r="S798" s="94">
        <f t="shared" si="51"/>
        <v>84.66821996386975</v>
      </c>
    </row>
    <row r="799" spans="16:19" ht="14.25">
      <c r="P799" s="94">
        <v>9800</v>
      </c>
      <c r="Q799" s="94">
        <f t="shared" si="49"/>
        <v>28.238055117972586</v>
      </c>
      <c r="R799" s="94">
        <f t="shared" si="50"/>
        <v>84.685376097245</v>
      </c>
      <c r="S799" s="94">
        <f t="shared" si="51"/>
        <v>84.685376097245</v>
      </c>
    </row>
    <row r="800" spans="16:19" ht="14.25">
      <c r="P800" s="94">
        <v>9810</v>
      </c>
      <c r="Q800" s="94">
        <f t="shared" si="49"/>
        <v>28.18028495611093</v>
      </c>
      <c r="R800" s="94">
        <f t="shared" si="50"/>
        <v>84.7016964201518</v>
      </c>
      <c r="S800" s="94">
        <f t="shared" si="51"/>
        <v>84.7016964201518</v>
      </c>
    </row>
    <row r="801" spans="16:19" ht="14.25">
      <c r="P801" s="95">
        <v>9820</v>
      </c>
      <c r="Q801" s="94">
        <f t="shared" si="49"/>
        <v>28.12251479424929</v>
      </c>
      <c r="R801" s="94">
        <f t="shared" si="50"/>
        <v>84.71718077150574</v>
      </c>
      <c r="S801" s="94">
        <f t="shared" si="51"/>
        <v>84.71718077150574</v>
      </c>
    </row>
    <row r="802" spans="16:19" ht="14.25">
      <c r="P802" s="94">
        <v>9830</v>
      </c>
      <c r="Q802" s="94">
        <f t="shared" si="49"/>
        <v>28.064744632387644</v>
      </c>
      <c r="R802" s="94">
        <f t="shared" si="50"/>
        <v>84.73182899849147</v>
      </c>
      <c r="S802" s="94">
        <f t="shared" si="51"/>
        <v>84.73182899849147</v>
      </c>
    </row>
    <row r="803" spans="16:19" ht="14.25">
      <c r="P803" s="94">
        <v>9840</v>
      </c>
      <c r="Q803" s="94">
        <f t="shared" si="49"/>
        <v>28.006974470525996</v>
      </c>
      <c r="R803" s="94">
        <f t="shared" si="50"/>
        <v>84.7456409565284</v>
      </c>
      <c r="S803" s="94">
        <f t="shared" si="51"/>
        <v>84.7456409565284</v>
      </c>
    </row>
    <row r="804" spans="16:19" ht="14.25">
      <c r="P804" s="95">
        <v>9850</v>
      </c>
      <c r="Q804" s="94">
        <f t="shared" si="49"/>
        <v>27.94920430866435</v>
      </c>
      <c r="R804" s="94">
        <f t="shared" si="50"/>
        <v>84.75861650930248</v>
      </c>
      <c r="S804" s="94">
        <f t="shared" si="51"/>
        <v>84.75861650930248</v>
      </c>
    </row>
    <row r="805" spans="16:19" ht="14.25">
      <c r="P805" s="94">
        <v>9860</v>
      </c>
      <c r="Q805" s="94">
        <f t="shared" si="49"/>
        <v>27.89143414680271</v>
      </c>
      <c r="R805" s="94">
        <f t="shared" si="50"/>
        <v>84.77075552875021</v>
      </c>
      <c r="S805" s="94">
        <f t="shared" si="51"/>
        <v>84.77075552875021</v>
      </c>
    </row>
    <row r="806" spans="16:19" ht="14.25">
      <c r="P806" s="94">
        <v>9870</v>
      </c>
      <c r="Q806" s="94">
        <f t="shared" si="49"/>
        <v>27.83366398494106</v>
      </c>
      <c r="R806" s="94">
        <f t="shared" si="50"/>
        <v>84.78205789506755</v>
      </c>
      <c r="S806" s="94">
        <f t="shared" si="51"/>
        <v>84.78205789506755</v>
      </c>
    </row>
    <row r="807" spans="16:19" ht="14.25">
      <c r="P807" s="95">
        <v>9880</v>
      </c>
      <c r="Q807" s="94">
        <f t="shared" si="49"/>
        <v>27.775893823079414</v>
      </c>
      <c r="R807" s="94">
        <f t="shared" si="50"/>
        <v>84.79252349669814</v>
      </c>
      <c r="S807" s="94">
        <f t="shared" si="51"/>
        <v>84.79252349669814</v>
      </c>
    </row>
    <row r="808" spans="16:19" ht="14.25">
      <c r="P808" s="94">
        <v>9890</v>
      </c>
      <c r="Q808" s="94">
        <f t="shared" si="49"/>
        <v>27.718123661217767</v>
      </c>
      <c r="R808" s="94">
        <f t="shared" si="50"/>
        <v>84.80215223035412</v>
      </c>
      <c r="S808" s="94">
        <f t="shared" si="51"/>
        <v>84.80215223035412</v>
      </c>
    </row>
    <row r="809" spans="16:19" ht="14.25">
      <c r="P809" s="94">
        <v>9900</v>
      </c>
      <c r="Q809" s="94">
        <f t="shared" si="49"/>
        <v>27.66035349935612</v>
      </c>
      <c r="R809" s="94">
        <f t="shared" si="50"/>
        <v>84.81094400100376</v>
      </c>
      <c r="S809" s="94">
        <f t="shared" si="51"/>
        <v>84.81094400100376</v>
      </c>
    </row>
    <row r="810" spans="16:19" ht="14.25">
      <c r="P810" s="95">
        <v>9910</v>
      </c>
      <c r="Q810" s="94">
        <f t="shared" si="49"/>
        <v>27.60258333749448</v>
      </c>
      <c r="R810" s="94">
        <f t="shared" si="50"/>
        <v>84.81889872188023</v>
      </c>
      <c r="S810" s="94">
        <f t="shared" si="51"/>
        <v>84.81889872188023</v>
      </c>
    </row>
    <row r="811" spans="16:19" ht="14.25">
      <c r="P811" s="94">
        <v>9920</v>
      </c>
      <c r="Q811" s="94">
        <f t="shared" si="49"/>
        <v>27.544813175632825</v>
      </c>
      <c r="R811" s="94">
        <f t="shared" si="50"/>
        <v>84.8260163144644</v>
      </c>
      <c r="S811" s="94">
        <f t="shared" si="51"/>
        <v>84.8260163144644</v>
      </c>
    </row>
    <row r="812" spans="16:19" ht="14.25">
      <c r="P812" s="94">
        <v>9930</v>
      </c>
      <c r="Q812" s="94">
        <f t="shared" si="49"/>
        <v>27.487043013771185</v>
      </c>
      <c r="R812" s="94">
        <f t="shared" si="50"/>
        <v>84.83229670851338</v>
      </c>
      <c r="S812" s="94">
        <f t="shared" si="51"/>
        <v>84.83229670851338</v>
      </c>
    </row>
    <row r="813" spans="16:19" ht="14.25">
      <c r="P813" s="95">
        <v>9940</v>
      </c>
      <c r="Q813" s="94">
        <f t="shared" si="49"/>
        <v>27.42927285190953</v>
      </c>
      <c r="R813" s="94">
        <f t="shared" si="50"/>
        <v>84.8377398420422</v>
      </c>
      <c r="S813" s="94">
        <f t="shared" si="51"/>
        <v>84.8377398420422</v>
      </c>
    </row>
    <row r="814" spans="16:19" ht="14.25">
      <c r="P814" s="94">
        <v>9950</v>
      </c>
      <c r="Q814" s="94">
        <f t="shared" si="49"/>
        <v>27.37150269004789</v>
      </c>
      <c r="R814" s="94">
        <f t="shared" si="50"/>
        <v>84.84234566133054</v>
      </c>
      <c r="S814" s="94">
        <f t="shared" si="51"/>
        <v>84.84234566133054</v>
      </c>
    </row>
    <row r="815" spans="16:19" ht="14.25">
      <c r="P815" s="94">
        <v>9960</v>
      </c>
      <c r="Q815" s="94">
        <f t="shared" si="49"/>
        <v>27.31373252818625</v>
      </c>
      <c r="R815" s="94">
        <f t="shared" si="50"/>
        <v>84.84611412091817</v>
      </c>
      <c r="S815" s="94">
        <f t="shared" si="51"/>
        <v>84.84611412091817</v>
      </c>
    </row>
    <row r="816" spans="16:19" ht="14.25">
      <c r="P816" s="95">
        <v>9970</v>
      </c>
      <c r="Q816" s="94">
        <f t="shared" si="49"/>
        <v>27.255962366324596</v>
      </c>
      <c r="R816" s="94">
        <f t="shared" si="50"/>
        <v>84.84904518361336</v>
      </c>
      <c r="S816" s="94">
        <f t="shared" si="51"/>
        <v>84.84904518361336</v>
      </c>
    </row>
    <row r="817" spans="16:19" ht="14.25">
      <c r="P817" s="94">
        <v>9980</v>
      </c>
      <c r="Q817" s="94">
        <f t="shared" si="49"/>
        <v>27.198192204462956</v>
      </c>
      <c r="R817" s="94">
        <f t="shared" si="50"/>
        <v>84.85113882048769</v>
      </c>
      <c r="S817" s="94">
        <f t="shared" si="51"/>
        <v>84.85113882048769</v>
      </c>
    </row>
    <row r="818" spans="16:19" ht="14.25">
      <c r="P818" s="94">
        <v>9990</v>
      </c>
      <c r="Q818" s="94">
        <f t="shared" si="49"/>
        <v>27.14042204260131</v>
      </c>
      <c r="R818" s="94">
        <f t="shared" si="50"/>
        <v>84.85239501087808</v>
      </c>
      <c r="S818" s="94">
        <f t="shared" si="51"/>
        <v>84.85239501087808</v>
      </c>
    </row>
    <row r="819" spans="16:19" ht="14.25">
      <c r="P819" s="95">
        <v>10000</v>
      </c>
      <c r="Q819" s="94">
        <f t="shared" si="49"/>
        <v>27.08265188073966</v>
      </c>
      <c r="R819" s="94">
        <f t="shared" si="50"/>
        <v>84.8528137423857</v>
      </c>
      <c r="S819" s="94">
        <f t="shared" si="51"/>
        <v>84.8528137423857</v>
      </c>
    </row>
  </sheetData>
  <sheetProtection password="C10A" sheet="1" selectLockedCells="1"/>
  <mergeCells count="15">
    <mergeCell ref="E107:F108"/>
    <mergeCell ref="F21:M21"/>
    <mergeCell ref="G107:H108"/>
    <mergeCell ref="I107:J108"/>
    <mergeCell ref="I66:J66"/>
    <mergeCell ref="P16:S16"/>
    <mergeCell ref="G159:H159"/>
    <mergeCell ref="C1:K2"/>
    <mergeCell ref="G145:H145"/>
    <mergeCell ref="G146:H146"/>
    <mergeCell ref="G147:H147"/>
    <mergeCell ref="G157:H157"/>
    <mergeCell ref="G158:H158"/>
    <mergeCell ref="F56:G56"/>
    <mergeCell ref="C107:D108"/>
  </mergeCells>
  <conditionalFormatting sqref="A148">
    <cfRule type="cellIs" priority="1" dxfId="1" operator="between" stopIfTrue="1">
      <formula>0</formula>
      <formula>2</formula>
    </cfRule>
  </conditionalFormatting>
  <printOptions/>
  <pageMargins left="0.7480314960629921" right="0.7480314960629921" top="0.7874015748031497" bottom="0.86" header="0" footer="0"/>
  <pageSetup horizontalDpi="300" verticalDpi="300" orientation="portrait" paperSize="9" scale="96" r:id="rId8"/>
  <rowBreaks count="3" manualBreakCount="3">
    <brk id="58" max="9" man="1"/>
    <brk id="104" max="255" man="1"/>
    <brk id="161" max="255" man="1"/>
  </rowBreaks>
  <colBreaks count="1" manualBreakCount="1">
    <brk id="10" max="65535" man="1"/>
  </colBreaks>
  <drawing r:id="rId7"/>
  <legacyDrawing r:id="rId6"/>
  <oleObjects>
    <oleObject progId="hunmin.doc" shapeId="913792" r:id="rId2"/>
    <oleObject progId="Visio.Drawing.6" shapeId="913793" r:id="rId3"/>
    <oleObject progId="Visio.Drawing.6" shapeId="913794" r:id="rId4"/>
    <oleObject progId="Visio.Drawing.11" shapeId="2136088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2004-10-29T07:28:24Z</cp:lastPrinted>
  <dcterms:created xsi:type="dcterms:W3CDTF">1997-01-10T04:21:27Z</dcterms:created>
  <dcterms:modified xsi:type="dcterms:W3CDTF">2013-12-16T05:37:28Z</dcterms:modified>
  <cp:category/>
  <cp:version/>
  <cp:contentType/>
  <cp:contentStatus/>
</cp:coreProperties>
</file>